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alakovalski/Documents/GitHub/Fiscal-Impact-Measure/documentation/COVID-19 Changes/September/"/>
    </mc:Choice>
  </mc:AlternateContent>
  <xr:revisionPtr revIDLastSave="0" documentId="13_ncr:1_{A9AEAA82-3902-2C48-A90E-0C594C3A2116}" xr6:coauthVersionLast="46" xr6:coauthVersionMax="46" xr10:uidLastSave="{00000000-0000-0000-0000-000000000000}"/>
  <bookViews>
    <workbookView xWindow="0" yWindow="460" windowWidth="33600" windowHeight="18880" activeTab="3" xr2:uid="{BAFE3F49-3B7E-4387-938E-5F3D7AC6DAFE}"/>
  </bookViews>
  <sheets>
    <sheet name="main" sheetId="1" r:id="rId1"/>
    <sheet name="Stimulus Round 2" sheetId="16" r:id="rId2"/>
    <sheet name="add-ons calculations" sheetId="5" r:id="rId3"/>
    <sheet name="FIM Add Factors" sheetId="9" r:id="rId4"/>
    <sheet name="main_nipas" sheetId="10" r:id="rId5"/>
    <sheet name="add-ons calculations nipas" sheetId="11" r:id="rId6"/>
    <sheet name="NIPA Add Factors" sheetId="12" r:id="rId7"/>
    <sheet name="Haver NA" sheetId="14" r:id="rId8"/>
    <sheet name="ui" sheetId="13" r:id="rId9"/>
    <sheet name="MPC" sheetId="8" r:id="rId10"/>
    <sheet name="MPC - round (2)" sheetId="15" r:id="rId11"/>
    <sheet name="figuring out Medicaid" sheetId="7" r:id="rId12"/>
    <sheet name="add-ons - Kadija b4" sheetId="6" state="hidden" r:id="rId13"/>
    <sheet name="figuring out UI" sheetId="4" r:id="rId14"/>
    <sheet name="figuring NIPA tax changes" sheetId="3" r:id="rId15"/>
    <sheet name="figuring out social benefits" sheetId="2" r:id="rId16"/>
  </sheets>
  <externalReferences>
    <externalReference r:id="rId1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59" i="1" l="1"/>
  <c r="O59" i="1"/>
  <c r="O26" i="4" l="1"/>
  <c r="N26" i="4"/>
  <c r="L106" i="1"/>
  <c r="K106" i="1"/>
  <c r="J106" i="1"/>
  <c r="I106" i="1"/>
  <c r="H106" i="1"/>
  <c r="G106" i="1"/>
  <c r="F106" i="1"/>
  <c r="P5" i="9" l="1"/>
  <c r="B21" i="16"/>
  <c r="X75" i="1"/>
  <c r="W75" i="1"/>
  <c r="W74" i="1"/>
  <c r="P74" i="1"/>
  <c r="O74" i="1"/>
  <c r="T62" i="1"/>
  <c r="C20" i="16"/>
  <c r="S62" i="1" s="1"/>
  <c r="S51" i="1" s="1"/>
  <c r="C19" i="16"/>
  <c r="R35" i="1" s="1"/>
  <c r="C18" i="16"/>
  <c r="R61" i="1" s="1"/>
  <c r="C17" i="16"/>
  <c r="B16" i="16"/>
  <c r="C16" i="16" s="1"/>
  <c r="C15" i="16"/>
  <c r="P34" i="1" s="1"/>
  <c r="B13" i="16"/>
  <c r="C13" i="16" s="1"/>
  <c r="V74" i="1" s="1"/>
  <c r="B10" i="16"/>
  <c r="C10" i="16" s="1"/>
  <c r="U76" i="1" s="1"/>
  <c r="C9" i="16"/>
  <c r="P86" i="1" s="1"/>
  <c r="C8" i="16"/>
  <c r="Q85" i="1" s="1"/>
  <c r="C7" i="16"/>
  <c r="O84" i="1" s="1"/>
  <c r="C14" i="16"/>
  <c r="C12" i="16"/>
  <c r="P60" i="1" s="1"/>
  <c r="C11" i="16"/>
  <c r="C6" i="16"/>
  <c r="C5" i="16"/>
  <c r="T75" i="1" s="1"/>
  <c r="C4" i="16"/>
  <c r="O33" i="1" s="1"/>
  <c r="C3" i="16"/>
  <c r="O41" i="1" s="1"/>
  <c r="C2" i="16"/>
  <c r="Q86" i="1"/>
  <c r="R86" i="1"/>
  <c r="Q84" i="1"/>
  <c r="P84" i="1"/>
  <c r="M87" i="1"/>
  <c r="AD87" i="1" s="1"/>
  <c r="AC87" i="1"/>
  <c r="AI87" i="1"/>
  <c r="AJ87" i="1"/>
  <c r="AK87" i="1"/>
  <c r="W88" i="1"/>
  <c r="X88" i="1"/>
  <c r="Y88" i="1"/>
  <c r="Z88" i="1"/>
  <c r="Z75" i="1" l="1"/>
  <c r="X74" i="1"/>
  <c r="V76" i="1"/>
  <c r="Y74" i="1"/>
  <c r="W76" i="1"/>
  <c r="Z74" i="1"/>
  <c r="Z73" i="1" s="1"/>
  <c r="Z68" i="1" s="1"/>
  <c r="X76" i="1"/>
  <c r="Y75" i="1"/>
  <c r="O75" i="1"/>
  <c r="Y76" i="1"/>
  <c r="R84" i="1"/>
  <c r="O61" i="1"/>
  <c r="P75" i="1"/>
  <c r="Z76" i="1"/>
  <c r="P61" i="1"/>
  <c r="Q75" i="1"/>
  <c r="Q61" i="1"/>
  <c r="U75" i="1"/>
  <c r="V75" i="1"/>
  <c r="Z77" i="1"/>
  <c r="Y77" i="1"/>
  <c r="X77" i="1"/>
  <c r="X73" i="1" s="1"/>
  <c r="X68" i="1" s="1"/>
  <c r="W77" i="1"/>
  <c r="W73" i="1" s="1"/>
  <c r="W68" i="1" s="1"/>
  <c r="V77" i="1"/>
  <c r="O77" i="1"/>
  <c r="U77" i="1"/>
  <c r="T77" i="1"/>
  <c r="S77" i="1"/>
  <c r="R77" i="1"/>
  <c r="Q77" i="1"/>
  <c r="P77" i="1"/>
  <c r="O60" i="1"/>
  <c r="O51" i="1" s="1"/>
  <c r="U62" i="1"/>
  <c r="Q60" i="1"/>
  <c r="V62" i="1"/>
  <c r="O35" i="1"/>
  <c r="O62" i="1"/>
  <c r="P35" i="1"/>
  <c r="R85" i="1"/>
  <c r="Q35" i="1"/>
  <c r="O76" i="1"/>
  <c r="Q74" i="1"/>
  <c r="P76" i="1"/>
  <c r="P73" i="1" s="1"/>
  <c r="P68" i="1" s="1"/>
  <c r="O34" i="1"/>
  <c r="R74" i="1"/>
  <c r="Q76" i="1"/>
  <c r="O86" i="1"/>
  <c r="R62" i="1"/>
  <c r="S74" i="1"/>
  <c r="R76" i="1"/>
  <c r="O85" i="1"/>
  <c r="Q62" i="1"/>
  <c r="T74" i="1"/>
  <c r="R75" i="1"/>
  <c r="S76" i="1"/>
  <c r="P62" i="1"/>
  <c r="U74" i="1"/>
  <c r="U73" i="1" s="1"/>
  <c r="U68" i="1" s="1"/>
  <c r="S75" i="1"/>
  <c r="T76" i="1"/>
  <c r="P85" i="1"/>
  <c r="Q83" i="1"/>
  <c r="P83" i="1"/>
  <c r="W50" i="1"/>
  <c r="X50" i="1"/>
  <c r="Y50" i="1"/>
  <c r="Z50" i="1"/>
  <c r="Z89" i="1"/>
  <c r="N68" i="1"/>
  <c r="V73" i="1"/>
  <c r="V68" i="1" s="1"/>
  <c r="Y73" i="1"/>
  <c r="Y68" i="1" s="1"/>
  <c r="D27" i="15"/>
  <c r="D26" i="15"/>
  <c r="C16" i="15" s="1"/>
  <c r="L21" i="15"/>
  <c r="F17" i="15"/>
  <c r="G17" i="15" s="1"/>
  <c r="C17" i="15"/>
  <c r="L16" i="15"/>
  <c r="L15" i="15"/>
  <c r="D6" i="15"/>
  <c r="P6" i="15" s="1"/>
  <c r="C6" i="15"/>
  <c r="D7" i="15" s="1"/>
  <c r="D5" i="15"/>
  <c r="E5" i="15" s="1"/>
  <c r="Q73" i="1" l="1"/>
  <c r="Q68" i="1" s="1"/>
  <c r="O73" i="1"/>
  <c r="O68" i="1" s="1"/>
  <c r="T73" i="1"/>
  <c r="T68" i="1" s="1"/>
  <c r="O83" i="1"/>
  <c r="R83" i="1"/>
  <c r="S73" i="1"/>
  <c r="S68" i="1" s="1"/>
  <c r="R73" i="1"/>
  <c r="R68" i="1" s="1"/>
  <c r="D28" i="15"/>
  <c r="C15" i="15" s="1"/>
  <c r="H18" i="15" s="1"/>
  <c r="O2" i="9" a="1"/>
  <c r="O2" i="9" s="1"/>
  <c r="F5" i="15"/>
  <c r="E7" i="15"/>
  <c r="E9" i="15"/>
  <c r="D19" i="15"/>
  <c r="D18" i="15"/>
  <c r="D8" i="15"/>
  <c r="D9" i="15"/>
  <c r="H17" i="15"/>
  <c r="N2" i="9" a="1"/>
  <c r="N4" i="9" s="1"/>
  <c r="G20" i="15" l="1"/>
  <c r="D20" i="15"/>
  <c r="F18" i="15"/>
  <c r="E20" i="15"/>
  <c r="G18" i="15"/>
  <c r="E18" i="15"/>
  <c r="F20" i="15"/>
  <c r="O8" i="9"/>
  <c r="O13" i="9"/>
  <c r="O11" i="9"/>
  <c r="O14" i="9"/>
  <c r="O4" i="9"/>
  <c r="O6" i="9"/>
  <c r="O12" i="9"/>
  <c r="O15" i="9"/>
  <c r="O9" i="9"/>
  <c r="O16" i="9"/>
  <c r="O10" i="9"/>
  <c r="O5" i="9"/>
  <c r="O7" i="9"/>
  <c r="O3" i="9"/>
  <c r="I17" i="15"/>
  <c r="H20" i="15"/>
  <c r="G5" i="15"/>
  <c r="F7" i="15"/>
  <c r="F9" i="15"/>
  <c r="N3" i="9"/>
  <c r="N8" i="9"/>
  <c r="N11" i="9"/>
  <c r="N10" i="9"/>
  <c r="N9" i="9"/>
  <c r="N7" i="9"/>
  <c r="N6" i="9"/>
  <c r="N13" i="9"/>
  <c r="N5" i="9"/>
  <c r="N2" i="9"/>
  <c r="N16" i="9"/>
  <c r="N15" i="9"/>
  <c r="N14" i="9"/>
  <c r="N12" i="9"/>
  <c r="G7" i="15" l="1"/>
  <c r="G9" i="15"/>
  <c r="H5" i="15"/>
  <c r="J17" i="15"/>
  <c r="I20" i="15"/>
  <c r="I18" i="15"/>
  <c r="M37" i="1"/>
  <c r="I5" i="15" l="1"/>
  <c r="H9" i="15"/>
  <c r="H7" i="15"/>
  <c r="J20" i="15"/>
  <c r="K17" i="15"/>
  <c r="J18" i="15"/>
  <c r="L17" i="15"/>
  <c r="M100" i="1"/>
  <c r="M97" i="1"/>
  <c r="M94" i="1"/>
  <c r="M91" i="1"/>
  <c r="M81" i="1"/>
  <c r="M80" i="1"/>
  <c r="M64" i="1"/>
  <c r="M57" i="1"/>
  <c r="M56" i="1"/>
  <c r="M55" i="1"/>
  <c r="M53" i="1"/>
  <c r="M50" i="1"/>
  <c r="M45" i="1"/>
  <c r="M44" i="1"/>
  <c r="M32" i="1"/>
  <c r="M31" i="1"/>
  <c r="M30" i="1"/>
  <c r="M26" i="1"/>
  <c r="M25" i="1"/>
  <c r="M24" i="1"/>
  <c r="M23" i="1"/>
  <c r="M18" i="1"/>
  <c r="M16" i="1"/>
  <c r="M14" i="1"/>
  <c r="M12" i="1"/>
  <c r="M7" i="1"/>
  <c r="M5" i="1"/>
  <c r="K20" i="15" l="1"/>
  <c r="L20" i="15" s="1"/>
  <c r="K18" i="15"/>
  <c r="I9" i="15"/>
  <c r="J5" i="15"/>
  <c r="I7" i="15"/>
  <c r="M36" i="1"/>
  <c r="J9" i="15" l="1"/>
  <c r="K5" i="15"/>
  <c r="J7" i="15"/>
  <c r="E46" i="11"/>
  <c r="F46" i="11"/>
  <c r="G46" i="11"/>
  <c r="H46" i="11"/>
  <c r="I46" i="11"/>
  <c r="J46" i="11"/>
  <c r="K46" i="11"/>
  <c r="L46" i="11"/>
  <c r="L47" i="11" s="1"/>
  <c r="M46" i="11"/>
  <c r="M47" i="11" s="1"/>
  <c r="N46" i="11"/>
  <c r="O46" i="11"/>
  <c r="O47" i="11" s="1"/>
  <c r="P46" i="11"/>
  <c r="Q46" i="11"/>
  <c r="R46" i="11"/>
  <c r="S46" i="11"/>
  <c r="S47" i="11" s="1"/>
  <c r="T46" i="11"/>
  <c r="U46" i="11"/>
  <c r="U47" i="11" s="1"/>
  <c r="V46" i="11"/>
  <c r="V47" i="11" s="1"/>
  <c r="W46" i="11"/>
  <c r="W47" i="11" s="1"/>
  <c r="X46" i="11"/>
  <c r="X47" i="11" s="1"/>
  <c r="Y46" i="11"/>
  <c r="Y47" i="11" s="1"/>
  <c r="Z46" i="11"/>
  <c r="AA46" i="11"/>
  <c r="AA47" i="11" s="1"/>
  <c r="D46" i="11"/>
  <c r="E39" i="11"/>
  <c r="F39" i="11"/>
  <c r="G39" i="11"/>
  <c r="H39" i="11"/>
  <c r="I39" i="11"/>
  <c r="J39" i="11"/>
  <c r="K39" i="11"/>
  <c r="K40" i="11" s="1"/>
  <c r="L39" i="11"/>
  <c r="M39" i="11"/>
  <c r="N39" i="11"/>
  <c r="O39" i="11"/>
  <c r="P39" i="11"/>
  <c r="Q39" i="11"/>
  <c r="R39" i="11"/>
  <c r="S39" i="11"/>
  <c r="S40" i="11" s="1"/>
  <c r="T39" i="11"/>
  <c r="U39" i="11"/>
  <c r="V39" i="11"/>
  <c r="W39" i="11"/>
  <c r="W40" i="11" s="1"/>
  <c r="X39" i="11"/>
  <c r="X40" i="11" s="1"/>
  <c r="Y39" i="11"/>
  <c r="Z39" i="11"/>
  <c r="AA39" i="11"/>
  <c r="D39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E6" i="10"/>
  <c r="F6" i="10"/>
  <c r="G6" i="10"/>
  <c r="H6" i="10"/>
  <c r="I6" i="10"/>
  <c r="D24" i="11" s="1"/>
  <c r="J6" i="10"/>
  <c r="E24" i="11" s="1"/>
  <c r="K6" i="10"/>
  <c r="F24" i="11" s="1"/>
  <c r="D6" i="10"/>
  <c r="D4" i="10"/>
  <c r="E4" i="10"/>
  <c r="F4" i="10"/>
  <c r="G4" i="10"/>
  <c r="H4" i="10"/>
  <c r="I4" i="10"/>
  <c r="K4" i="10"/>
  <c r="F38" i="11" s="1"/>
  <c r="J4" i="10"/>
  <c r="E38" i="11" s="1"/>
  <c r="L89" i="1"/>
  <c r="E3" i="10"/>
  <c r="F3" i="10"/>
  <c r="G3" i="10"/>
  <c r="H3" i="10"/>
  <c r="I3" i="10"/>
  <c r="D45" i="11" s="1"/>
  <c r="J3" i="10"/>
  <c r="E45" i="11" s="1"/>
  <c r="K3" i="10"/>
  <c r="F45" i="11" s="1"/>
  <c r="T3" i="10"/>
  <c r="D3" i="10"/>
  <c r="E5" i="10"/>
  <c r="F5" i="10"/>
  <c r="G5" i="10"/>
  <c r="H5" i="10"/>
  <c r="I5" i="10"/>
  <c r="J5" i="10"/>
  <c r="E31" i="11" s="1"/>
  <c r="K5" i="10"/>
  <c r="F31" i="11" s="1"/>
  <c r="D5" i="10"/>
  <c r="P47" i="11" l="1"/>
  <c r="O26" i="11"/>
  <c r="P33" i="11"/>
  <c r="R40" i="11"/>
  <c r="AA26" i="11"/>
  <c r="AA33" i="11"/>
  <c r="L5" i="15"/>
  <c r="K7" i="15"/>
  <c r="K9" i="15"/>
  <c r="Z40" i="11"/>
  <c r="L40" i="11"/>
  <c r="Q33" i="11"/>
  <c r="Q47" i="11"/>
  <c r="T26" i="11"/>
  <c r="V40" i="11"/>
  <c r="U33" i="11"/>
  <c r="V33" i="11"/>
  <c r="T40" i="11"/>
  <c r="T47" i="11"/>
  <c r="U26" i="11"/>
  <c r="X26" i="11"/>
  <c r="R47" i="11"/>
  <c r="N26" i="11"/>
  <c r="Z26" i="11"/>
  <c r="Z33" i="11"/>
  <c r="Y40" i="11"/>
  <c r="Y26" i="11"/>
  <c r="Z47" i="11"/>
  <c r="N47" i="11"/>
  <c r="F27" i="11"/>
  <c r="F34" i="11"/>
  <c r="F41" i="11"/>
  <c r="F48" i="11"/>
  <c r="N33" i="11"/>
  <c r="U40" i="11"/>
  <c r="Q40" i="11"/>
  <c r="S26" i="11"/>
  <c r="AA40" i="11"/>
  <c r="O40" i="11"/>
  <c r="Y33" i="11"/>
  <c r="R26" i="11"/>
  <c r="O33" i="11"/>
  <c r="M40" i="11"/>
  <c r="W33" i="11"/>
  <c r="P26" i="11"/>
  <c r="Q26" i="11"/>
  <c r="R33" i="11"/>
  <c r="S33" i="11"/>
  <c r="X33" i="11"/>
  <c r="V26" i="11"/>
  <c r="T33" i="11"/>
  <c r="N40" i="11"/>
  <c r="M33" i="11"/>
  <c r="P40" i="11"/>
  <c r="W26" i="11"/>
  <c r="Y106" i="1"/>
  <c r="X106" i="1"/>
  <c r="W106" i="1"/>
  <c r="Y105" i="1"/>
  <c r="X105" i="1"/>
  <c r="W105" i="1"/>
  <c r="N101" i="1"/>
  <c r="O101" i="1" s="1"/>
  <c r="P101" i="1" s="1"/>
  <c r="Q101" i="1" s="1"/>
  <c r="R101" i="1" s="1"/>
  <c r="S101" i="1" s="1"/>
  <c r="M102" i="1"/>
  <c r="M98" i="1"/>
  <c r="G98" i="1"/>
  <c r="H98" i="1"/>
  <c r="I98" i="1"/>
  <c r="J98" i="1"/>
  <c r="K98" i="1"/>
  <c r="L98" i="1"/>
  <c r="L102" i="1"/>
  <c r="K102" i="1"/>
  <c r="W107" i="1" l="1"/>
  <c r="X107" i="1"/>
  <c r="Y107" i="1"/>
  <c r="M5" i="15"/>
  <c r="L7" i="15"/>
  <c r="L9" i="15"/>
  <c r="N40" i="1"/>
  <c r="N5" i="15" l="1"/>
  <c r="M7" i="15"/>
  <c r="M9" i="15"/>
  <c r="M54" i="1"/>
  <c r="M51" i="1" s="1"/>
  <c r="L54" i="1"/>
  <c r="M92" i="1"/>
  <c r="M65" i="1"/>
  <c r="N16" i="1"/>
  <c r="N6" i="1"/>
  <c r="N12" i="1"/>
  <c r="N14" i="1"/>
  <c r="O5" i="15" l="1"/>
  <c r="N9" i="15"/>
  <c r="N7" i="15"/>
  <c r="N11" i="1"/>
  <c r="AA25" i="5"/>
  <c r="Z25" i="5"/>
  <c r="Y25" i="5"/>
  <c r="X25" i="5"/>
  <c r="W25" i="5"/>
  <c r="V25" i="5"/>
  <c r="U25" i="5"/>
  <c r="T25" i="5"/>
  <c r="S25" i="5"/>
  <c r="R25" i="5"/>
  <c r="Q25" i="5"/>
  <c r="P25" i="5"/>
  <c r="O25" i="5"/>
  <c r="N25" i="5"/>
  <c r="M25" i="5"/>
  <c r="L25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Z33" i="5" s="1"/>
  <c r="AA32" i="5"/>
  <c r="AA33" i="5"/>
  <c r="AL31" i="1"/>
  <c r="AK31" i="1"/>
  <c r="AJ31" i="1"/>
  <c r="AI31" i="1"/>
  <c r="AA51" i="5"/>
  <c r="Z51" i="5"/>
  <c r="Y51" i="5"/>
  <c r="X51" i="5"/>
  <c r="W51" i="5"/>
  <c r="V51" i="5"/>
  <c r="U51" i="5"/>
  <c r="T51" i="5"/>
  <c r="S51" i="5"/>
  <c r="R51" i="5"/>
  <c r="Q51" i="5"/>
  <c r="P51" i="5"/>
  <c r="O51" i="5"/>
  <c r="N51" i="5"/>
  <c r="M51" i="5"/>
  <c r="L51" i="5"/>
  <c r="R72" i="5"/>
  <c r="S72" i="5"/>
  <c r="T72" i="5"/>
  <c r="T73" i="5" s="1"/>
  <c r="U72" i="5"/>
  <c r="U73" i="5" s="1"/>
  <c r="V72" i="5"/>
  <c r="W72" i="5"/>
  <c r="X72" i="5"/>
  <c r="Y72" i="5"/>
  <c r="Z72" i="5"/>
  <c r="AA72" i="5"/>
  <c r="N65" i="5"/>
  <c r="O65" i="5"/>
  <c r="P65" i="5"/>
  <c r="Q65" i="5"/>
  <c r="Q66" i="5" s="1"/>
  <c r="R65" i="5"/>
  <c r="S65" i="5"/>
  <c r="T65" i="5"/>
  <c r="U65" i="5"/>
  <c r="V65" i="5"/>
  <c r="W65" i="5"/>
  <c r="X65" i="5"/>
  <c r="Y65" i="5"/>
  <c r="Z65" i="5"/>
  <c r="AA65" i="5"/>
  <c r="M65" i="5"/>
  <c r="H46" i="1"/>
  <c r="L58" i="5"/>
  <c r="M58" i="5"/>
  <c r="M59" i="5" s="1"/>
  <c r="N58" i="5"/>
  <c r="O58" i="5"/>
  <c r="P58" i="5"/>
  <c r="Q58" i="5"/>
  <c r="R58" i="5"/>
  <c r="S58" i="5"/>
  <c r="T58" i="5"/>
  <c r="T59" i="5" s="1"/>
  <c r="U58" i="5"/>
  <c r="V58" i="5"/>
  <c r="W58" i="5"/>
  <c r="W59" i="5" s="1"/>
  <c r="X58" i="5"/>
  <c r="X59" i="5" s="1"/>
  <c r="Y58" i="5"/>
  <c r="Z58" i="5"/>
  <c r="AA58" i="5"/>
  <c r="N31" i="1" l="1"/>
  <c r="O31" i="1" s="1"/>
  <c r="P31" i="1" s="1"/>
  <c r="Q31" i="1" s="1"/>
  <c r="R31" i="1" s="1"/>
  <c r="AA73" i="5"/>
  <c r="Q26" i="5"/>
  <c r="W73" i="5"/>
  <c r="R33" i="5"/>
  <c r="O7" i="15"/>
  <c r="O9" i="15"/>
  <c r="P9" i="15" s="1"/>
  <c r="P5" i="15"/>
  <c r="R26" i="5"/>
  <c r="R59" i="5"/>
  <c r="Z73" i="5"/>
  <c r="Y59" i="5"/>
  <c r="Q59" i="5"/>
  <c r="AA26" i="5"/>
  <c r="X66" i="5"/>
  <c r="P66" i="5"/>
  <c r="T26" i="5"/>
  <c r="V59" i="5"/>
  <c r="P59" i="5"/>
  <c r="P52" i="5"/>
  <c r="V73" i="5"/>
  <c r="Q33" i="5"/>
  <c r="U26" i="5"/>
  <c r="U59" i="5"/>
  <c r="S73" i="5"/>
  <c r="O33" i="5"/>
  <c r="S59" i="5"/>
  <c r="Y66" i="5"/>
  <c r="W33" i="5"/>
  <c r="AA59" i="5"/>
  <c r="O59" i="5"/>
  <c r="U33" i="5"/>
  <c r="S52" i="5"/>
  <c r="Z59" i="5"/>
  <c r="N59" i="5"/>
  <c r="T66" i="5"/>
  <c r="X73" i="5"/>
  <c r="T33" i="5"/>
  <c r="Y52" i="5"/>
  <c r="AA52" i="5"/>
  <c r="R52" i="5"/>
  <c r="O26" i="5"/>
  <c r="V26" i="5"/>
  <c r="N26" i="5"/>
  <c r="P26" i="5"/>
  <c r="S26" i="5"/>
  <c r="W26" i="5"/>
  <c r="Y26" i="5"/>
  <c r="Z26" i="5"/>
  <c r="T52" i="5"/>
  <c r="N52" i="5"/>
  <c r="X26" i="5"/>
  <c r="M52" i="5"/>
  <c r="Z52" i="5"/>
  <c r="V52" i="5"/>
  <c r="Y33" i="5"/>
  <c r="Q52" i="5"/>
  <c r="U52" i="5"/>
  <c r="X52" i="5"/>
  <c r="Y73" i="5"/>
  <c r="W52" i="5"/>
  <c r="O52" i="5"/>
  <c r="AA66" i="5"/>
  <c r="S66" i="5"/>
  <c r="P33" i="5"/>
  <c r="S33" i="5"/>
  <c r="X33" i="5"/>
  <c r="V33" i="5"/>
  <c r="U66" i="5"/>
  <c r="W66" i="5"/>
  <c r="O66" i="5"/>
  <c r="V66" i="5"/>
  <c r="N66" i="5"/>
  <c r="Z66" i="5"/>
  <c r="R66" i="5"/>
  <c r="Z82" i="1"/>
  <c r="Y82" i="1"/>
  <c r="X82" i="1"/>
  <c r="W82" i="1"/>
  <c r="P72" i="5"/>
  <c r="Q72" i="5"/>
  <c r="L4" i="10" l="1"/>
  <c r="G38" i="11" s="1"/>
  <c r="G41" i="11" s="1"/>
  <c r="Q73" i="5"/>
  <c r="R73" i="5"/>
  <c r="O72" i="5"/>
  <c r="N53" i="1"/>
  <c r="N51" i="1" s="1"/>
  <c r="P53" i="1"/>
  <c r="P51" i="1" s="1"/>
  <c r="Q53" i="1"/>
  <c r="Q51" i="1" s="1"/>
  <c r="R53" i="1"/>
  <c r="R51" i="1" s="1"/>
  <c r="T53" i="1"/>
  <c r="U53" i="1"/>
  <c r="V53" i="1"/>
  <c r="T54" i="1"/>
  <c r="U54" i="1"/>
  <c r="V54" i="1"/>
  <c r="V51" i="1" l="1"/>
  <c r="T51" i="1"/>
  <c r="U51" i="1"/>
  <c r="M4" i="10"/>
  <c r="H38" i="11" s="1"/>
  <c r="H41" i="11" s="1"/>
  <c r="E44" i="5"/>
  <c r="L32" i="5"/>
  <c r="M32" i="5"/>
  <c r="L65" i="5"/>
  <c r="M66" i="5" s="1"/>
  <c r="L72" i="5"/>
  <c r="M72" i="5"/>
  <c r="N72" i="5"/>
  <c r="T17" i="4"/>
  <c r="U17" i="4"/>
  <c r="V17" i="4"/>
  <c r="W17" i="4"/>
  <c r="N4" i="10" l="1"/>
  <c r="I38" i="11" s="1"/>
  <c r="I41" i="11" s="1"/>
  <c r="N33" i="5"/>
  <c r="M33" i="5"/>
  <c r="W18" i="4"/>
  <c r="V42" i="1" s="1"/>
  <c r="V36" i="1" s="1"/>
  <c r="V18" i="4"/>
  <c r="U42" i="1" s="1"/>
  <c r="U36" i="1" s="1"/>
  <c r="U18" i="4"/>
  <c r="T42" i="1" s="1"/>
  <c r="T36" i="1" s="1"/>
  <c r="T18" i="4"/>
  <c r="S42" i="1" s="1"/>
  <c r="S36" i="1" s="1"/>
  <c r="F29" i="4"/>
  <c r="V33" i="4"/>
  <c r="V26" i="4" s="1"/>
  <c r="U33" i="4"/>
  <c r="U26" i="4" s="1"/>
  <c r="T33" i="4"/>
  <c r="T26" i="4" s="1"/>
  <c r="S33" i="4"/>
  <c r="S37" i="4" s="1"/>
  <c r="V103" i="1"/>
  <c r="V50" i="1"/>
  <c r="U50" i="1"/>
  <c r="T50" i="1"/>
  <c r="S50" i="1"/>
  <c r="L64" i="5" s="1"/>
  <c r="O4" i="10" l="1"/>
  <c r="J38" i="11" s="1"/>
  <c r="S26" i="4"/>
  <c r="M64" i="5"/>
  <c r="L67" i="5"/>
  <c r="F45" i="5"/>
  <c r="G45" i="5"/>
  <c r="H45" i="5"/>
  <c r="I45" i="5"/>
  <c r="J45" i="5"/>
  <c r="K45" i="5"/>
  <c r="L22" i="1"/>
  <c r="E38" i="5" s="1"/>
  <c r="K22" i="1"/>
  <c r="J22" i="1"/>
  <c r="I22" i="1"/>
  <c r="H22" i="1"/>
  <c r="G22" i="1"/>
  <c r="F22" i="1"/>
  <c r="V6" i="1"/>
  <c r="U6" i="1"/>
  <c r="T6" i="1"/>
  <c r="S6" i="1"/>
  <c r="R6" i="1"/>
  <c r="Q6" i="1"/>
  <c r="P6" i="1"/>
  <c r="O6" i="1"/>
  <c r="M6" i="1"/>
  <c r="L6" i="1"/>
  <c r="K6" i="1"/>
  <c r="J6" i="1"/>
  <c r="I6" i="1"/>
  <c r="H6" i="1"/>
  <c r="G6" i="1"/>
  <c r="L27" i="1"/>
  <c r="K27" i="1"/>
  <c r="J27" i="1"/>
  <c r="I27" i="1"/>
  <c r="H27" i="1"/>
  <c r="G27" i="1"/>
  <c r="F27" i="1"/>
  <c r="J41" i="11" l="1"/>
  <c r="K38" i="11"/>
  <c r="S31" i="1"/>
  <c r="P4" i="10"/>
  <c r="M67" i="5"/>
  <c r="N64" i="5"/>
  <c r="N24" i="1"/>
  <c r="O24" i="1" s="1"/>
  <c r="P24" i="1" s="1"/>
  <c r="Q24" i="1" s="1"/>
  <c r="R24" i="1" s="1"/>
  <c r="S24" i="1" s="1"/>
  <c r="T24" i="1" s="1"/>
  <c r="U24" i="1" s="1"/>
  <c r="V24" i="1" s="1"/>
  <c r="N25" i="1"/>
  <c r="O25" i="1" s="1"/>
  <c r="P25" i="1" s="1"/>
  <c r="Q25" i="1" s="1"/>
  <c r="R25" i="1" s="1"/>
  <c r="S25" i="1" s="1"/>
  <c r="T25" i="1" s="1"/>
  <c r="U25" i="1" s="1"/>
  <c r="V25" i="1" s="1"/>
  <c r="T31" i="1" l="1"/>
  <c r="Q4" i="10"/>
  <c r="L38" i="11"/>
  <c r="K41" i="11"/>
  <c r="N67" i="5"/>
  <c r="O64" i="5"/>
  <c r="F44" i="5"/>
  <c r="F46" i="5" s="1"/>
  <c r="N26" i="1"/>
  <c r="M22" i="1"/>
  <c r="N23" i="1"/>
  <c r="M38" i="11" l="1"/>
  <c r="L41" i="11"/>
  <c r="U31" i="1"/>
  <c r="R4" i="10"/>
  <c r="F38" i="5"/>
  <c r="P64" i="5"/>
  <c r="O67" i="5"/>
  <c r="O26" i="1"/>
  <c r="G44" i="5"/>
  <c r="G46" i="5" s="1"/>
  <c r="O23" i="1"/>
  <c r="N22" i="1"/>
  <c r="G38" i="5" s="1"/>
  <c r="V31" i="1" l="1"/>
  <c r="S4" i="10"/>
  <c r="N38" i="11"/>
  <c r="M41" i="11"/>
  <c r="Q64" i="5"/>
  <c r="P67" i="5"/>
  <c r="P26" i="1"/>
  <c r="H44" i="5"/>
  <c r="H46" i="5" s="1"/>
  <c r="P23" i="1"/>
  <c r="O22" i="1"/>
  <c r="H38" i="5" s="1"/>
  <c r="O38" i="11" l="1"/>
  <c r="N41" i="11"/>
  <c r="W31" i="1"/>
  <c r="W89" i="1" s="1"/>
  <c r="T4" i="10"/>
  <c r="Q67" i="5"/>
  <c r="R64" i="5"/>
  <c r="Q26" i="1"/>
  <c r="I44" i="5"/>
  <c r="I46" i="5" s="1"/>
  <c r="Q23" i="1"/>
  <c r="P22" i="1"/>
  <c r="I38" i="5" s="1"/>
  <c r="X31" i="1" l="1"/>
  <c r="X89" i="1" s="1"/>
  <c r="U4" i="10"/>
  <c r="P38" i="11"/>
  <c r="O41" i="11"/>
  <c r="S64" i="5"/>
  <c r="R67" i="5"/>
  <c r="R26" i="1"/>
  <c r="J44" i="5"/>
  <c r="J46" i="5" s="1"/>
  <c r="R23" i="1"/>
  <c r="Q22" i="1"/>
  <c r="J38" i="5" s="1"/>
  <c r="Q38" i="11" l="1"/>
  <c r="P41" i="11"/>
  <c r="Y31" i="1"/>
  <c r="V4" i="10"/>
  <c r="T64" i="5"/>
  <c r="S67" i="5"/>
  <c r="S26" i="1"/>
  <c r="T26" i="1" s="1"/>
  <c r="U26" i="1" s="1"/>
  <c r="V26" i="1" s="1"/>
  <c r="K44" i="5"/>
  <c r="K46" i="5" s="1"/>
  <c r="S23" i="1"/>
  <c r="R22" i="1"/>
  <c r="K38" i="5" s="1"/>
  <c r="W4" i="10" l="1"/>
  <c r="Y89" i="1"/>
  <c r="E3" i="9" a="1"/>
  <c r="E14" i="9" s="1"/>
  <c r="E2" i="12" a="1"/>
  <c r="R38" i="11"/>
  <c r="Q41" i="11"/>
  <c r="T67" i="5"/>
  <c r="U64" i="5"/>
  <c r="T23" i="1"/>
  <c r="S22" i="1"/>
  <c r="E23" i="9" l="1"/>
  <c r="E15" i="9"/>
  <c r="E6" i="9"/>
  <c r="E11" i="9"/>
  <c r="E17" i="9"/>
  <c r="E8" i="9"/>
  <c r="E13" i="9"/>
  <c r="E10" i="9"/>
  <c r="E5" i="9"/>
  <c r="E4" i="9"/>
  <c r="E3" i="9"/>
  <c r="E7" i="9"/>
  <c r="E9" i="9"/>
  <c r="E22" i="9"/>
  <c r="E18" i="9"/>
  <c r="E24" i="9"/>
  <c r="E12" i="9"/>
  <c r="E19" i="9"/>
  <c r="E20" i="9"/>
  <c r="E21" i="9"/>
  <c r="E16" i="9"/>
  <c r="E2" i="12"/>
  <c r="E5" i="12"/>
  <c r="E20" i="12"/>
  <c r="E10" i="12"/>
  <c r="E4" i="12"/>
  <c r="E15" i="12"/>
  <c r="E17" i="12"/>
  <c r="E19" i="12"/>
  <c r="E8" i="12"/>
  <c r="E22" i="12"/>
  <c r="E14" i="12"/>
  <c r="E9" i="12"/>
  <c r="E7" i="12"/>
  <c r="E11" i="12"/>
  <c r="E16" i="12"/>
  <c r="E23" i="12"/>
  <c r="E6" i="12"/>
  <c r="E18" i="12"/>
  <c r="E12" i="12"/>
  <c r="E3" i="12"/>
  <c r="E13" i="12"/>
  <c r="E21" i="12"/>
  <c r="S38" i="11"/>
  <c r="R41" i="11"/>
  <c r="V64" i="5"/>
  <c r="U67" i="5"/>
  <c r="U23" i="1"/>
  <c r="T22" i="1"/>
  <c r="T38" i="11" l="1"/>
  <c r="S41" i="11"/>
  <c r="W64" i="5"/>
  <c r="V67" i="5"/>
  <c r="U22" i="1"/>
  <c r="V23" i="1"/>
  <c r="V22" i="1" s="1"/>
  <c r="AD14" i="1"/>
  <c r="U38" i="11" l="1"/>
  <c r="T41" i="11"/>
  <c r="X64" i="5"/>
  <c r="W67" i="5"/>
  <c r="F25" i="5"/>
  <c r="AC18" i="1"/>
  <c r="AC16" i="1"/>
  <c r="AC14" i="1"/>
  <c r="AC12" i="1"/>
  <c r="L11" i="1"/>
  <c r="K11" i="1"/>
  <c r="J11" i="1"/>
  <c r="I11" i="1"/>
  <c r="H11" i="1"/>
  <c r="G11" i="1"/>
  <c r="F11" i="1"/>
  <c r="O14" i="1"/>
  <c r="P14" i="1" s="1"/>
  <c r="Q14" i="1" s="1"/>
  <c r="R14" i="1" s="1"/>
  <c r="S14" i="1" s="1"/>
  <c r="T14" i="1" s="1"/>
  <c r="U14" i="1" s="1"/>
  <c r="V14" i="1" s="1"/>
  <c r="V38" i="11" l="1"/>
  <c r="U41" i="11"/>
  <c r="X67" i="5"/>
  <c r="Y64" i="5"/>
  <c r="D27" i="8"/>
  <c r="D26" i="8"/>
  <c r="C16" i="8" s="1"/>
  <c r="L21" i="8"/>
  <c r="F17" i="8"/>
  <c r="G17" i="8" s="1"/>
  <c r="H17" i="8" s="1"/>
  <c r="C17" i="8"/>
  <c r="L16" i="8"/>
  <c r="L15" i="8"/>
  <c r="D6" i="8"/>
  <c r="P6" i="8" s="1"/>
  <c r="C6" i="8"/>
  <c r="D7" i="8" s="1"/>
  <c r="D5" i="8"/>
  <c r="E5" i="8" s="1"/>
  <c r="D28" i="8" l="1"/>
  <c r="C15" i="8" s="1"/>
  <c r="H20" i="8" s="1"/>
  <c r="D8" i="8"/>
  <c r="W38" i="11"/>
  <c r="V41" i="11"/>
  <c r="Z64" i="5"/>
  <c r="Y67" i="5"/>
  <c r="E7" i="8"/>
  <c r="F5" i="8"/>
  <c r="E9" i="8"/>
  <c r="I17" i="8"/>
  <c r="I18" i="8" s="1"/>
  <c r="H18" i="8"/>
  <c r="D9" i="8"/>
  <c r="D18" i="8"/>
  <c r="D19" i="8"/>
  <c r="E18" i="8"/>
  <c r="D20" i="8"/>
  <c r="F18" i="8"/>
  <c r="E20" i="8"/>
  <c r="G18" i="8"/>
  <c r="F20" i="8"/>
  <c r="G20" i="8"/>
  <c r="X38" i="11" l="1"/>
  <c r="W41" i="11"/>
  <c r="AA64" i="5"/>
  <c r="AA67" i="5" s="1"/>
  <c r="Z67" i="5"/>
  <c r="J17" i="8"/>
  <c r="I20" i="8"/>
  <c r="G5" i="8"/>
  <c r="F7" i="8"/>
  <c r="F9" i="8"/>
  <c r="Y38" i="11" l="1"/>
  <c r="X41" i="11"/>
  <c r="H5" i="8"/>
  <c r="G9" i="8"/>
  <c r="G7" i="8"/>
  <c r="K17" i="8"/>
  <c r="L17" i="8" s="1"/>
  <c r="J18" i="8"/>
  <c r="J20" i="8"/>
  <c r="Z38" i="11" l="1"/>
  <c r="Y41" i="11"/>
  <c r="K20" i="8"/>
  <c r="L20" i="8" s="1"/>
  <c r="K18" i="8"/>
  <c r="H9" i="8"/>
  <c r="H7" i="8"/>
  <c r="I5" i="8"/>
  <c r="AA38" i="11" l="1"/>
  <c r="AA41" i="11" s="1"/>
  <c r="Z41" i="11"/>
  <c r="I9" i="8"/>
  <c r="J5" i="8"/>
  <c r="I7" i="8"/>
  <c r="F2" i="12" l="1" a="1"/>
  <c r="F2" i="12" s="1"/>
  <c r="K5" i="8"/>
  <c r="J9" i="8"/>
  <c r="J7" i="8"/>
  <c r="F3" i="12" l="1"/>
  <c r="F12" i="12"/>
  <c r="F18" i="12"/>
  <c r="F6" i="12"/>
  <c r="F14" i="12"/>
  <c r="F8" i="12"/>
  <c r="F17" i="12"/>
  <c r="F20" i="12"/>
  <c r="F4" i="12"/>
  <c r="F15" i="12"/>
  <c r="F21" i="12"/>
  <c r="F10" i="12"/>
  <c r="F9" i="12"/>
  <c r="F11" i="12"/>
  <c r="F13" i="12"/>
  <c r="F7" i="12"/>
  <c r="F22" i="12"/>
  <c r="F5" i="12"/>
  <c r="F16" i="12"/>
  <c r="F19" i="12"/>
  <c r="F23" i="12"/>
  <c r="L5" i="8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L92" i="1" l="1"/>
  <c r="K92" i="1"/>
  <c r="J92" i="1"/>
  <c r="I92" i="1"/>
  <c r="H92" i="1"/>
  <c r="G92" i="1"/>
  <c r="F92" i="1"/>
  <c r="L68" i="1"/>
  <c r="G65" i="1"/>
  <c r="H65" i="1"/>
  <c r="I65" i="1"/>
  <c r="J65" i="1"/>
  <c r="K65" i="1"/>
  <c r="L65" i="1"/>
  <c r="L66" i="1" s="1"/>
  <c r="F65" i="1"/>
  <c r="J96" i="1"/>
  <c r="K96" i="1"/>
  <c r="F15" i="7" s="1"/>
  <c r="J15" i="7" s="1"/>
  <c r="J13" i="7" s="1"/>
  <c r="G96" i="1"/>
  <c r="H96" i="1"/>
  <c r="I96" i="1"/>
  <c r="F96" i="1"/>
  <c r="L78" i="1" l="1"/>
  <c r="E71" i="5" s="1"/>
  <c r="J2" i="9" s="1"/>
  <c r="H15" i="7"/>
  <c r="H13" i="7" s="1"/>
  <c r="AJ94" i="1" s="1"/>
  <c r="K15" i="7"/>
  <c r="K13" i="7" s="1"/>
  <c r="F13" i="7"/>
  <c r="G15" i="7"/>
  <c r="G13" i="7" s="1"/>
  <c r="AI94" i="1" s="1"/>
  <c r="I15" i="7"/>
  <c r="I13" i="7" s="1"/>
  <c r="AK94" i="1" s="1"/>
  <c r="K78" i="1"/>
  <c r="N97" i="1"/>
  <c r="O97" i="1" s="1"/>
  <c r="P97" i="1" s="1"/>
  <c r="Q97" i="1" s="1"/>
  <c r="R97" i="1" s="1"/>
  <c r="S97" i="1" s="1"/>
  <c r="T97" i="1" s="1"/>
  <c r="U97" i="1" s="1"/>
  <c r="V97" i="1" s="1"/>
  <c r="T103" i="1"/>
  <c r="T101" i="1" s="1"/>
  <c r="U103" i="1"/>
  <c r="U101" i="1" l="1"/>
  <c r="V101" i="1" s="1"/>
  <c r="N94" i="1"/>
  <c r="L15" i="7"/>
  <c r="L13" i="7" s="1"/>
  <c r="AD94" i="1"/>
  <c r="D25" i="5"/>
  <c r="E50" i="5"/>
  <c r="M106" i="1"/>
  <c r="F105" i="1"/>
  <c r="F107" i="1" s="1"/>
  <c r="D24" i="5"/>
  <c r="M43" i="1"/>
  <c r="L43" i="1"/>
  <c r="L6" i="10" l="1"/>
  <c r="G24" i="11" s="1"/>
  <c r="G27" i="11" s="1"/>
  <c r="N87" i="1"/>
  <c r="O94" i="1"/>
  <c r="M46" i="1"/>
  <c r="E24" i="5"/>
  <c r="M68" i="1"/>
  <c r="K81" i="6"/>
  <c r="J81" i="6"/>
  <c r="I81" i="6"/>
  <c r="H81" i="6"/>
  <c r="G81" i="6"/>
  <c r="F81" i="6"/>
  <c r="E81" i="6"/>
  <c r="D81" i="6"/>
  <c r="K77" i="6"/>
  <c r="J77" i="6"/>
  <c r="I77" i="6"/>
  <c r="H77" i="6"/>
  <c r="G77" i="6"/>
  <c r="F77" i="6"/>
  <c r="D76" i="6"/>
  <c r="D80" i="6" s="1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E32" i="6" s="1"/>
  <c r="E34" i="6" s="1"/>
  <c r="D35" i="6"/>
  <c r="D32" i="6" s="1"/>
  <c r="G33" i="6"/>
  <c r="F33" i="6"/>
  <c r="K27" i="6"/>
  <c r="J27" i="6"/>
  <c r="I27" i="6"/>
  <c r="H27" i="6"/>
  <c r="G27" i="6"/>
  <c r="F27" i="6"/>
  <c r="E27" i="6"/>
  <c r="E24" i="6" s="1"/>
  <c r="E26" i="6" s="1"/>
  <c r="D27" i="6"/>
  <c r="D24" i="6" s="1"/>
  <c r="E64" i="5"/>
  <c r="N82" i="1"/>
  <c r="O82" i="1"/>
  <c r="P82" i="1"/>
  <c r="Q82" i="1"/>
  <c r="R82" i="1"/>
  <c r="S82" i="1"/>
  <c r="T82" i="1"/>
  <c r="U82" i="1"/>
  <c r="V82" i="1"/>
  <c r="M82" i="1"/>
  <c r="M66" i="1" s="1"/>
  <c r="O43" i="1"/>
  <c r="P43" i="1"/>
  <c r="Q43" i="1"/>
  <c r="R43" i="1"/>
  <c r="N43" i="1"/>
  <c r="M6" i="10" l="1"/>
  <c r="H24" i="11" s="1"/>
  <c r="H27" i="11" s="1"/>
  <c r="O87" i="1"/>
  <c r="P94" i="1"/>
  <c r="N66" i="1"/>
  <c r="O66" i="1" s="1"/>
  <c r="E54" i="6"/>
  <c r="E56" i="6" s="1"/>
  <c r="M78" i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76" i="6"/>
  <c r="F80" i="6" s="1"/>
  <c r="F82" i="6" s="1"/>
  <c r="F32" i="6"/>
  <c r="N6" i="10" l="1"/>
  <c r="I24" i="11" s="1"/>
  <c r="I27" i="11" s="1"/>
  <c r="P87" i="1"/>
  <c r="F54" i="6"/>
  <c r="Q94" i="1"/>
  <c r="F71" i="5"/>
  <c r="J3" i="9" s="1"/>
  <c r="P66" i="1"/>
  <c r="G32" i="6"/>
  <c r="F34" i="6"/>
  <c r="F36" i="6" s="1"/>
  <c r="G50" i="6"/>
  <c r="H48" i="6"/>
  <c r="H62" i="6"/>
  <c r="G64" i="6"/>
  <c r="G66" i="6" s="1"/>
  <c r="G24" i="6"/>
  <c r="G76" i="6"/>
  <c r="I41" i="6"/>
  <c r="H43" i="6"/>
  <c r="O6" i="10" l="1"/>
  <c r="J24" i="11" s="1"/>
  <c r="J27" i="11" s="1"/>
  <c r="Q87" i="1"/>
  <c r="AE87" i="1" s="1"/>
  <c r="G54" i="6"/>
  <c r="F56" i="6"/>
  <c r="F58" i="6" s="1"/>
  <c r="R94" i="1"/>
  <c r="AE94" i="1"/>
  <c r="Q66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G34" i="6"/>
  <c r="G36" i="6" s="1"/>
  <c r="H32" i="6"/>
  <c r="P6" i="10" l="1"/>
  <c r="K24" i="11" s="1"/>
  <c r="K27" i="11" s="1"/>
  <c r="R87" i="1"/>
  <c r="G56" i="6"/>
  <c r="G58" i="6" s="1"/>
  <c r="H54" i="6"/>
  <c r="S94" i="1"/>
  <c r="R66" i="1"/>
  <c r="S66" i="1" s="1"/>
  <c r="J43" i="6"/>
  <c r="K41" i="6"/>
  <c r="K43" i="6" s="1"/>
  <c r="J48" i="6"/>
  <c r="I50" i="6"/>
  <c r="I64" i="6"/>
  <c r="I66" i="6" s="1"/>
  <c r="J62" i="6"/>
  <c r="H34" i="6"/>
  <c r="H36" i="6" s="1"/>
  <c r="I32" i="6"/>
  <c r="H80" i="6"/>
  <c r="H82" i="6" s="1"/>
  <c r="I76" i="6"/>
  <c r="H26" i="6"/>
  <c r="H28" i="6" s="1"/>
  <c r="I24" i="6"/>
  <c r="Q6" i="10" l="1"/>
  <c r="L24" i="11" s="1"/>
  <c r="L27" i="11" s="1"/>
  <c r="S87" i="1"/>
  <c r="H56" i="6"/>
  <c r="H58" i="6" s="1"/>
  <c r="I54" i="6"/>
  <c r="T94" i="1"/>
  <c r="T66" i="1"/>
  <c r="S78" i="1"/>
  <c r="L71" i="5" s="1"/>
  <c r="L74" i="5" s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R6" i="10" l="1"/>
  <c r="M24" i="11" s="1"/>
  <c r="N24" i="11" s="1"/>
  <c r="T87" i="1"/>
  <c r="I56" i="6"/>
  <c r="I58" i="6" s="1"/>
  <c r="J54" i="6"/>
  <c r="U94" i="1"/>
  <c r="U66" i="1"/>
  <c r="T78" i="1"/>
  <c r="M71" i="5" s="1"/>
  <c r="M74" i="5" s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S6" i="10" l="1"/>
  <c r="U87" i="1"/>
  <c r="M27" i="11"/>
  <c r="AF87" i="1"/>
  <c r="K54" i="6"/>
  <c r="K56" i="6" s="1"/>
  <c r="K58" i="6" s="1"/>
  <c r="J56" i="6"/>
  <c r="J58" i="6" s="1"/>
  <c r="O24" i="11"/>
  <c r="N27" i="11"/>
  <c r="V94" i="1"/>
  <c r="AF94" i="1"/>
  <c r="V66" i="1"/>
  <c r="U78" i="1"/>
  <c r="N71" i="5" s="1"/>
  <c r="N74" i="5" s="1"/>
  <c r="N78" i="1"/>
  <c r="O78" i="1"/>
  <c r="P78" i="1"/>
  <c r="Q78" i="1"/>
  <c r="R78" i="1"/>
  <c r="N50" i="1"/>
  <c r="O50" i="1"/>
  <c r="P50" i="1"/>
  <c r="Q50" i="1"/>
  <c r="R50" i="1"/>
  <c r="E72" i="5"/>
  <c r="F72" i="5"/>
  <c r="F74" i="5" s="1"/>
  <c r="G72" i="5"/>
  <c r="H72" i="5"/>
  <c r="I72" i="5"/>
  <c r="J72" i="5"/>
  <c r="K72" i="5"/>
  <c r="D72" i="5"/>
  <c r="E65" i="5"/>
  <c r="F65" i="5"/>
  <c r="G65" i="5"/>
  <c r="H65" i="5"/>
  <c r="I65" i="5"/>
  <c r="J65" i="5"/>
  <c r="K65" i="5"/>
  <c r="D65" i="5"/>
  <c r="E58" i="5"/>
  <c r="F58" i="5"/>
  <c r="G58" i="5"/>
  <c r="H58" i="5"/>
  <c r="I58" i="5"/>
  <c r="J58" i="5"/>
  <c r="K58" i="5"/>
  <c r="L59" i="5" s="1"/>
  <c r="D58" i="5"/>
  <c r="E51" i="5"/>
  <c r="F51" i="5"/>
  <c r="G51" i="5"/>
  <c r="H51" i="5"/>
  <c r="I51" i="5"/>
  <c r="J51" i="5"/>
  <c r="K51" i="5"/>
  <c r="D51" i="5"/>
  <c r="E32" i="5"/>
  <c r="F32" i="5"/>
  <c r="G32" i="5"/>
  <c r="H32" i="5"/>
  <c r="I32" i="5"/>
  <c r="J32" i="5"/>
  <c r="K32" i="5"/>
  <c r="D32" i="5"/>
  <c r="E25" i="5"/>
  <c r="G25" i="5"/>
  <c r="H25" i="5"/>
  <c r="I25" i="5"/>
  <c r="J25" i="5"/>
  <c r="K25" i="5"/>
  <c r="E45" i="5"/>
  <c r="D45" i="5"/>
  <c r="E39" i="5"/>
  <c r="F39" i="5"/>
  <c r="F40" i="5" s="1"/>
  <c r="G39" i="5"/>
  <c r="G40" i="5" s="1"/>
  <c r="H39" i="5"/>
  <c r="H40" i="5" s="1"/>
  <c r="I39" i="5"/>
  <c r="I40" i="5" s="1"/>
  <c r="J39" i="5"/>
  <c r="J40" i="5" s="1"/>
  <c r="K39" i="5"/>
  <c r="K40" i="5" s="1"/>
  <c r="D39" i="5"/>
  <c r="P32" i="1"/>
  <c r="O32" i="1"/>
  <c r="T6" i="10" l="1"/>
  <c r="V87" i="1"/>
  <c r="D2" i="12" a="1"/>
  <c r="D3" i="12" s="1"/>
  <c r="P24" i="11"/>
  <c r="O27" i="11"/>
  <c r="V106" i="1"/>
  <c r="D3" i="9" a="1"/>
  <c r="D19" i="9" s="1"/>
  <c r="K52" i="5"/>
  <c r="L52" i="5"/>
  <c r="V78" i="1"/>
  <c r="O71" i="5" s="1"/>
  <c r="O74" i="5" s="1"/>
  <c r="W66" i="1"/>
  <c r="G64" i="5"/>
  <c r="G67" i="5" s="1"/>
  <c r="G70" i="6"/>
  <c r="G72" i="6" s="1"/>
  <c r="I70" i="6"/>
  <c r="I72" i="6" s="1"/>
  <c r="I64" i="5"/>
  <c r="I67" i="5" s="1"/>
  <c r="F64" i="5"/>
  <c r="F67" i="5" s="1"/>
  <c r="F70" i="6"/>
  <c r="F72" i="6" s="1"/>
  <c r="H70" i="6"/>
  <c r="H72" i="6" s="1"/>
  <c r="H64" i="5"/>
  <c r="H67" i="5" s="1"/>
  <c r="K70" i="6"/>
  <c r="K72" i="6" s="1"/>
  <c r="K64" i="5"/>
  <c r="K67" i="5" s="1"/>
  <c r="J64" i="5"/>
  <c r="J67" i="5" s="1"/>
  <c r="J70" i="6"/>
  <c r="J72" i="6" s="1"/>
  <c r="N64" i="1"/>
  <c r="W78" i="1" l="1"/>
  <c r="P71" i="5" s="1"/>
  <c r="P74" i="5" s="1"/>
  <c r="X66" i="1"/>
  <c r="D6" i="12"/>
  <c r="D9" i="12"/>
  <c r="D16" i="12"/>
  <c r="H2" i="12" a="1"/>
  <c r="H12" i="12" s="1"/>
  <c r="D11" i="12"/>
  <c r="D13" i="12"/>
  <c r="D17" i="12"/>
  <c r="D12" i="12"/>
  <c r="D22" i="12"/>
  <c r="D18" i="12"/>
  <c r="D19" i="12"/>
  <c r="D10" i="12"/>
  <c r="D21" i="12"/>
  <c r="D15" i="12"/>
  <c r="D2" i="12"/>
  <c r="D7" i="12"/>
  <c r="D23" i="12"/>
  <c r="D5" i="12"/>
  <c r="D20" i="12"/>
  <c r="D4" i="12"/>
  <c r="D8" i="12"/>
  <c r="D14" i="12"/>
  <c r="Q24" i="11"/>
  <c r="P27" i="11"/>
  <c r="D8" i="9"/>
  <c r="D15" i="9"/>
  <c r="D12" i="9"/>
  <c r="D20" i="9"/>
  <c r="D14" i="9"/>
  <c r="D21" i="9"/>
  <c r="D13" i="9"/>
  <c r="D5" i="9"/>
  <c r="D6" i="9"/>
  <c r="D9" i="9"/>
  <c r="D4" i="9"/>
  <c r="D22" i="9"/>
  <c r="D3" i="9"/>
  <c r="D16" i="9"/>
  <c r="D10" i="9"/>
  <c r="D17" i="9"/>
  <c r="D18" i="9"/>
  <c r="D11" i="9"/>
  <c r="D24" i="9"/>
  <c r="D7" i="9"/>
  <c r="D23" i="9"/>
  <c r="H3" i="9" a="1"/>
  <c r="O64" i="1"/>
  <c r="X78" i="1" l="1"/>
  <c r="Y66" i="1"/>
  <c r="H20" i="12"/>
  <c r="H3" i="12"/>
  <c r="H15" i="12"/>
  <c r="H13" i="12"/>
  <c r="H21" i="12"/>
  <c r="H18" i="12"/>
  <c r="H7" i="12"/>
  <c r="H8" i="12"/>
  <c r="H2" i="12"/>
  <c r="H14" i="12"/>
  <c r="H16" i="12"/>
  <c r="H11" i="12"/>
  <c r="H22" i="12"/>
  <c r="H4" i="12"/>
  <c r="H5" i="12"/>
  <c r="H6" i="12"/>
  <c r="H17" i="12"/>
  <c r="H23" i="12"/>
  <c r="H19" i="12"/>
  <c r="H10" i="12"/>
  <c r="H9" i="12"/>
  <c r="R24" i="11"/>
  <c r="Q27" i="11"/>
  <c r="Q74" i="5"/>
  <c r="H3" i="9"/>
  <c r="H21" i="9"/>
  <c r="H7" i="9"/>
  <c r="H18" i="9"/>
  <c r="H20" i="9"/>
  <c r="H22" i="9"/>
  <c r="H19" i="9"/>
  <c r="H8" i="9"/>
  <c r="H12" i="9"/>
  <c r="H6" i="9"/>
  <c r="H17" i="9"/>
  <c r="H5" i="9"/>
  <c r="H4" i="9"/>
  <c r="H13" i="9"/>
  <c r="H10" i="9"/>
  <c r="H14" i="9"/>
  <c r="H16" i="9"/>
  <c r="H9" i="9"/>
  <c r="H11" i="9"/>
  <c r="H15" i="9"/>
  <c r="H24" i="9"/>
  <c r="H23" i="9"/>
  <c r="P64" i="1"/>
  <c r="Z66" i="1" l="1"/>
  <c r="Z78" i="1" s="1"/>
  <c r="Y78" i="1"/>
  <c r="S24" i="11"/>
  <c r="R27" i="11"/>
  <c r="R74" i="5"/>
  <c r="R64" i="1"/>
  <c r="Q64" i="1"/>
  <c r="T24" i="11" l="1"/>
  <c r="S27" i="11"/>
  <c r="T71" i="5"/>
  <c r="S74" i="5"/>
  <c r="G105" i="1"/>
  <c r="G107" i="1" s="1"/>
  <c r="H105" i="1"/>
  <c r="H107" i="1" s="1"/>
  <c r="I105" i="1"/>
  <c r="I107" i="1" s="1"/>
  <c r="J105" i="1"/>
  <c r="J107" i="1" s="1"/>
  <c r="K105" i="1"/>
  <c r="K107" i="1" s="1"/>
  <c r="U24" i="11" l="1"/>
  <c r="T27" i="11"/>
  <c r="U71" i="5"/>
  <c r="T74" i="5"/>
  <c r="AE43" i="1"/>
  <c r="AF43" i="1"/>
  <c r="X42" i="2"/>
  <c r="F47" i="2"/>
  <c r="X41" i="2"/>
  <c r="X40" i="2"/>
  <c r="X38" i="2"/>
  <c r="X37" i="2"/>
  <c r="X36" i="2"/>
  <c r="X35" i="2"/>
  <c r="X34" i="2"/>
  <c r="S39" i="1"/>
  <c r="T39" i="1"/>
  <c r="U39" i="1"/>
  <c r="L46" i="1"/>
  <c r="K46" i="1"/>
  <c r="J46" i="1"/>
  <c r="AD43" i="1"/>
  <c r="G48" i="2"/>
  <c r="AI43" i="1" s="1"/>
  <c r="AI48" i="1" s="1"/>
  <c r="AD32" i="1"/>
  <c r="S18" i="4"/>
  <c r="R42" i="1" s="1"/>
  <c r="K37" i="4"/>
  <c r="K17" i="4" s="1"/>
  <c r="R33" i="4"/>
  <c r="Q33" i="4"/>
  <c r="P33" i="4"/>
  <c r="O33" i="4"/>
  <c r="O13" i="4"/>
  <c r="O12" i="4"/>
  <c r="O11" i="4"/>
  <c r="O10" i="4"/>
  <c r="N13" i="4"/>
  <c r="N31" i="4" s="1"/>
  <c r="M13" i="4"/>
  <c r="M31" i="4" s="1"/>
  <c r="F30" i="4"/>
  <c r="G30" i="4"/>
  <c r="H30" i="4"/>
  <c r="F31" i="4"/>
  <c r="G31" i="4"/>
  <c r="H31" i="4"/>
  <c r="H32" i="4" s="1"/>
  <c r="H33" i="4" s="1"/>
  <c r="K26" i="4"/>
  <c r="K34" i="4" s="1"/>
  <c r="L30" i="4"/>
  <c r="M12" i="4"/>
  <c r="M30" i="4" s="1"/>
  <c r="N12" i="4" s="1"/>
  <c r="L29" i="4"/>
  <c r="M11" i="4"/>
  <c r="M29" i="4" s="1"/>
  <c r="N11" i="4" s="1"/>
  <c r="L28" i="4"/>
  <c r="L37" i="4" s="1"/>
  <c r="L17" i="4" s="1"/>
  <c r="M10" i="4"/>
  <c r="O34" i="4" l="1"/>
  <c r="O37" i="4"/>
  <c r="O38" i="4" s="1"/>
  <c r="F32" i="4"/>
  <c r="F33" i="4" s="1"/>
  <c r="V24" i="11"/>
  <c r="U27" i="11"/>
  <c r="Q26" i="4"/>
  <c r="Q37" i="4"/>
  <c r="P26" i="4"/>
  <c r="P37" i="4"/>
  <c r="R26" i="4"/>
  <c r="R37" i="4"/>
  <c r="L47" i="1"/>
  <c r="J88" i="1"/>
  <c r="K88" i="1"/>
  <c r="D57" i="5" s="1"/>
  <c r="K47" i="1"/>
  <c r="V71" i="5"/>
  <c r="U74" i="5"/>
  <c r="G47" i="2"/>
  <c r="G32" i="4"/>
  <c r="G33" i="4" s="1"/>
  <c r="K38" i="4"/>
  <c r="K18" i="4" s="1"/>
  <c r="G49" i="2"/>
  <c r="G50" i="2" s="1"/>
  <c r="X43" i="2"/>
  <c r="AF42" i="1"/>
  <c r="Q18" i="4"/>
  <c r="P42" i="1" s="1"/>
  <c r="S17" i="4"/>
  <c r="R39" i="1" s="1"/>
  <c r="L26" i="4"/>
  <c r="M26" i="4"/>
  <c r="M28" i="4"/>
  <c r="Q17" i="4" l="1"/>
  <c r="P39" i="1" s="1"/>
  <c r="P38" i="1" s="1"/>
  <c r="W24" i="11"/>
  <c r="V27" i="11"/>
  <c r="R17" i="4"/>
  <c r="Q39" i="1" s="1"/>
  <c r="Q38" i="1" s="1"/>
  <c r="P17" i="4"/>
  <c r="O39" i="1" s="1"/>
  <c r="O38" i="1" s="1"/>
  <c r="O17" i="4"/>
  <c r="N39" i="1" s="1"/>
  <c r="N38" i="1" s="1"/>
  <c r="N46" i="1"/>
  <c r="W71" i="5"/>
  <c r="V74" i="5"/>
  <c r="R38" i="1"/>
  <c r="M33" i="4"/>
  <c r="M37" i="4" s="1"/>
  <c r="AF39" i="1"/>
  <c r="L34" i="4"/>
  <c r="L38" i="4"/>
  <c r="L18" i="4" s="1"/>
  <c r="P18" i="4"/>
  <c r="O42" i="1" s="1"/>
  <c r="O18" i="4"/>
  <c r="N42" i="1" s="1"/>
  <c r="R18" i="4"/>
  <c r="Q42" i="1" s="1"/>
  <c r="M17" i="4" l="1"/>
  <c r="L39" i="1" s="1"/>
  <c r="L38" i="1" s="1"/>
  <c r="N88" i="1"/>
  <c r="O46" i="1"/>
  <c r="O88" i="1" s="1"/>
  <c r="P36" i="1"/>
  <c r="Q36" i="1"/>
  <c r="AE39" i="1"/>
  <c r="X24" i="11"/>
  <c r="W27" i="11"/>
  <c r="N36" i="1"/>
  <c r="R36" i="1"/>
  <c r="AF36" i="1" s="1"/>
  <c r="O36" i="1"/>
  <c r="M34" i="4"/>
  <c r="X71" i="5"/>
  <c r="W74" i="5"/>
  <c r="N33" i="4"/>
  <c r="N10" i="4"/>
  <c r="AE42" i="1"/>
  <c r="M38" i="4"/>
  <c r="M18" i="4" s="1"/>
  <c r="L42" i="1" s="1"/>
  <c r="K20" i="3"/>
  <c r="L20" i="3"/>
  <c r="M20" i="3"/>
  <c r="N20" i="3"/>
  <c r="O20" i="3"/>
  <c r="P20" i="3"/>
  <c r="Q20" i="3"/>
  <c r="R20" i="3"/>
  <c r="J20" i="3"/>
  <c r="I20" i="3"/>
  <c r="H20" i="3"/>
  <c r="AK16" i="1" s="1"/>
  <c r="G20" i="3"/>
  <c r="AJ16" i="1" s="1"/>
  <c r="F20" i="3"/>
  <c r="AI16" i="1" s="1"/>
  <c r="G21" i="3"/>
  <c r="AJ18" i="1" s="1"/>
  <c r="H21" i="3"/>
  <c r="AK18" i="1" s="1"/>
  <c r="I21" i="3"/>
  <c r="J21" i="3"/>
  <c r="K21" i="3"/>
  <c r="L21" i="3"/>
  <c r="M21" i="3"/>
  <c r="N21" i="3"/>
  <c r="O21" i="3"/>
  <c r="P21" i="3"/>
  <c r="Q21" i="3"/>
  <c r="R21" i="3"/>
  <c r="F21" i="3"/>
  <c r="AI18" i="1" s="1"/>
  <c r="G19" i="3"/>
  <c r="AJ12" i="1" s="1"/>
  <c r="H19" i="3"/>
  <c r="AK12" i="1" s="1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AI12" i="1" s="1"/>
  <c r="AD12" i="1" s="1"/>
  <c r="G46" i="1"/>
  <c r="H88" i="1"/>
  <c r="I46" i="1"/>
  <c r="F46" i="1"/>
  <c r="AC36" i="1"/>
  <c r="I47" i="2"/>
  <c r="H47" i="2"/>
  <c r="F24" i="2"/>
  <c r="N37" i="4" l="1"/>
  <c r="N38" i="4" s="1"/>
  <c r="N18" i="4" s="1"/>
  <c r="M42" i="1" s="1"/>
  <c r="L88" i="1"/>
  <c r="E57" i="5" s="1"/>
  <c r="L36" i="1"/>
  <c r="M105" i="1"/>
  <c r="M107" i="1"/>
  <c r="P46" i="1"/>
  <c r="P88" i="1" s="1"/>
  <c r="M2" i="9" a="1"/>
  <c r="M2" i="9" s="1"/>
  <c r="K3" i="9" a="1"/>
  <c r="K3" i="9" s="1"/>
  <c r="N30" i="1"/>
  <c r="L3" i="10" s="1"/>
  <c r="G45" i="11" s="1"/>
  <c r="G48" i="11" s="1"/>
  <c r="Y24" i="11"/>
  <c r="X27" i="11"/>
  <c r="F88" i="1"/>
  <c r="G88" i="1"/>
  <c r="G47" i="1"/>
  <c r="H47" i="1"/>
  <c r="I88" i="1"/>
  <c r="I47" i="1"/>
  <c r="J47" i="1"/>
  <c r="Y71" i="5"/>
  <c r="X74" i="5"/>
  <c r="O16" i="1"/>
  <c r="P16" i="1" s="1"/>
  <c r="Q16" i="1" s="1"/>
  <c r="R16" i="1" s="1"/>
  <c r="S16" i="1" s="1"/>
  <c r="T16" i="1" s="1"/>
  <c r="U16" i="1" s="1"/>
  <c r="V16" i="1" s="1"/>
  <c r="AD16" i="1"/>
  <c r="N34" i="4"/>
  <c r="N35" i="4" s="1"/>
  <c r="AD42" i="1"/>
  <c r="L105" i="1"/>
  <c r="L107" i="1" s="1"/>
  <c r="AE36" i="1"/>
  <c r="H49" i="2"/>
  <c r="H50" i="2" s="1"/>
  <c r="I49" i="2"/>
  <c r="I50" i="2" s="1"/>
  <c r="N17" i="4" l="1"/>
  <c r="M39" i="1" s="1"/>
  <c r="F31" i="5"/>
  <c r="Q46" i="1"/>
  <c r="Q88" i="1" s="1"/>
  <c r="Z24" i="11"/>
  <c r="Y27" i="11"/>
  <c r="AD36" i="1"/>
  <c r="Z71" i="5"/>
  <c r="Y74" i="5"/>
  <c r="E31" i="5"/>
  <c r="AE14" i="1"/>
  <c r="AF16" i="1"/>
  <c r="AE16" i="1"/>
  <c r="AC64" i="1"/>
  <c r="AC50" i="1"/>
  <c r="AC31" i="1"/>
  <c r="AC30" i="1"/>
  <c r="AG18" i="1"/>
  <c r="AG16" i="1"/>
  <c r="AG14" i="1"/>
  <c r="AG12" i="1"/>
  <c r="M38" i="1" l="1"/>
  <c r="L2" i="9" s="1" a="1"/>
  <c r="L2" i="9" s="1"/>
  <c r="AD39" i="1"/>
  <c r="R46" i="1"/>
  <c r="R88" i="1" s="1"/>
  <c r="AA24" i="11"/>
  <c r="AA27" i="11" s="1"/>
  <c r="Z27" i="11"/>
  <c r="AJ28" i="1"/>
  <c r="AJ29" i="1" s="1"/>
  <c r="AI28" i="1"/>
  <c r="AI29" i="1" s="1"/>
  <c r="AI30" i="1"/>
  <c r="AK28" i="1"/>
  <c r="AA71" i="5"/>
  <c r="AA74" i="5" s="1"/>
  <c r="Z74" i="5"/>
  <c r="AJ30" i="1"/>
  <c r="AJ46" i="1" s="1"/>
  <c r="AK30" i="1"/>
  <c r="AK46" i="1" s="1"/>
  <c r="AF14" i="1"/>
  <c r="M89" i="1"/>
  <c r="S46" i="1" l="1"/>
  <c r="S88" i="1" s="1"/>
  <c r="B2" i="12" a="1"/>
  <c r="B2" i="12" s="1"/>
  <c r="F50" i="5"/>
  <c r="F53" i="5" s="1"/>
  <c r="N18" i="1"/>
  <c r="AD18" i="1"/>
  <c r="AI46" i="1"/>
  <c r="M11" i="1"/>
  <c r="AD31" i="1"/>
  <c r="AD48" i="1" s="1"/>
  <c r="T46" i="1" l="1"/>
  <c r="T88" i="1" s="1"/>
  <c r="B5" i="12"/>
  <c r="B23" i="12"/>
  <c r="B3" i="12"/>
  <c r="B7" i="12"/>
  <c r="B16" i="12"/>
  <c r="B6" i="12"/>
  <c r="B9" i="12"/>
  <c r="B20" i="12"/>
  <c r="B13" i="12"/>
  <c r="B21" i="12"/>
  <c r="B8" i="12"/>
  <c r="B12" i="12"/>
  <c r="B19" i="12"/>
  <c r="B22" i="12"/>
  <c r="B17" i="12"/>
  <c r="B11" i="12"/>
  <c r="B18" i="12"/>
  <c r="B14" i="12"/>
  <c r="B10" i="12"/>
  <c r="B15" i="12"/>
  <c r="B4" i="12"/>
  <c r="V89" i="1"/>
  <c r="AC46" i="1"/>
  <c r="O18" i="1"/>
  <c r="M88" i="1"/>
  <c r="AD46" i="1"/>
  <c r="AO46" i="1" s="1"/>
  <c r="AE31" i="1"/>
  <c r="U46" i="1" l="1"/>
  <c r="U88" i="1" s="1"/>
  <c r="F57" i="5"/>
  <c r="F60" i="5" s="1"/>
  <c r="AN46" i="1"/>
  <c r="G57" i="5"/>
  <c r="G60" i="5" s="1"/>
  <c r="P18" i="1"/>
  <c r="O12" i="1"/>
  <c r="AF31" i="1"/>
  <c r="V46" i="1" l="1"/>
  <c r="V88" i="1" s="1"/>
  <c r="Q18" i="1"/>
  <c r="AE18" i="1" s="1"/>
  <c r="P12" i="1"/>
  <c r="O11" i="1"/>
  <c r="H57" i="5"/>
  <c r="H60" i="5" s="1"/>
  <c r="O30" i="1"/>
  <c r="M3" i="10" s="1"/>
  <c r="H45" i="11" s="1"/>
  <c r="H48" i="11" s="1"/>
  <c r="R18" i="1" l="1"/>
  <c r="Q12" i="1"/>
  <c r="AE12" i="1" s="1"/>
  <c r="P11" i="1"/>
  <c r="P30" i="1"/>
  <c r="N3" i="10" s="1"/>
  <c r="I45" i="11" s="1"/>
  <c r="I48" i="11" s="1"/>
  <c r="I57" i="5"/>
  <c r="I60" i="5" s="1"/>
  <c r="S18" i="1" l="1"/>
  <c r="R12" i="1"/>
  <c r="Q11" i="1"/>
  <c r="Q30" i="1"/>
  <c r="O3" i="10" s="1"/>
  <c r="J45" i="11" s="1"/>
  <c r="J48" i="11" s="1"/>
  <c r="J57" i="5"/>
  <c r="J60" i="5" s="1"/>
  <c r="AE46" i="1"/>
  <c r="T18" i="1" l="1"/>
  <c r="S12" i="1"/>
  <c r="R11" i="1"/>
  <c r="R30" i="1"/>
  <c r="P3" i="10" s="1"/>
  <c r="K45" i="11" s="1"/>
  <c r="L45" i="11" s="1"/>
  <c r="M45" i="11" s="1"/>
  <c r="N45" i="11" s="1"/>
  <c r="O45" i="11" s="1"/>
  <c r="P45" i="11" s="1"/>
  <c r="Q45" i="11" s="1"/>
  <c r="R45" i="11" s="1"/>
  <c r="S45" i="11" s="1"/>
  <c r="T45" i="11" s="1"/>
  <c r="U45" i="11" s="1"/>
  <c r="V45" i="11" s="1"/>
  <c r="W45" i="11" s="1"/>
  <c r="X45" i="11" s="1"/>
  <c r="Y45" i="11" s="1"/>
  <c r="Z45" i="11" s="1"/>
  <c r="AA45" i="11" s="1"/>
  <c r="K57" i="5"/>
  <c r="L57" i="5" s="1"/>
  <c r="M57" i="5" s="1"/>
  <c r="N57" i="5" s="1"/>
  <c r="O57" i="5" s="1"/>
  <c r="P57" i="5" s="1"/>
  <c r="Q57" i="5" s="1"/>
  <c r="R57" i="5" s="1"/>
  <c r="S57" i="5" s="1"/>
  <c r="T57" i="5" s="1"/>
  <c r="U57" i="5" s="1"/>
  <c r="V57" i="5" s="1"/>
  <c r="W57" i="5" s="1"/>
  <c r="X57" i="5" s="1"/>
  <c r="Y57" i="5" s="1"/>
  <c r="Z57" i="5" s="1"/>
  <c r="AA57" i="5" s="1"/>
  <c r="K48" i="11" l="1"/>
  <c r="K60" i="5"/>
  <c r="U18" i="1"/>
  <c r="T12" i="1"/>
  <c r="S11" i="1"/>
  <c r="S30" i="1"/>
  <c r="Q3" i="10" s="1"/>
  <c r="L48" i="11" l="1"/>
  <c r="M60" i="5"/>
  <c r="V18" i="1"/>
  <c r="AF18" i="1"/>
  <c r="U12" i="1"/>
  <c r="T11" i="1"/>
  <c r="T30" i="1"/>
  <c r="R3" i="10" s="1"/>
  <c r="M48" i="11" l="1"/>
  <c r="N60" i="5"/>
  <c r="U11" i="1"/>
  <c r="V12" i="1"/>
  <c r="V11" i="1" s="1"/>
  <c r="AF12" i="1"/>
  <c r="AF46" i="1"/>
  <c r="U30" i="1"/>
  <c r="S3" i="10" s="1"/>
  <c r="N48" i="11" l="1"/>
  <c r="O60" i="5"/>
  <c r="G71" i="5"/>
  <c r="G74" i="5" s="1"/>
  <c r="N89" i="1"/>
  <c r="G50" i="5" s="1"/>
  <c r="G53" i="5" s="1"/>
  <c r="N106" i="1"/>
  <c r="F24" i="5" s="1"/>
  <c r="F27" i="5" s="1"/>
  <c r="O48" i="11" l="1"/>
  <c r="P60" i="5"/>
  <c r="O106" i="1"/>
  <c r="G24" i="5" s="1"/>
  <c r="G27" i="5" s="1"/>
  <c r="H71" i="5"/>
  <c r="H74" i="5" s="1"/>
  <c r="O89" i="1"/>
  <c r="H50" i="5" s="1"/>
  <c r="H53" i="5" s="1"/>
  <c r="P48" i="11" l="1"/>
  <c r="Q60" i="5"/>
  <c r="I71" i="5"/>
  <c r="I74" i="5" s="1"/>
  <c r="P106" i="1"/>
  <c r="H24" i="5" s="1"/>
  <c r="H27" i="5" s="1"/>
  <c r="P89" i="1"/>
  <c r="I50" i="5" s="1"/>
  <c r="I53" i="5" s="1"/>
  <c r="Q48" i="11" l="1"/>
  <c r="R60" i="5"/>
  <c r="J71" i="5"/>
  <c r="J74" i="5" s="1"/>
  <c r="Q106" i="1"/>
  <c r="I24" i="5" s="1"/>
  <c r="I27" i="5" s="1"/>
  <c r="Q89" i="1"/>
  <c r="J50" i="5" s="1"/>
  <c r="R48" i="11" l="1"/>
  <c r="J53" i="5"/>
  <c r="K50" i="5"/>
  <c r="L50" i="5" s="1"/>
  <c r="M50" i="5" s="1"/>
  <c r="N50" i="5" s="1"/>
  <c r="O50" i="5" s="1"/>
  <c r="S60" i="5"/>
  <c r="K71" i="5"/>
  <c r="K74" i="5" s="1"/>
  <c r="R89" i="1"/>
  <c r="R106" i="1"/>
  <c r="J24" i="5" s="1"/>
  <c r="J27" i="5" s="1"/>
  <c r="I3" i="9" l="1" a="1"/>
  <c r="I5" i="9" s="1"/>
  <c r="I2" i="12" a="1"/>
  <c r="S48" i="11"/>
  <c r="K53" i="5"/>
  <c r="P50" i="5"/>
  <c r="O53" i="5"/>
  <c r="T60" i="5"/>
  <c r="S106" i="1"/>
  <c r="K24" i="5" s="1"/>
  <c r="K27" i="5" s="1"/>
  <c r="S89" i="1"/>
  <c r="L53" i="5" s="1"/>
  <c r="I16" i="9" l="1"/>
  <c r="I4" i="9"/>
  <c r="I7" i="9"/>
  <c r="I19" i="9"/>
  <c r="I12" i="9"/>
  <c r="I11" i="9"/>
  <c r="I13" i="9"/>
  <c r="I3" i="9"/>
  <c r="I20" i="9"/>
  <c r="I22" i="9"/>
  <c r="I14" i="9"/>
  <c r="I10" i="9"/>
  <c r="I17" i="9"/>
  <c r="I18" i="9"/>
  <c r="I6" i="9"/>
  <c r="I15" i="9"/>
  <c r="I24" i="9"/>
  <c r="I21" i="9"/>
  <c r="I9" i="9"/>
  <c r="I23" i="9"/>
  <c r="I8" i="9"/>
  <c r="I2" i="12"/>
  <c r="I9" i="12"/>
  <c r="I17" i="12"/>
  <c r="I19" i="12"/>
  <c r="I6" i="12"/>
  <c r="I8" i="12"/>
  <c r="I16" i="12"/>
  <c r="I11" i="12"/>
  <c r="I14" i="12"/>
  <c r="I13" i="12"/>
  <c r="I20" i="12"/>
  <c r="I4" i="12"/>
  <c r="I15" i="12"/>
  <c r="I23" i="12"/>
  <c r="I3" i="12"/>
  <c r="I21" i="12"/>
  <c r="I5" i="12"/>
  <c r="I22" i="12"/>
  <c r="I7" i="12"/>
  <c r="I18" i="12"/>
  <c r="I10" i="12"/>
  <c r="I12" i="12"/>
  <c r="T48" i="11"/>
  <c r="Q50" i="5"/>
  <c r="P53" i="5"/>
  <c r="U60" i="5"/>
  <c r="T106" i="1"/>
  <c r="L24" i="5" s="1"/>
  <c r="L27" i="5" s="1"/>
  <c r="T89" i="1"/>
  <c r="M53" i="5" s="1"/>
  <c r="U48" i="11" l="1"/>
  <c r="R50" i="5"/>
  <c r="Q53" i="5"/>
  <c r="V60" i="5"/>
  <c r="U89" i="1"/>
  <c r="N53" i="5" s="1"/>
  <c r="U106" i="1"/>
  <c r="M24" i="5" s="1"/>
  <c r="V48" i="11" l="1"/>
  <c r="M27" i="5"/>
  <c r="N24" i="5"/>
  <c r="S50" i="5"/>
  <c r="R53" i="5"/>
  <c r="W60" i="5"/>
  <c r="N92" i="1"/>
  <c r="O92" i="1" s="1"/>
  <c r="W48" i="11" l="1"/>
  <c r="O24" i="5"/>
  <c r="N27" i="5"/>
  <c r="S53" i="5"/>
  <c r="T50" i="5"/>
  <c r="X60" i="5"/>
  <c r="N91" i="1"/>
  <c r="O91" i="1"/>
  <c r="P92" i="1"/>
  <c r="X48" i="11" l="1"/>
  <c r="O105" i="1"/>
  <c r="M5" i="10"/>
  <c r="H31" i="11" s="1"/>
  <c r="H34" i="11" s="1"/>
  <c r="N105" i="1"/>
  <c r="L5" i="10"/>
  <c r="G31" i="11" s="1"/>
  <c r="G34" i="11" s="1"/>
  <c r="F34" i="5"/>
  <c r="O27" i="5"/>
  <c r="P24" i="5"/>
  <c r="T53" i="5"/>
  <c r="U50" i="5"/>
  <c r="Y60" i="5"/>
  <c r="Q92" i="1"/>
  <c r="P91" i="1"/>
  <c r="O107" i="1" l="1"/>
  <c r="H31" i="5" s="1"/>
  <c r="H34" i="5" s="1"/>
  <c r="N107" i="1"/>
  <c r="G31" i="5" s="1"/>
  <c r="G34" i="5" s="1"/>
  <c r="Y48" i="11"/>
  <c r="P105" i="1"/>
  <c r="N5" i="10"/>
  <c r="I31" i="11" s="1"/>
  <c r="I34" i="11" s="1"/>
  <c r="Q24" i="5"/>
  <c r="P27" i="5"/>
  <c r="U53" i="5"/>
  <c r="V50" i="5"/>
  <c r="AA60" i="5"/>
  <c r="Z60" i="5"/>
  <c r="R92" i="1"/>
  <c r="Q91" i="1"/>
  <c r="P107" i="1" l="1"/>
  <c r="I31" i="5" s="1"/>
  <c r="I34" i="5" s="1"/>
  <c r="AA48" i="11"/>
  <c r="Z48" i="11"/>
  <c r="Q105" i="1"/>
  <c r="O5" i="10"/>
  <c r="J31" i="11" s="1"/>
  <c r="J34" i="11" s="1"/>
  <c r="R24" i="5"/>
  <c r="Q27" i="5"/>
  <c r="W50" i="5"/>
  <c r="V53" i="5"/>
  <c r="S92" i="1"/>
  <c r="R91" i="1"/>
  <c r="Q107" i="1" l="1"/>
  <c r="J31" i="5" s="1"/>
  <c r="J34" i="5" s="1"/>
  <c r="G2" i="12" a="1"/>
  <c r="G2" i="12" s="1"/>
  <c r="R105" i="1"/>
  <c r="P5" i="10"/>
  <c r="K31" i="11" s="1"/>
  <c r="K34" i="11" s="1"/>
  <c r="R27" i="5"/>
  <c r="S24" i="5"/>
  <c r="X50" i="5"/>
  <c r="W53" i="5"/>
  <c r="S91" i="1"/>
  <c r="T92" i="1"/>
  <c r="R107" i="1" l="1"/>
  <c r="K31" i="5" s="1"/>
  <c r="K34" i="5" s="1"/>
  <c r="G6" i="12"/>
  <c r="G14" i="12"/>
  <c r="G15" i="12"/>
  <c r="G22" i="12"/>
  <c r="G5" i="12"/>
  <c r="G16" i="12"/>
  <c r="G11" i="12"/>
  <c r="G19" i="12"/>
  <c r="G7" i="12"/>
  <c r="G12" i="12"/>
  <c r="G23" i="12"/>
  <c r="G20" i="12"/>
  <c r="G4" i="12"/>
  <c r="G8" i="12"/>
  <c r="G10" i="12"/>
  <c r="G3" i="12"/>
  <c r="G13" i="12"/>
  <c r="G17" i="12"/>
  <c r="G9" i="12"/>
  <c r="G21" i="12"/>
  <c r="G18" i="12"/>
  <c r="S105" i="1"/>
  <c r="Q5" i="10"/>
  <c r="L31" i="11" s="1"/>
  <c r="S27" i="5"/>
  <c r="T24" i="5"/>
  <c r="Y50" i="5"/>
  <c r="X53" i="5"/>
  <c r="T91" i="1"/>
  <c r="U92" i="1"/>
  <c r="S107" i="1" l="1"/>
  <c r="L31" i="5" s="1"/>
  <c r="L34" i="11"/>
  <c r="M31" i="11"/>
  <c r="T105" i="1"/>
  <c r="T107" i="1" s="1"/>
  <c r="R5" i="10"/>
  <c r="U91" i="1"/>
  <c r="V92" i="1"/>
  <c r="V91" i="1" s="1"/>
  <c r="T27" i="5"/>
  <c r="U24" i="5"/>
  <c r="Z50" i="5"/>
  <c r="Y53" i="5"/>
  <c r="M31" i="5" l="1"/>
  <c r="N31" i="5" s="1"/>
  <c r="O31" i="5" s="1"/>
  <c r="P31" i="5" s="1"/>
  <c r="Q31" i="5" s="1"/>
  <c r="R31" i="5" s="1"/>
  <c r="S31" i="5" s="1"/>
  <c r="T31" i="5" s="1"/>
  <c r="U31" i="5" s="1"/>
  <c r="V31" i="5" s="1"/>
  <c r="W31" i="5" s="1"/>
  <c r="X31" i="5" s="1"/>
  <c r="Y31" i="5" s="1"/>
  <c r="Z31" i="5" s="1"/>
  <c r="AA31" i="5" s="1"/>
  <c r="L34" i="5"/>
  <c r="N31" i="11"/>
  <c r="M34" i="11"/>
  <c r="V105" i="1"/>
  <c r="V107" i="1" s="1"/>
  <c r="T5" i="10"/>
  <c r="U105" i="1"/>
  <c r="U107" i="1" s="1"/>
  <c r="S5" i="10"/>
  <c r="U27" i="5"/>
  <c r="V24" i="5"/>
  <c r="AA50" i="5"/>
  <c r="AA53" i="5" s="1"/>
  <c r="Z53" i="5"/>
  <c r="M34" i="5" l="1"/>
  <c r="N34" i="5"/>
  <c r="O34" i="5"/>
  <c r="O31" i="11"/>
  <c r="N34" i="11"/>
  <c r="W24" i="5"/>
  <c r="V27" i="5"/>
  <c r="P34" i="5"/>
  <c r="F3" i="9" a="1"/>
  <c r="O34" i="11" l="1"/>
  <c r="P31" i="11"/>
  <c r="W27" i="5"/>
  <c r="X24" i="5"/>
  <c r="Q34" i="5"/>
  <c r="F4" i="9"/>
  <c r="F21" i="9"/>
  <c r="F12" i="9"/>
  <c r="F23" i="9"/>
  <c r="F13" i="9"/>
  <c r="F24" i="9"/>
  <c r="F9" i="9"/>
  <c r="F3" i="9"/>
  <c r="F16" i="9"/>
  <c r="F22" i="9"/>
  <c r="F15" i="9"/>
  <c r="F6" i="9"/>
  <c r="F20" i="9"/>
  <c r="F5" i="9"/>
  <c r="F18" i="9"/>
  <c r="F19" i="9"/>
  <c r="F8" i="9"/>
  <c r="F10" i="9"/>
  <c r="F11" i="9"/>
  <c r="F17" i="9"/>
  <c r="F7" i="9"/>
  <c r="F14" i="9"/>
  <c r="Q31" i="11" l="1"/>
  <c r="P34" i="11"/>
  <c r="X27" i="5"/>
  <c r="Y24" i="5"/>
  <c r="R34" i="5"/>
  <c r="L60" i="5"/>
  <c r="G3" i="9" s="1" a="1"/>
  <c r="G10" i="9" s="1"/>
  <c r="Q34" i="11" l="1"/>
  <c r="R31" i="11"/>
  <c r="Z24" i="5"/>
  <c r="Y27" i="5"/>
  <c r="S34" i="5"/>
  <c r="G15" i="9"/>
  <c r="G14" i="9"/>
  <c r="G13" i="9"/>
  <c r="G16" i="9"/>
  <c r="G21" i="9"/>
  <c r="G8" i="9"/>
  <c r="G11" i="9"/>
  <c r="G6" i="9"/>
  <c r="G12" i="9"/>
  <c r="G17" i="9"/>
  <c r="G4" i="9"/>
  <c r="G7" i="9"/>
  <c r="G9" i="9"/>
  <c r="G20" i="9"/>
  <c r="G18" i="9"/>
  <c r="G24" i="9"/>
  <c r="G23" i="9"/>
  <c r="G19" i="9"/>
  <c r="G22" i="9"/>
  <c r="G3" i="9"/>
  <c r="G5" i="9"/>
  <c r="R34" i="11" l="1"/>
  <c r="S31" i="11"/>
  <c r="AA24" i="5"/>
  <c r="AA27" i="5" s="1"/>
  <c r="Z27" i="5"/>
  <c r="T34" i="5"/>
  <c r="S34" i="11" l="1"/>
  <c r="T31" i="11"/>
  <c r="B3" i="9" a="1"/>
  <c r="B20" i="9" s="1"/>
  <c r="U34" i="5"/>
  <c r="U31" i="11" l="1"/>
  <c r="T34" i="11"/>
  <c r="B18" i="9"/>
  <c r="B8" i="9"/>
  <c r="B4" i="9"/>
  <c r="B6" i="9"/>
  <c r="B11" i="9"/>
  <c r="B13" i="9"/>
  <c r="B7" i="9"/>
  <c r="B12" i="9"/>
  <c r="B19" i="9"/>
  <c r="B16" i="9"/>
  <c r="B5" i="9"/>
  <c r="B10" i="9"/>
  <c r="B15" i="9"/>
  <c r="B9" i="9"/>
  <c r="B22" i="9"/>
  <c r="B21" i="9"/>
  <c r="B24" i="9"/>
  <c r="B14" i="9"/>
  <c r="B23" i="9"/>
  <c r="B3" i="9"/>
  <c r="B17" i="9"/>
  <c r="V34" i="5"/>
  <c r="U34" i="11" l="1"/>
  <c r="V31" i="11"/>
  <c r="W34" i="5"/>
  <c r="W31" i="11" l="1"/>
  <c r="V34" i="11"/>
  <c r="X34" i="5"/>
  <c r="X31" i="11" l="1"/>
  <c r="W34" i="11"/>
  <c r="Y34" i="5"/>
  <c r="Y31" i="11" l="1"/>
  <c r="X34" i="11"/>
  <c r="AA34" i="5"/>
  <c r="Z34" i="5"/>
  <c r="Z31" i="11" l="1"/>
  <c r="Y34" i="11"/>
  <c r="C3" i="9" a="1"/>
  <c r="C23" i="9" s="1"/>
  <c r="AA31" i="11" l="1"/>
  <c r="AA34" i="11" s="1"/>
  <c r="Z34" i="11"/>
  <c r="C19" i="9"/>
  <c r="C11" i="9"/>
  <c r="C9" i="9"/>
  <c r="C10" i="9"/>
  <c r="C16" i="9"/>
  <c r="C21" i="9"/>
  <c r="C4" i="9"/>
  <c r="C22" i="9"/>
  <c r="C7" i="9"/>
  <c r="C17" i="9"/>
  <c r="C13" i="9"/>
  <c r="C5" i="9"/>
  <c r="C14" i="9"/>
  <c r="C15" i="9"/>
  <c r="C18" i="9"/>
  <c r="C20" i="9"/>
  <c r="C24" i="9"/>
  <c r="C12" i="9"/>
  <c r="C8" i="9"/>
  <c r="C3" i="9"/>
  <c r="C6" i="9"/>
  <c r="C2" i="12" l="1" a="1"/>
  <c r="C2" i="12" s="1"/>
  <c r="C16" i="12" l="1"/>
  <c r="C3" i="12"/>
  <c r="C19" i="12"/>
  <c r="C14" i="12"/>
  <c r="C9" i="12"/>
  <c r="C18" i="12"/>
  <c r="C6" i="12"/>
  <c r="C12" i="12"/>
  <c r="C7" i="12"/>
  <c r="C15" i="12"/>
  <c r="C8" i="12"/>
  <c r="C22" i="12"/>
  <c r="C4" i="12"/>
  <c r="C21" i="12"/>
  <c r="C10" i="12"/>
  <c r="C5" i="12"/>
  <c r="C17" i="12"/>
  <c r="C13" i="12"/>
  <c r="C23" i="12"/>
  <c r="C20" i="12"/>
  <c r="C11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tc={D4AA3B3B-1162-4A8A-A155-4B50A107D1DD}</author>
    <author>tc={6CD6C4CA-E498-4D54-9079-67C6684A7737}</author>
    <author>tc={7D448B96-9EF3-473D-8237-30098D498358}</author>
    <author>tc={B3828621-F8BF-4EE3-B8BA-BEFCEEA719A6}</author>
    <author>tc={4DB7FB29-2B61-4AD8-B269-05A7FEEBC5BD}</author>
    <author>tc={ECAA649D-FAFF-415D-BBA3-8558E7EB5AD8}</author>
    <author>tc={7B8EF2ED-F5A7-446F-B87D-74CEED3214DC}</author>
    <author>tc={93445C5E-94EA-423D-BA59-395F985BF92E}</author>
    <author>tc={7314685E-335E-47AA-B478-1BA6ABF2BDA3}</author>
    <author>tc={299B58A4-BA69-464A-9D14-5A970E50857A}</author>
    <author>tc={C5311C2D-4764-4363-AE1C-A82227666FB7}</author>
    <author>tc={A0B72D47-4ADC-4971-B431-B9EA6C91AE60}</author>
    <author>tc={2D81BDF9-A0D8-4A1A-915B-91D32E8E61FF}</author>
    <author>tc={33EF6DF5-9556-47EC-86E1-A12FDBDC0AA8}</author>
    <author>tc={8D1CFFB8-D62F-4FA1-AB58-5320D39AA096}</author>
    <author>tc={DA48DE65-66E5-4DD8-819A-2F757A61D389}</author>
    <author>tc={1FC8F5D3-F5DD-4502-A8BF-AD36B99CFAF5}</author>
    <author>tc={99D44059-B7C8-4B13-A311-FD754252DDFC}</author>
    <author>tc={11731043-8530-4DAC-9476-3C98D0D836BB}</author>
    <author>tc={DF0EC25E-9AE4-45F2-BCE9-95D46AA2D480}</author>
    <author>tc={55BAE892-7CB3-4E1D-8C31-C7FA6DC5B9F4}</author>
    <author>tc={5A5A9177-799E-4FBA-A407-831B591270CB}</author>
    <author>tc={6E4225DC-7AF1-4149-8AFD-DF5FEAFAE0CE}</author>
    <author>tc={E0AA59A4-D972-4354-844E-3B08443F6713}</author>
  </authors>
  <commentList>
    <comment ref="A10" authorId="0" shapeId="0" xr:uid="{B68C7479-38AA-411D-9605-5051E4057D2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from the underlying tables</t>
        </r>
      </text>
    </comment>
    <comment ref="A12" authorId="0" shapeId="0" xr:uid="{C4DADB0A-8EA9-4101-A56C-DB4CE8FC5F5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3.4U
</t>
        </r>
      </text>
    </comment>
    <comment ref="A14" authorId="0" shapeId="0" xr:uid="{D7DB1FFC-D458-4B17-8084-D5D4B3EC9C9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3.5U</t>
        </r>
      </text>
    </comment>
    <comment ref="A16" authorId="0" shapeId="0" xr:uid="{FC202578-1747-4163-B35E-F3C0C5988714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3.6U: sum of fed employer contributions + sum of fed employee contributions
</t>
        </r>
      </text>
    </comment>
    <comment ref="A23" authorId="0" shapeId="0" xr:uid="{ECD23F6A-9B4D-4065-9169-1870DFC07346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4" authorId="0" shapeId="0" xr:uid="{7C805864-A9F8-430B-B88F-F827C38CC973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5" authorId="0" shapeId="0" xr:uid="{283AF911-CB8E-44E8-8D42-E0DF0A172018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</t>
        </r>
      </text>
    </comment>
    <comment ref="A26" authorId="0" shapeId="0" xr:uid="{868D7732-4368-4002-903A-4AE30FA8A3B7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 with GDP
</t>
        </r>
      </text>
    </comment>
    <comment ref="A30" authorId="0" shapeId="0" xr:uid="{1609F897-A756-40FA-960B-2F99129BE3A7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3.2
</t>
        </r>
      </text>
    </comment>
    <comment ref="A31" authorId="0" shapeId="0" xr:uid="{C5874266-DAEE-4D89-A899-CF29CEDEE179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2.1
</t>
        </r>
      </text>
    </comment>
    <comment ref="O31" authorId="1" shapeId="0" xr:uid="{D4AA3B3B-1162-4A8A-A155-4B50A107D1DD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adding $12B for the medicare sequester (12B over 4 quarters and then annuzlied)</t>
      </text>
    </comment>
    <comment ref="O33" authorId="2" shapeId="0" xr:uid="{6CD6C4CA-E498-4D54-9079-67C6684A7737}">
      <text>
        <t>[Threaded comment]
Your version of Excel allows you to read this threaded comment; however, any edits to it will get removed if the file is opened in a newer version of Excel. Learn more: https://go.microsoft.com/fwlink/?linkid=870924
Comment:
    fiscal hawk: estimate of $166B. and then annualized</t>
      </text>
    </comment>
    <comment ref="O34" authorId="3" shapeId="0" xr:uid="{7D448B96-9EF3-473D-8237-30098D49835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P34" authorId="4" shapeId="0" xr:uid="{B3828621-F8BF-4EE3-B8BA-BEFCEEA719A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O35" authorId="5" shapeId="0" xr:uid="{4DB7FB29-2B61-4AD8-B269-05A7FEEBC5BD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P35" authorId="6" shapeId="0" xr:uid="{ECAA649D-FAFF-415D-BBA3-8558E7EB5AD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Q35" authorId="7" shapeId="0" xr:uid="{7B8EF2ED-F5A7-446F-B87D-74CEED3214D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R35" authorId="8" shapeId="0" xr:uid="{93445C5E-94EA-423D-BA59-395F985BF92E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A36" authorId="0" shapeId="0" xr:uid="{83124FE7-2DCD-4C2B-8989-795EF794C96F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M36" authorId="9" shapeId="0" xr:uid="{7314685E-335E-47AA-B478-1BA6ABF2BD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O41" authorId="10" shapeId="0" xr:uid="{299B58A4-BA69-464A-9D14-5A970E50857A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 of $120B. And then annualized</t>
      </text>
    </comment>
    <comment ref="A50" authorId="0" shapeId="0" xr:uid="{E4C71DFA-CAC4-4D78-B4DE-56E45CFF95B5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1.10
</t>
        </r>
      </text>
    </comment>
    <comment ref="O59" authorId="11" shapeId="0" xr:uid="{C5311C2D-4764-4363-AE1C-A82227666FB7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$300 billion next year. over three quarters = 100. annualized ( x4).
Reply:
    CFRB: estimates $325B. We then annualize it.</t>
      </text>
    </comment>
    <comment ref="O60" authorId="12" shapeId="0" xr:uid="{A0B72D47-4ADC-4971-B431-B9EA6C91AE60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$16B. We divide evenly over the remaining 3 quarters of FY21. then annualize</t>
      </text>
    </comment>
    <comment ref="L66" authorId="13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L72" authorId="14" shapeId="0" xr:uid="{33EF6DF5-9556-47EC-86E1-A12FDBDC0AA8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indicated 17 for q2? why do we split the quarter 3 payments into q2?
Reply:
    we're comfortable leaving this as is</t>
      </text>
    </comment>
    <comment ref="O74" authorId="15" shapeId="0" xr:uid="{8D1CFFB8-D62F-4FA1-AB58-5320D39AA09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$29B ($45 minus $16B for airline which is inn subsidies). MPC is 100% over 12 quarters. And then annualized</t>
      </text>
    </comment>
    <comment ref="O75" authorId="16" shapeId="0" xr:uid="{DA48DE65-66E5-4DD8-819A-2F757A61D389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$82B. According to the Louise x Wendy, MPC is 100% over 3 years.</t>
      </text>
    </comment>
    <comment ref="O76" authorId="17" shapeId="0" xr:uid="{1FC8F5D3-F5DD-4502-A8BF-AD36B99CFAF5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$63B. MPC is 100% over 12 quarters and then annualize</t>
      </text>
    </comment>
    <comment ref="O77" authorId="18" shapeId="0" xr:uid="{99D44059-B7C8-4B13-A311-FD754252DDF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$54B ($80B top line but net out$26B in SNAP which is in social benefits). MPC is 100% over 12 quarters. And then annualized</t>
      </text>
    </comment>
    <comment ref="A87" authorId="0" shapeId="0" xr:uid="{BA08824F-AD84-4798-BBB7-EA418EA44348}">
      <text>
        <r>
          <rPr>
            <b/>
            <sz val="9"/>
            <color rgb="FF000000"/>
            <rFont val="Tahoma"/>
            <family val="2"/>
          </rPr>
          <t xml:space="preserve">Kadija Yilla:
</t>
        </r>
        <r>
          <rPr>
            <b/>
            <sz val="9"/>
            <color rgb="FF000000"/>
            <rFont val="Tahoma"/>
            <family val="2"/>
          </rPr>
          <t>Table 3.24U</t>
        </r>
      </text>
    </comment>
    <comment ref="N92" authorId="19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  <comment ref="A94" authorId="0" shapeId="0" xr:uid="{B3E091FA-BC7B-4A13-BB52-450D0FDAFA8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N99" authorId="20" shapeId="0" xr:uid="{DF0EC25E-9AE4-45F2-BCE9-95D46AA2D480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projected is 1.96%</t>
      </text>
    </comment>
    <comment ref="M103" authorId="21" shapeId="0" xr:uid="{55BAE892-7CB3-4E1D-8C31-C7FA6DC5B9F4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OVERRIDE IN THE FIM WITH -5%</t>
      </text>
    </comment>
    <comment ref="N103" authorId="22" shapeId="0" xr:uid="{5A5A9177-799E-4FBA-A407-831B591270CB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O103" authorId="23" shapeId="0" xr:uid="{6E4225DC-7AF1-4149-8AFD-DF5FEAFAE0CE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P103" authorId="24" shapeId="0" xr:uid="{E0AA59A4-D972-4354-844E-3B08443F6713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tc={8BC26E33-999B-CB4A-87A5-22E26D662D33}</author>
  </authors>
  <commentList>
    <comment ref="U2" authorId="0" shapeId="0" xr:uid="{8BC26E33-999B-CB4A-87A5-22E26D662D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Extend medicaid estimates before Q4 update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<sst xmlns="http://schemas.openxmlformats.org/spreadsheetml/2006/main" count="999" uniqueCount="375">
  <si>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</si>
  <si>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</si>
  <si>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</si>
  <si>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</si>
  <si>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</si>
  <si>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</si>
  <si>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</si>
  <si>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</si>
  <si>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</si>
  <si>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</si>
  <si>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</si>
  <si>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</si>
  <si>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</si>
  <si>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</si>
  <si>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</si>
  <si>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</si>
  <si>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</si>
  <si>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</si>
  <si>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State Purchases Real</t>
  </si>
  <si>
    <t>** let's smooth payment shift in Medicare +47 in 2020, -46 in 2021 according to CBO BEA doesn’t' appear to incorporate</t>
  </si>
  <si>
    <t>Rebate Checks</t>
  </si>
  <si>
    <t>FY2019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</si>
  <si>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</si>
  <si>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</si>
  <si>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</si>
  <si>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</si>
  <si>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</si>
  <si>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</si>
  <si>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</si>
  <si>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</si>
  <si>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</si>
  <si>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</si>
  <si>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</si>
  <si>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</si>
  <si>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</si>
  <si>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</si>
  <si>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</si>
  <si>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</si>
  <si>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</si>
  <si>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</si>
  <si>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</si>
  <si>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</si>
  <si>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</si>
  <si>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</si>
  <si>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</si>
  <si>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</si>
  <si>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</si>
  <si>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</si>
  <si>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</si>
  <si>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</si>
  <si>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</si>
  <si>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</si>
  <si>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</si>
  <si>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</si>
  <si>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</si>
  <si>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</si>
  <si>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</si>
  <si>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</si>
  <si>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</si>
  <si>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</si>
  <si>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</si>
  <si>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</si>
  <si>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</si>
  <si>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</si>
  <si>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</si>
  <si>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</si>
  <si>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</si>
  <si>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</si>
  <si>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</si>
  <si>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</si>
  <si>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</si>
  <si>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</si>
  <si>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</si>
  <si>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</si>
  <si>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</si>
  <si>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</si>
  <si>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</si>
  <si>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</si>
  <si>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</si>
  <si>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</si>
  <si>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</si>
  <si>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</si>
  <si>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</si>
  <si>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</si>
  <si>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</si>
  <si>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</si>
  <si>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</si>
  <si>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</si>
  <si>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</si>
  <si>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</si>
  <si>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</si>
  <si>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</si>
  <si>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</si>
  <si>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</si>
  <si>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</si>
  <si>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</si>
  <si>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</si>
  <si>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</si>
  <si>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</si>
  <si>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</si>
  <si>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</si>
  <si>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</si>
  <si>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</si>
  <si>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</si>
  <si>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</si>
  <si>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</si>
  <si>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</si>
  <si>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</si>
  <si>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</si>
  <si>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</si>
  <si>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</si>
  <si>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</si>
  <si>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</si>
  <si>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</si>
  <si>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</si>
  <si>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</si>
  <si>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</si>
  <si>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</si>
  <si>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</si>
  <si>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</si>
  <si>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</si>
  <si>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</si>
  <si>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</si>
  <si>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</si>
  <si>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</si>
  <si>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</si>
  <si>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</si>
  <si>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</si>
  <si>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</si>
  <si>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</si>
  <si>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</si>
  <si>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</si>
  <si>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</si>
  <si>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</si>
  <si>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</si>
  <si>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</si>
  <si>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</si>
  <si>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</si>
  <si>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</si>
  <si>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</si>
  <si>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</si>
  <si>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</si>
  <si>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</si>
  <si>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</si>
  <si>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</si>
  <si>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</si>
  <si>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</si>
  <si>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</si>
  <si>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</si>
  <si>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</si>
  <si>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</si>
  <si>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</si>
  <si>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</si>
  <si>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</si>
  <si>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</si>
  <si>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</si>
  <si>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</si>
  <si>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</si>
  <si>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State Social Benefits + State UI Less Federal Medicaid</t>
  </si>
  <si>
    <t>Old - Kadija</t>
  </si>
  <si>
    <t>FY 2020</t>
  </si>
  <si>
    <t>FIM Fed Social Benefits</t>
  </si>
  <si>
    <t>Trump UI</t>
  </si>
  <si>
    <t>MILLIONS</t>
  </si>
  <si>
    <t>FIM State social benefits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</si>
  <si>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</si>
  <si>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</si>
  <si>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</si>
  <si>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</si>
  <si>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</si>
  <si>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</si>
  <si>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</si>
  <si>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</si>
  <si>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</si>
  <si>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</si>
  <si>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</si>
  <si>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</si>
  <si>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</si>
  <si>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</si>
  <si>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</si>
  <si>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</si>
  <si>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</si>
  <si>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</si>
  <si>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</si>
  <si>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</si>
  <si>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</si>
  <si>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</si>
  <si>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</si>
  <si>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</si>
  <si>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</si>
  <si>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</si>
  <si>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</si>
  <si>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</si>
  <si>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</si>
  <si>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</si>
  <si>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</si>
  <si>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</si>
  <si>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</si>
  <si>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</si>
  <si>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</si>
  <si>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</si>
  <si>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</si>
  <si>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</si>
  <si>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</si>
  <si>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</si>
  <si>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Medicaid Grants</t>
  </si>
  <si>
    <t>Nonprofit PPP</t>
  </si>
  <si>
    <t>Non profit Provider relief</t>
  </si>
  <si>
    <t>Billions</t>
  </si>
  <si>
    <t>Grants to States</t>
  </si>
  <si>
    <t>BEA Grants Legislation</t>
  </si>
  <si>
    <r>
      <rPr>
        <i/>
        <sz val="11"/>
        <color theme="1"/>
        <rFont val="Calibri"/>
        <family val="2"/>
        <scheme val="minor"/>
      </rPr>
      <t>*our estimate*</t>
    </r>
    <r>
      <rPr>
        <sz val="11"/>
        <color theme="1"/>
        <rFont val="Calibri"/>
        <family val="2"/>
        <scheme val="minor"/>
      </rPr>
      <t xml:space="preserve"> Grants Legislation</t>
    </r>
  </si>
  <si>
    <t>All Subsidies</t>
  </si>
  <si>
    <t>Total Federal UI</t>
  </si>
  <si>
    <t>FIM State Health</t>
  </si>
  <si>
    <t>FIM Federal Health</t>
  </si>
  <si>
    <t>growth rate</t>
  </si>
  <si>
    <t>State and local nom purchases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</si>
  <si>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</si>
  <si>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</si>
  <si>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</si>
  <si>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</si>
  <si>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</si>
  <si>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</si>
  <si>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</si>
  <si>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</si>
  <si>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</si>
  <si>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</si>
  <si>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</si>
  <si>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</si>
  <si>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</si>
  <si>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</si>
  <si>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</si>
  <si>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</si>
  <si>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</si>
  <si>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</si>
  <si>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</si>
  <si>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</si>
  <si>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</si>
  <si>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</si>
  <si>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</si>
  <si>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</si>
  <si>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total mpc</t>
  </si>
  <si>
    <t>speed up UI</t>
  </si>
  <si>
    <t>Weights</t>
  </si>
  <si>
    <t>UI</t>
  </si>
  <si>
    <t>Rebates</t>
  </si>
  <si>
    <t>Our Estimate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</si>
  <si>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</si>
  <si>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</si>
  <si>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</si>
  <si>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</si>
  <si>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</si>
  <si>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</si>
  <si>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</si>
  <si>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</si>
  <si>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</si>
  <si>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</si>
  <si>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Noncorporate Taxes</t>
  </si>
  <si>
    <t>Legislation</t>
  </si>
  <si>
    <t xml:space="preserve"> AS</t>
  </si>
  <si>
    <t>GDP (Nominal)</t>
  </si>
  <si>
    <t>GDP (Real)</t>
  </si>
  <si>
    <t>Deflator</t>
  </si>
  <si>
    <t>BILLIONS</t>
  </si>
  <si>
    <t>STATE</t>
  </si>
  <si>
    <t>Non-Corporate Taxes</t>
  </si>
  <si>
    <t>as a fraction of Federal Corporate</t>
  </si>
  <si>
    <t>FY2023</t>
  </si>
  <si>
    <t>Our estimate</t>
  </si>
  <si>
    <t>state</t>
  </si>
  <si>
    <t>grow by</t>
  </si>
  <si>
    <t>FY 2023</t>
  </si>
  <si>
    <t>State Non-Corporate Taxes</t>
  </si>
  <si>
    <t>All other subsidies (aviation, employee retention, paid sick)</t>
  </si>
  <si>
    <t>federal_cgrants_override</t>
  </si>
  <si>
    <t>FY 2024</t>
  </si>
  <si>
    <t>FY 2025</t>
  </si>
  <si>
    <t>FY 2026</t>
  </si>
  <si>
    <t>New Targets (based on incoming data)</t>
  </si>
  <si>
    <t>growth rate (w/o adds)</t>
  </si>
  <si>
    <t>CBO NIPA Translation</t>
  </si>
  <si>
    <t>last quarter of add-ons</t>
  </si>
  <si>
    <t>x</t>
  </si>
  <si>
    <t>aviation</t>
  </si>
  <si>
    <t>employee retention</t>
  </si>
  <si>
    <t>paid sick leave</t>
  </si>
  <si>
    <t>real growth rate</t>
  </si>
  <si>
    <t>cbo projected growth rate</t>
  </si>
  <si>
    <t>add_federal_cgrants</t>
  </si>
  <si>
    <t>unemployment_insurance</t>
  </si>
  <si>
    <t>unemployment_insurance_override</t>
  </si>
  <si>
    <t>federal_unemployment_insurance_override</t>
  </si>
  <si>
    <t>state_unemployment_insurance_override</t>
  </si>
  <si>
    <t>gdp</t>
  </si>
  <si>
    <t>gdph</t>
  </si>
  <si>
    <t>gfrpt</t>
  </si>
  <si>
    <t>gfrpri</t>
  </si>
  <si>
    <t>gfrsp</t>
  </si>
  <si>
    <t>gfrcp</t>
  </si>
  <si>
    <t>gsrpt</t>
  </si>
  <si>
    <t>gsrpri</t>
  </si>
  <si>
    <t>gsrsp</t>
  </si>
  <si>
    <t>gsrcp</t>
  </si>
  <si>
    <t>gftfpx</t>
  </si>
  <si>
    <t>yptmrx</t>
  </si>
  <si>
    <t>gftfpe</t>
  </si>
  <si>
    <t>yptux</t>
  </si>
  <si>
    <t>gftfpp</t>
  </si>
  <si>
    <t>gftfpv</t>
  </si>
  <si>
    <t>gsubx</t>
  </si>
  <si>
    <t>gfsubp</t>
  </si>
  <si>
    <t>gfsubg</t>
  </si>
  <si>
    <t>gfsube</t>
  </si>
  <si>
    <t>gfsubk</t>
  </si>
  <si>
    <t>gfegx</t>
  </si>
  <si>
    <t>gfegl</t>
  </si>
  <si>
    <t>gfz</t>
  </si>
  <si>
    <t>gfx</t>
  </si>
  <si>
    <t>gfeghdx</t>
  </si>
  <si>
    <t>gsetfpx</t>
  </si>
  <si>
    <t>yptmdx</t>
  </si>
  <si>
    <t>gsz</t>
  </si>
  <si>
    <t>gsx</t>
  </si>
  <si>
    <t>variable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</si>
  <si>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</si>
  <si>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</si>
  <si>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</si>
  <si>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</si>
  <si>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</si>
  <si>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</si>
  <si>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</si>
  <si>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</si>
  <si>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csipslx</t>
  </si>
  <si>
    <t>csislx</t>
  </si>
  <si>
    <t xml:space="preserve">BEA UI </t>
  </si>
  <si>
    <t>gsubl</t>
  </si>
  <si>
    <t>PPP (round 1)</t>
  </si>
  <si>
    <t>PPP (round 2)</t>
  </si>
  <si>
    <t>Round 1</t>
  </si>
  <si>
    <t>Round 2</t>
  </si>
  <si>
    <t>Rebate Checks - round 1</t>
  </si>
  <si>
    <t>Rebate Checks - round 2</t>
  </si>
  <si>
    <t>round 1</t>
  </si>
  <si>
    <t>round 2</t>
  </si>
  <si>
    <t>transportation</t>
  </si>
  <si>
    <t>education</t>
  </si>
  <si>
    <t>Unemployment $300 (round 2)</t>
  </si>
  <si>
    <t>add_state_purchases</t>
  </si>
  <si>
    <t>SNAP</t>
  </si>
  <si>
    <t>health care</t>
  </si>
  <si>
    <t>Payroll for Airline Workers</t>
  </si>
  <si>
    <t>other spending</t>
  </si>
  <si>
    <t xml:space="preserve">EITC </t>
  </si>
  <si>
    <t>business meals deductions</t>
  </si>
  <si>
    <t>Funding to States for Testing</t>
  </si>
  <si>
    <t>Vaccine Procurement</t>
  </si>
  <si>
    <t>Vaccine Distribution</t>
  </si>
  <si>
    <t>Type</t>
  </si>
  <si>
    <t>Federal Purchases Stimulus</t>
  </si>
  <si>
    <t>Total (B)</t>
  </si>
  <si>
    <t>Total (M)</t>
  </si>
  <si>
    <t>add_federal_purchases</t>
  </si>
  <si>
    <t>Aid to Small Businesses</t>
  </si>
  <si>
    <t>Unemployment Benefits</t>
  </si>
  <si>
    <t>Healthcare</t>
  </si>
  <si>
    <t>Transportation</t>
  </si>
  <si>
    <t>Airline Workers Payroll</t>
  </si>
  <si>
    <t>Other Spending</t>
  </si>
  <si>
    <t>Other Tax Cuts</t>
  </si>
  <si>
    <t>Employee Retention Credit</t>
  </si>
  <si>
    <t>EITC</t>
  </si>
  <si>
    <t>Business Meals Deductions</t>
  </si>
  <si>
    <t>third estimate</t>
  </si>
  <si>
    <t>add_rebate_checks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</si>
</sst>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  <numFmt numFmtId="173" formatCode="_(* #,##0.0_);_(* \(#,##0.0\);_(* &quot;-&quot;??_);_(@_)"/>
  </numFmts>
  <fonts count="3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9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9" fillId="0" borderId="0"/>
    <xf numFmtId="0" fontId="9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</cellStyleXfs>
  <cellXfs count="35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5" fillId="0" borderId="0" xfId="0" applyFont="1"/>
    <xf numFmtId="0" fontId="8" fillId="0" borderId="0" xfId="3" applyNumberFormat="1" applyFont="1" applyAlignment="1"/>
    <xf numFmtId="0" fontId="8" fillId="0" borderId="0" xfId="4" applyFont="1"/>
    <xf numFmtId="0" fontId="10" fillId="0" borderId="0" xfId="2" applyFont="1" applyFill="1" applyAlignment="1">
      <alignment vertical="center"/>
    </xf>
    <xf numFmtId="0" fontId="11" fillId="0" borderId="0" xfId="2" applyFont="1" applyFill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8" fillId="0" borderId="0" xfId="0" applyFont="1"/>
    <xf numFmtId="1" fontId="8" fillId="0" borderId="0" xfId="0" applyNumberFormat="1" applyFont="1" applyAlignment="1">
      <alignment horizontal="fill"/>
    </xf>
    <xf numFmtId="1" fontId="14" fillId="0" borderId="0" xfId="0" applyNumberFormat="1" applyFont="1" applyAlignment="1">
      <alignment horizontal="fill"/>
    </xf>
    <xf numFmtId="0" fontId="14" fillId="0" borderId="0" xfId="0" applyFont="1"/>
    <xf numFmtId="1" fontId="8" fillId="0" borderId="0" xfId="0" applyNumberFormat="1" applyFont="1"/>
    <xf numFmtId="1" fontId="14" fillId="0" borderId="0" xfId="0" applyNumberFormat="1" applyFont="1" applyAlignment="1">
      <alignment horizontal="right"/>
    </xf>
    <xf numFmtId="1" fontId="14" fillId="0" borderId="0" xfId="0" applyNumberFormat="1" applyFont="1"/>
    <xf numFmtId="164" fontId="14" fillId="0" borderId="0" xfId="0" applyNumberFormat="1" applyFont="1"/>
    <xf numFmtId="1" fontId="8" fillId="0" borderId="0" xfId="5" applyNumberFormat="1" applyFont="1" applyAlignment="1">
      <alignment horizontal="right"/>
    </xf>
    <xf numFmtId="0" fontId="8" fillId="0" borderId="1" xfId="0" applyFont="1" applyBorder="1"/>
    <xf numFmtId="165" fontId="8" fillId="0" borderId="1" xfId="0" applyNumberFormat="1" applyFont="1" applyBorder="1"/>
    <xf numFmtId="1" fontId="14" fillId="0" borderId="1" xfId="0" applyNumberFormat="1" applyFont="1" applyBorder="1"/>
    <xf numFmtId="1" fontId="8" fillId="0" borderId="1" xfId="5" applyNumberFormat="1" applyFont="1" applyBorder="1"/>
    <xf numFmtId="3" fontId="15" fillId="0" borderId="0" xfId="0" applyNumberFormat="1" applyFont="1" applyProtection="1">
      <protection locked="0"/>
    </xf>
    <xf numFmtId="3" fontId="8" fillId="0" borderId="0" xfId="0" applyNumberFormat="1" applyFont="1"/>
    <xf numFmtId="3" fontId="15" fillId="0" borderId="0" xfId="0" applyNumberFormat="1" applyFont="1"/>
    <xf numFmtId="3" fontId="8" fillId="0" borderId="0" xfId="0" applyNumberFormat="1" applyFont="1" applyAlignment="1">
      <alignment horizontal="right"/>
    </xf>
    <xf numFmtId="166" fontId="8" fillId="0" borderId="0" xfId="0" applyNumberFormat="1" applyFont="1"/>
    <xf numFmtId="0" fontId="8" fillId="0" borderId="0" xfId="0" applyFont="1" applyAlignment="1">
      <alignment horizontal="left"/>
    </xf>
    <xf numFmtId="167" fontId="15" fillId="0" borderId="0" xfId="0" applyNumberFormat="1" applyFont="1"/>
    <xf numFmtId="0" fontId="12" fillId="0" borderId="0" xfId="0" applyFont="1"/>
    <xf numFmtId="164" fontId="8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8" fillId="0" borderId="0" xfId="3" applyFont="1"/>
    <xf numFmtId="0" fontId="8" fillId="0" borderId="0" xfId="5" applyFont="1" applyAlignment="1">
      <alignment horizontal="right"/>
    </xf>
    <xf numFmtId="0" fontId="8" fillId="0" borderId="0" xfId="5" applyFont="1"/>
    <xf numFmtId="0" fontId="8" fillId="0" borderId="1" xfId="3" applyFont="1" applyBorder="1"/>
    <xf numFmtId="165" fontId="8" fillId="0" borderId="1" xfId="3" applyNumberFormat="1" applyFont="1" applyBorder="1"/>
    <xf numFmtId="0" fontId="8" fillId="0" borderId="0" xfId="3" applyFont="1" applyAlignment="1">
      <alignment horizontal="center"/>
    </xf>
    <xf numFmtId="3" fontId="8" fillId="0" borderId="0" xfId="3" applyNumberFormat="1" applyFont="1"/>
    <xf numFmtId="3" fontId="8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3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8" fillId="0" borderId="1" xfId="0" applyNumberFormat="1" applyFont="1" applyFill="1" applyBorder="1" applyAlignment="1"/>
    <xf numFmtId="0" fontId="8" fillId="0" borderId="1" xfId="0" applyNumberFormat="1" applyFont="1" applyFill="1" applyBorder="1" applyAlignment="1">
      <alignment horizontal="right"/>
    </xf>
    <xf numFmtId="3" fontId="8" fillId="0" borderId="0" xfId="0" applyNumberFormat="1" applyFont="1" applyFill="1" applyAlignment="1"/>
    <xf numFmtId="3" fontId="8" fillId="0" borderId="22" xfId="0" applyNumberFormat="1" applyFont="1" applyFill="1" applyBorder="1" applyAlignment="1">
      <alignment horizontal="right"/>
    </xf>
    <xf numFmtId="0" fontId="8" fillId="0" borderId="0" xfId="0" applyNumberFormat="1" applyFont="1" applyFill="1" applyAlignment="1"/>
    <xf numFmtId="3" fontId="8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8" fillId="0" borderId="10" xfId="0" applyFont="1" applyBorder="1" applyAlignment="1">
      <alignment horizontal="left"/>
    </xf>
    <xf numFmtId="0" fontId="20" fillId="0" borderId="10" xfId="6" quotePrefix="1" applyFont="1" applyBorder="1" applyAlignment="1">
      <alignment horizontal="left"/>
    </xf>
    <xf numFmtId="0" fontId="20" fillId="5" borderId="10" xfId="6" quotePrefix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8" fillId="6" borderId="0" xfId="0" applyFont="1" applyFill="1"/>
    <xf numFmtId="3" fontId="15" fillId="6" borderId="0" xfId="0" applyNumberFormat="1" applyFont="1" applyFill="1"/>
    <xf numFmtId="0" fontId="8" fillId="6" borderId="0" xfId="4" applyFont="1" applyFill="1"/>
    <xf numFmtId="3" fontId="8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7" borderId="0" xfId="0" applyFill="1"/>
    <xf numFmtId="0" fontId="3" fillId="0" borderId="0" xfId="0" applyFont="1" applyAlignment="1">
      <alignment horizontal="left" indent="1"/>
    </xf>
    <xf numFmtId="2" fontId="2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3" fillId="0" borderId="0" xfId="0" applyNumberFormat="1" applyFont="1"/>
    <xf numFmtId="2" fontId="0" fillId="0" borderId="0" xfId="0" applyNumberFormat="1" applyBorder="1"/>
    <xf numFmtId="0" fontId="21" fillId="8" borderId="0" xfId="0" applyFont="1" applyFill="1"/>
    <xf numFmtId="0" fontId="21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1" fillId="10" borderId="0" xfId="0" applyFont="1" applyFill="1"/>
    <xf numFmtId="170" fontId="23" fillId="0" borderId="0" xfId="9" applyNumberFormat="1" applyFont="1" applyAlignment="1">
      <alignment horizontal="left" wrapText="1" indent="2"/>
    </xf>
    <xf numFmtId="170" fontId="23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2" fillId="0" borderId="26" xfId="8" applyNumberFormat="1" applyBorder="1" applyAlignment="1">
      <alignment horizontal="center"/>
    </xf>
    <xf numFmtId="2" fontId="0" fillId="0" borderId="26" xfId="0" applyNumberFormat="1" applyBorder="1"/>
    <xf numFmtId="2" fontId="3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8" fillId="0" borderId="0" xfId="0" applyFont="1"/>
    <xf numFmtId="0" fontId="14" fillId="0" borderId="0" xfId="0" applyFont="1"/>
    <xf numFmtId="0" fontId="3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3" fillId="0" borderId="0" xfId="0" applyFont="1" applyFill="1" applyAlignment="1">
      <alignment horizontal="left" indent="4"/>
    </xf>
    <xf numFmtId="0" fontId="23" fillId="0" borderId="0" xfId="0" applyFont="1" applyFill="1"/>
    <xf numFmtId="43" fontId="23" fillId="0" borderId="0" xfId="1" applyFont="1" applyFill="1"/>
    <xf numFmtId="1" fontId="23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43" fontId="0" fillId="12" borderId="0" xfId="1" applyFon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31" xfId="0" applyNumberFormat="1" applyBorder="1"/>
    <xf numFmtId="2" fontId="3" fillId="0" borderId="31" xfId="0" applyNumberFormat="1" applyFont="1" applyBorder="1"/>
    <xf numFmtId="2" fontId="2" fillId="0" borderId="31" xfId="8" applyNumberForma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5" fillId="0" borderId="0" xfId="0" applyFont="1" applyFill="1" applyAlignment="1">
      <alignment horizontal="left" indent="2"/>
    </xf>
    <xf numFmtId="1" fontId="25" fillId="0" borderId="0" xfId="0" applyNumberFormat="1" applyFont="1" applyFill="1" applyAlignment="1">
      <alignment horizontal="left" indent="2"/>
    </xf>
    <xf numFmtId="3" fontId="25" fillId="0" borderId="0" xfId="0" applyNumberFormat="1" applyFont="1" applyFill="1" applyAlignment="1">
      <alignment horizontal="left" indent="2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2" fillId="0" borderId="0" xfId="9"/>
    <xf numFmtId="9" fontId="0" fillId="0" borderId="0" xfId="10" applyFont="1"/>
    <xf numFmtId="0" fontId="26" fillId="0" borderId="0" xfId="9" applyFont="1"/>
    <xf numFmtId="9" fontId="0" fillId="13" borderId="0" xfId="10" applyFont="1" applyFill="1"/>
    <xf numFmtId="0" fontId="22" fillId="13" borderId="0" xfId="9" applyFill="1"/>
    <xf numFmtId="10" fontId="0" fillId="0" borderId="0" xfId="10" applyNumberFormat="1" applyFont="1"/>
    <xf numFmtId="10" fontId="22" fillId="0" borderId="0" xfId="9" applyNumberFormat="1"/>
    <xf numFmtId="2" fontId="26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7" fillId="0" borderId="0" xfId="0" applyFont="1" applyFill="1" applyAlignment="1">
      <alignment horizontal="left" indent="1"/>
    </xf>
    <xf numFmtId="0" fontId="27" fillId="0" borderId="0" xfId="0" applyFont="1"/>
    <xf numFmtId="170" fontId="27" fillId="0" borderId="0" xfId="0" applyNumberFormat="1" applyFont="1" applyFill="1"/>
    <xf numFmtId="1" fontId="27" fillId="0" borderId="0" xfId="0" applyNumberFormat="1" applyFont="1" applyFill="1"/>
    <xf numFmtId="1" fontId="27" fillId="0" borderId="0" xfId="0" applyNumberFormat="1" applyFont="1" applyFill="1" applyAlignment="1">
      <alignment horizontal="center"/>
    </xf>
    <xf numFmtId="1" fontId="27" fillId="0" borderId="0" xfId="0" applyNumberFormat="1" applyFont="1"/>
    <xf numFmtId="10" fontId="27" fillId="0" borderId="0" xfId="7" applyNumberFormat="1" applyFont="1" applyFill="1"/>
    <xf numFmtId="0" fontId="0" fillId="0" borderId="0" xfId="0" applyAlignment="1">
      <alignment horizontal="left" indent="1"/>
    </xf>
    <xf numFmtId="0" fontId="27" fillId="0" borderId="0" xfId="0" applyFont="1" applyFill="1" applyAlignment="1">
      <alignment horizontal="left" indent="2"/>
    </xf>
    <xf numFmtId="0" fontId="0" fillId="5" borderId="0" xfId="0" applyFill="1" applyAlignment="1">
      <alignment horizontal="center"/>
    </xf>
    <xf numFmtId="0" fontId="3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7" fillId="0" borderId="31" xfId="0" applyNumberFormat="1" applyFont="1" applyFill="1" applyBorder="1" applyAlignment="1">
      <alignment horizontal="center"/>
    </xf>
    <xf numFmtId="0" fontId="3" fillId="0" borderId="31" xfId="0" applyFont="1" applyBorder="1"/>
    <xf numFmtId="1" fontId="0" fillId="0" borderId="31" xfId="0" applyNumberFormat="1" applyBorder="1"/>
    <xf numFmtId="1" fontId="27" fillId="0" borderId="31" xfId="0" applyNumberFormat="1" applyFont="1" applyBorder="1"/>
    <xf numFmtId="10" fontId="27" fillId="0" borderId="0" xfId="7" applyNumberFormat="1" applyFont="1" applyFill="1" applyAlignment="1">
      <alignment horizontal="center"/>
    </xf>
    <xf numFmtId="0" fontId="25" fillId="0" borderId="0" xfId="0" applyFont="1" applyFill="1"/>
    <xf numFmtId="171" fontId="27" fillId="0" borderId="0" xfId="7" applyNumberFormat="1" applyFont="1" applyFill="1"/>
    <xf numFmtId="1" fontId="25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7" fontId="0" fillId="5" borderId="0" xfId="0" quotePrefix="1" applyNumberFormat="1" applyFill="1" applyBorder="1" applyAlignment="1">
      <alignment horizontal="right"/>
    </xf>
    <xf numFmtId="167" fontId="0" fillId="0" borderId="0" xfId="0" quotePrefix="1" applyNumberFormat="1" applyBorder="1" applyAlignment="1">
      <alignment horizontal="right"/>
    </xf>
    <xf numFmtId="10" fontId="25" fillId="0" borderId="0" xfId="7" applyNumberFormat="1" applyFont="1" applyFill="1"/>
    <xf numFmtId="0" fontId="27" fillId="15" borderId="0" xfId="0" applyFont="1" applyFill="1" applyAlignment="1">
      <alignment horizontal="left" indent="1"/>
    </xf>
    <xf numFmtId="0" fontId="27" fillId="15" borderId="0" xfId="0" applyFont="1" applyFill="1"/>
    <xf numFmtId="10" fontId="27" fillId="0" borderId="0" xfId="7" applyNumberFormat="1" applyFont="1"/>
    <xf numFmtId="0" fontId="0" fillId="16" borderId="33" xfId="0" applyFill="1" applyBorder="1"/>
    <xf numFmtId="170" fontId="0" fillId="16" borderId="33" xfId="0" applyNumberFormat="1" applyFill="1" applyBorder="1"/>
    <xf numFmtId="170" fontId="27" fillId="16" borderId="33" xfId="0" applyNumberFormat="1" applyFont="1" applyFill="1" applyBorder="1"/>
    <xf numFmtId="10" fontId="27" fillId="16" borderId="33" xfId="7" applyNumberFormat="1" applyFont="1" applyFill="1" applyBorder="1"/>
    <xf numFmtId="169" fontId="0" fillId="16" borderId="33" xfId="0" applyNumberFormat="1" applyFill="1" applyBorder="1"/>
    <xf numFmtId="169" fontId="0" fillId="16" borderId="33" xfId="1" applyNumberFormat="1" applyFont="1" applyFill="1" applyBorder="1"/>
    <xf numFmtId="43" fontId="0" fillId="16" borderId="33" xfId="0" applyNumberFormat="1" applyFill="1" applyBorder="1"/>
    <xf numFmtId="0" fontId="23" fillId="16" borderId="33" xfId="0" applyFont="1" applyFill="1" applyBorder="1"/>
    <xf numFmtId="169" fontId="23" fillId="16" borderId="33" xfId="1" applyNumberFormat="1" applyFont="1" applyFill="1" applyBorder="1"/>
    <xf numFmtId="43" fontId="0" fillId="16" borderId="33" xfId="1" applyFont="1" applyFill="1" applyBorder="1"/>
    <xf numFmtId="0" fontId="25" fillId="16" borderId="33" xfId="0" applyFont="1" applyFill="1" applyBorder="1"/>
    <xf numFmtId="43" fontId="25" fillId="16" borderId="33" xfId="0" applyNumberFormat="1" applyFont="1" applyFill="1" applyBorder="1" applyAlignment="1">
      <alignment horizontal="left" indent="2"/>
    </xf>
    <xf numFmtId="0" fontId="25" fillId="16" borderId="33" xfId="0" applyFont="1" applyFill="1" applyBorder="1" applyAlignment="1">
      <alignment horizontal="left" indent="2"/>
    </xf>
    <xf numFmtId="10" fontId="25" fillId="16" borderId="33" xfId="7" applyNumberFormat="1" applyFont="1" applyFill="1" applyBorder="1"/>
    <xf numFmtId="0" fontId="27" fillId="0" borderId="0" xfId="0" applyFont="1" applyAlignment="1">
      <alignment horizontal="left" indent="1"/>
    </xf>
    <xf numFmtId="0" fontId="30" fillId="0" borderId="0" xfId="0" applyFont="1" applyAlignment="1">
      <alignment horizontal="left" indent="1"/>
    </xf>
    <xf numFmtId="0" fontId="30" fillId="0" borderId="31" xfId="0" applyFont="1" applyBorder="1" applyAlignment="1">
      <alignment horizontal="left" indent="1"/>
    </xf>
    <xf numFmtId="2" fontId="27" fillId="0" borderId="0" xfId="7" applyNumberFormat="1" applyFont="1"/>
    <xf numFmtId="2" fontId="27" fillId="16" borderId="33" xfId="0" applyNumberFormat="1" applyFont="1" applyFill="1" applyBorder="1" applyAlignment="1"/>
    <xf numFmtId="0" fontId="0" fillId="0" borderId="0" xfId="0" applyAlignment="1">
      <alignment horizontal="left" indent="2"/>
    </xf>
    <xf numFmtId="0" fontId="27" fillId="0" borderId="0" xfId="0" applyFont="1" applyFill="1" applyAlignment="1">
      <alignment horizontal="left" indent="3"/>
    </xf>
    <xf numFmtId="43" fontId="0" fillId="0" borderId="33" xfId="0" applyNumberFormat="1" applyFill="1" applyBorder="1"/>
    <xf numFmtId="2" fontId="0" fillId="0" borderId="0" xfId="0" applyNumberFormat="1" applyFill="1"/>
    <xf numFmtId="2" fontId="27" fillId="0" borderId="0" xfId="7" applyNumberFormat="1" applyFont="1" applyFill="1"/>
    <xf numFmtId="169" fontId="0" fillId="0" borderId="0" xfId="0" applyNumberFormat="1" applyFill="1"/>
    <xf numFmtId="3" fontId="8" fillId="0" borderId="0" xfId="0" applyNumberFormat="1" applyFont="1" applyFill="1" applyAlignment="1">
      <alignment wrapText="1"/>
    </xf>
    <xf numFmtId="2" fontId="3" fillId="0" borderId="0" xfId="0" applyNumberFormat="1" applyFont="1" applyBorder="1"/>
    <xf numFmtId="2" fontId="2" fillId="0" borderId="0" xfId="8" applyNumberFormat="1" applyBorder="1" applyAlignment="1">
      <alignment horizontal="center"/>
    </xf>
    <xf numFmtId="0" fontId="0" fillId="0" borderId="0" xfId="0" applyFill="1" applyAlignment="1">
      <alignment horizontal="left" wrapText="1" indent="2"/>
    </xf>
    <xf numFmtId="0" fontId="0" fillId="0" borderId="0" xfId="0" applyFill="1" applyAlignment="1">
      <alignment horizontal="left" indent="2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23" xfId="0" applyFont="1" applyBorder="1" applyAlignment="1"/>
    <xf numFmtId="2" fontId="0" fillId="2" borderId="0" xfId="0" applyNumberFormat="1" applyFill="1" applyBorder="1"/>
    <xf numFmtId="171" fontId="25" fillId="0" borderId="0" xfId="7" applyNumberFormat="1" applyFont="1" applyFill="1"/>
    <xf numFmtId="0" fontId="27" fillId="16" borderId="33" xfId="0" applyFont="1" applyFill="1" applyBorder="1"/>
    <xf numFmtId="169" fontId="27" fillId="0" borderId="0" xfId="0" applyNumberFormat="1" applyFont="1"/>
    <xf numFmtId="171" fontId="27" fillId="16" borderId="33" xfId="7" applyNumberFormat="1" applyFont="1" applyFill="1" applyBorder="1"/>
    <xf numFmtId="2" fontId="27" fillId="0" borderId="0" xfId="0" applyNumberFormat="1" applyFont="1"/>
    <xf numFmtId="2" fontId="27" fillId="0" borderId="31" xfId="0" applyNumberFormat="1" applyFont="1" applyBorder="1"/>
    <xf numFmtId="171" fontId="27" fillId="0" borderId="0" xfId="7" applyNumberFormat="1" applyFont="1" applyFill="1" applyBorder="1"/>
    <xf numFmtId="2" fontId="0" fillId="0" borderId="0" xfId="0" applyNumberFormat="1" applyFill="1" applyBorder="1"/>
    <xf numFmtId="0" fontId="27" fillId="0" borderId="31" xfId="0" applyFont="1" applyBorder="1"/>
    <xf numFmtId="0" fontId="27" fillId="0" borderId="31" xfId="0" applyFont="1" applyBorder="1" applyAlignment="1">
      <alignment horizontal="left" indent="1"/>
    </xf>
    <xf numFmtId="0" fontId="0" fillId="0" borderId="31" xfId="0" applyFill="1" applyBorder="1"/>
    <xf numFmtId="0" fontId="25" fillId="0" borderId="31" xfId="0" applyFont="1" applyFill="1" applyBorder="1"/>
    <xf numFmtId="1" fontId="0" fillId="0" borderId="31" xfId="0" applyNumberFormat="1" applyFill="1" applyBorder="1"/>
    <xf numFmtId="0" fontId="23" fillId="0" borderId="31" xfId="0" applyFont="1" applyFill="1" applyBorder="1"/>
    <xf numFmtId="1" fontId="25" fillId="0" borderId="31" xfId="0" applyNumberFormat="1" applyFont="1" applyFill="1" applyBorder="1"/>
    <xf numFmtId="0" fontId="25" fillId="0" borderId="31" xfId="0" applyFont="1" applyFill="1" applyBorder="1" applyAlignment="1">
      <alignment horizontal="left" indent="2"/>
    </xf>
    <xf numFmtId="2" fontId="3" fillId="2" borderId="0" xfId="0" applyNumberFormat="1" applyFont="1" applyFill="1" applyBorder="1"/>
    <xf numFmtId="0" fontId="0" fillId="2" borderId="0" xfId="0" applyFill="1"/>
    <xf numFmtId="0" fontId="0" fillId="2" borderId="0" xfId="0" applyFill="1" applyBorder="1"/>
    <xf numFmtId="2" fontId="27" fillId="0" borderId="0" xfId="0" applyNumberFormat="1" applyFont="1" applyBorder="1"/>
    <xf numFmtId="0" fontId="27" fillId="0" borderId="0" xfId="0" applyFont="1" applyBorder="1"/>
    <xf numFmtId="0" fontId="3" fillId="0" borderId="0" xfId="0" applyFont="1" applyBorder="1"/>
    <xf numFmtId="2" fontId="2" fillId="2" borderId="0" xfId="8" applyNumberFormat="1" applyFill="1" applyBorder="1" applyAlignment="1">
      <alignment horizontal="center"/>
    </xf>
    <xf numFmtId="171" fontId="27" fillId="0" borderId="31" xfId="7" applyNumberFormat="1" applyFont="1" applyFill="1" applyBorder="1"/>
    <xf numFmtId="2" fontId="0" fillId="0" borderId="31" xfId="0" applyNumberFormat="1" applyFill="1" applyBorder="1"/>
    <xf numFmtId="2" fontId="2" fillId="0" borderId="0" xfId="8" applyNumberFormat="1" applyFill="1" applyBorder="1" applyAlignment="1">
      <alignment horizontal="center"/>
    </xf>
    <xf numFmtId="2" fontId="2" fillId="0" borderId="31" xfId="8" applyNumberFormat="1" applyFill="1" applyBorder="1" applyAlignment="1">
      <alignment horizontal="center"/>
    </xf>
    <xf numFmtId="2" fontId="3" fillId="0" borderId="0" xfId="0" applyNumberFormat="1" applyFont="1" applyFill="1" applyBorder="1"/>
    <xf numFmtId="2" fontId="3" fillId="0" borderId="31" xfId="0" applyNumberFormat="1" applyFont="1" applyFill="1" applyBorder="1"/>
    <xf numFmtId="10" fontId="0" fillId="0" borderId="0" xfId="7" applyNumberFormat="1" applyFont="1"/>
    <xf numFmtId="169" fontId="25" fillId="16" borderId="33" xfId="1" applyNumberFormat="1" applyFont="1" applyFill="1" applyBorder="1"/>
    <xf numFmtId="43" fontId="25" fillId="0" borderId="0" xfId="1" applyFont="1" applyFill="1"/>
    <xf numFmtId="0" fontId="27" fillId="0" borderId="0" xfId="0" applyFont="1" applyFill="1" applyAlignment="1">
      <alignment horizontal="left"/>
    </xf>
    <xf numFmtId="169" fontId="0" fillId="0" borderId="33" xfId="0" applyNumberFormat="1" applyFill="1" applyBorder="1"/>
    <xf numFmtId="0" fontId="0" fillId="12" borderId="31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33" fillId="0" borderId="0" xfId="0" applyFont="1"/>
    <xf numFmtId="14" fontId="33" fillId="0" borderId="0" xfId="0" applyNumberFormat="1" applyFont="1"/>
    <xf numFmtId="2" fontId="33" fillId="0" borderId="0" xfId="0" applyNumberFormat="1" applyFont="1"/>
    <xf numFmtId="43" fontId="0" fillId="0" borderId="0" xfId="0" applyNumberFormat="1" applyFill="1" applyBorder="1"/>
    <xf numFmtId="2" fontId="0" fillId="2" borderId="31" xfId="0" applyNumberFormat="1" applyFill="1" applyBorder="1"/>
    <xf numFmtId="2" fontId="3" fillId="2" borderId="31" xfId="0" applyNumberFormat="1" applyFont="1" applyFill="1" applyBorder="1"/>
    <xf numFmtId="164" fontId="0" fillId="0" borderId="0" xfId="0" applyNumberFormat="1"/>
    <xf numFmtId="164" fontId="0" fillId="0" borderId="31" xfId="0" applyNumberFormat="1" applyBorder="1"/>
    <xf numFmtId="0" fontId="1" fillId="0" borderId="0" xfId="9" applyFont="1"/>
    <xf numFmtId="0" fontId="24" fillId="0" borderId="0" xfId="0" applyFont="1" applyFill="1" applyAlignment="1">
      <alignment horizontal="center"/>
    </xf>
    <xf numFmtId="0" fontId="27" fillId="0" borderId="0" xfId="0" applyFont="1" applyFill="1"/>
    <xf numFmtId="0" fontId="0" fillId="0" borderId="0" xfId="0" applyAlignment="1">
      <alignment horizontal="left" wrapText="1" indent="3"/>
    </xf>
    <xf numFmtId="0" fontId="0" fillId="0" borderId="0" xfId="0" applyFill="1" applyAlignment="1">
      <alignment horizontal="left" wrapText="1" indent="3"/>
    </xf>
    <xf numFmtId="0" fontId="25" fillId="0" borderId="0" xfId="0" applyFont="1" applyFill="1" applyAlignment="1">
      <alignment horizontal="left" indent="4"/>
    </xf>
    <xf numFmtId="0" fontId="0" fillId="17" borderId="0" xfId="0" applyFill="1" applyAlignment="1">
      <alignment horizontal="left" wrapText="1" indent="3"/>
    </xf>
    <xf numFmtId="0" fontId="0" fillId="17" borderId="0" xfId="0" applyFill="1"/>
    <xf numFmtId="169" fontId="0" fillId="17" borderId="33" xfId="1" applyNumberFormat="1" applyFont="1" applyFill="1" applyBorder="1"/>
    <xf numFmtId="0" fontId="0" fillId="17" borderId="33" xfId="0" applyFill="1" applyBorder="1"/>
    <xf numFmtId="169" fontId="0" fillId="17" borderId="0" xfId="1" applyNumberFormat="1" applyFont="1" applyFill="1"/>
    <xf numFmtId="1" fontId="0" fillId="17" borderId="0" xfId="0" applyNumberFormat="1" applyFill="1"/>
    <xf numFmtId="1" fontId="0" fillId="17" borderId="0" xfId="0" applyNumberFormat="1" applyFill="1" applyAlignment="1">
      <alignment horizontal="center"/>
    </xf>
    <xf numFmtId="1" fontId="0" fillId="17" borderId="31" xfId="0" applyNumberFormat="1" applyFill="1" applyBorder="1"/>
    <xf numFmtId="43" fontId="0" fillId="17" borderId="0" xfId="1" applyFont="1" applyFill="1"/>
    <xf numFmtId="0" fontId="0" fillId="17" borderId="31" xfId="0" applyFill="1" applyBorder="1"/>
    <xf numFmtId="0" fontId="0" fillId="17" borderId="0" xfId="0" applyFill="1" applyAlignment="1">
      <alignment wrapText="1"/>
    </xf>
    <xf numFmtId="0" fontId="0" fillId="17" borderId="0" xfId="0" applyFill="1" applyAlignment="1">
      <alignment horizontal="left" indent="3"/>
    </xf>
    <xf numFmtId="0" fontId="0" fillId="0" borderId="0" xfId="0" applyAlignment="1">
      <alignment horizontal="center"/>
    </xf>
    <xf numFmtId="173" fontId="0" fillId="16" borderId="33" xfId="1" applyNumberFormat="1" applyFont="1" applyFill="1" applyBorder="1"/>
    <xf numFmtId="0" fontId="3" fillId="0" borderId="0" xfId="0" applyFont="1" applyAlignment="1">
      <alignment horizontal="center"/>
    </xf>
    <xf numFmtId="0" fontId="0" fillId="17" borderId="0" xfId="0" applyFill="1" applyAlignment="1">
      <alignment horizontal="left" indent="1"/>
    </xf>
    <xf numFmtId="0" fontId="25" fillId="17" borderId="0" xfId="0" applyFont="1" applyFill="1" applyAlignment="1">
      <alignment horizontal="left" indent="1"/>
    </xf>
    <xf numFmtId="0" fontId="25" fillId="17" borderId="33" xfId="0" applyFont="1" applyFill="1" applyBorder="1" applyAlignment="1">
      <alignment horizontal="left" indent="1"/>
    </xf>
    <xf numFmtId="10" fontId="27" fillId="17" borderId="33" xfId="7" applyNumberFormat="1" applyFont="1" applyFill="1" applyBorder="1" applyAlignment="1">
      <alignment horizontal="left" indent="1"/>
    </xf>
    <xf numFmtId="171" fontId="27" fillId="17" borderId="0" xfId="7" applyNumberFormat="1" applyFont="1" applyFill="1" applyAlignment="1">
      <alignment horizontal="left" indent="1"/>
    </xf>
    <xf numFmtId="1" fontId="25" fillId="17" borderId="0" xfId="0" applyNumberFormat="1" applyFont="1" applyFill="1" applyAlignment="1">
      <alignment horizontal="left" indent="1"/>
    </xf>
    <xf numFmtId="1" fontId="25" fillId="17" borderId="31" xfId="0" applyNumberFormat="1" applyFont="1" applyFill="1" applyBorder="1" applyAlignment="1">
      <alignment horizontal="left" indent="1"/>
    </xf>
    <xf numFmtId="0" fontId="0" fillId="0" borderId="0" xfId="0" applyFont="1"/>
    <xf numFmtId="43" fontId="0" fillId="0" borderId="0" xfId="1" applyFont="1"/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0" borderId="34" xfId="0" applyFont="1" applyBorder="1" applyAlignment="1">
      <alignment horizontal="left" indent="1"/>
    </xf>
    <xf numFmtId="0" fontId="0" fillId="0" borderId="34" xfId="0" applyBorder="1"/>
    <xf numFmtId="43" fontId="0" fillId="0" borderId="34" xfId="1" applyFont="1" applyBorder="1"/>
    <xf numFmtId="169" fontId="33" fillId="18" borderId="0" xfId="0" applyNumberFormat="1" applyFont="1" applyFill="1"/>
    <xf numFmtId="0" fontId="24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4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24" fillId="11" borderId="23" xfId="0" applyFont="1" applyFill="1" applyBorder="1" applyAlignment="1">
      <alignment horizontal="center"/>
    </xf>
    <xf numFmtId="0" fontId="24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12" fillId="0" borderId="0" xfId="0" applyNumberFormat="1" applyFont="1" applyAlignment="1">
      <alignment horizontal="left" wrapText="1"/>
    </xf>
    <xf numFmtId="0" fontId="13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left"/>
    </xf>
    <xf numFmtId="164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8" fillId="0" borderId="0" xfId="3" applyFont="1"/>
    <xf numFmtId="0" fontId="8" fillId="0" borderId="0" xfId="3" applyFont="1" applyAlignment="1">
      <alignment horizontal="center"/>
    </xf>
    <xf numFmtId="3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0" applyFont="1"/>
    <xf numFmtId="0" fontId="14" fillId="0" borderId="0" xfId="0" applyFont="1"/>
  </cellXfs>
  <cellStyles count="11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vid_quartely_outlays_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6 Budg Baseline"/>
      <sheetName val="Revised Add Factors"/>
      <sheetName val="Master"/>
      <sheetName val="Add factor comparison"/>
      <sheetName val="Leg Changes Quarterly Values"/>
      <sheetName val="MPC"/>
      <sheetName val="cbo_budget_nipas_proj_annual_co"/>
      <sheetName val="Automatic Stabilizers"/>
      <sheetName val="All Budg Add-Ons - Annual"/>
      <sheetName val="UI"/>
      <sheetName val="SNAP"/>
      <sheetName val="Stimulus Checks"/>
      <sheetName val="Corp Taxes"/>
      <sheetName val="PPP"/>
      <sheetName val="All other subsidies"/>
      <sheetName val="Jan Econ Baseline"/>
      <sheetName val="May Econ Baseline"/>
      <sheetName val="New Outlook"/>
      <sheetName val="Sheet6"/>
    </sheetNames>
    <sheetDataSet>
      <sheetData sheetId="0"/>
      <sheetData sheetId="1">
        <row r="13">
          <cell r="D13">
            <v>282.68175834658189</v>
          </cell>
          <cell r="F13">
            <v>0</v>
          </cell>
          <cell r="G13">
            <v>0</v>
          </cell>
          <cell r="H1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  <person displayName="Manuel Alcala Kovalski" id="{CE7965FB-6D9A-C247-A3AE-EA28428512F3}" userId="S::malcalakovalski@brookings.edu::65ca0f03-2f5c-48fe-8ae6-628c3a907f6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31" dT="2020-12-22T23:07:42.60" personId="{2D35AFA9-F227-4AE7-B9A7-D673D9D18C70}" id="{D4AA3B3B-1162-4A8A-A155-4B50A107D1DD}">
    <text>adding $12B for the medicare sequester (12B over 4 quarters and then annuzlied)</text>
  </threadedComment>
  <threadedComment ref="O33" dT="2020-12-21T20:20:09.37" personId="{2D35AFA9-F227-4AE7-B9A7-D673D9D18C70}" id="{6CD6C4CA-E498-4D54-9079-67C6684A7737}">
    <text>fiscal hawk: estimate of $166B. and then annualized</text>
  </threadedComment>
  <threadedComment ref="O34" dT="2020-12-21T21:17:43.06" personId="{2D35AFA9-F227-4AE7-B9A7-D673D9D18C70}" id="{7D448B96-9EF3-473D-8237-30098D498358}">
    <text>CRFB estimates $26B. It is a six month extension so we divide by 2 (# of quarters) and then annualize by multiplying by 4.</text>
  </threadedComment>
  <threadedComment ref="P34" dT="2020-12-21T21:17:43.06" personId="{2D35AFA9-F227-4AE7-B9A7-D673D9D18C70}" id="{B3828621-F8BF-4EE3-B8BA-BEFCEEA719A6}">
    <text>CRFB estimates $26B. It is a six month extension so we divide by 2 (# of quarters) and then annualize by multiplying by 4.</text>
  </threadedComment>
  <threadedComment ref="O35" dT="2020-12-22T18:00:08.03" personId="{2D35AFA9-F227-4AE7-B9A7-D673D9D18C70}" id="{4DB7FB29-2B61-4AD8-B269-05A7FEEBC5BD}">
    <text>CRFB estimates $5B over calendar year 2021</text>
  </threadedComment>
  <threadedComment ref="P35" dT="2020-12-22T18:00:08.03" personId="{2D35AFA9-F227-4AE7-B9A7-D673D9D18C70}" id="{ECAA649D-FAFF-415D-BBA3-8558E7EB5AD8}">
    <text>CRFB estimates $5B over calendar year 2021</text>
  </threadedComment>
  <threadedComment ref="Q35" dT="2020-12-22T18:00:08.03" personId="{2D35AFA9-F227-4AE7-B9A7-D673D9D18C70}" id="{7B8EF2ED-F5A7-446F-B87D-74CEED3214DC}">
    <text>CRFB estimates $5B over calendar year 2021</text>
  </threadedComment>
  <threadedComment ref="R35" dT="2020-12-22T18:00:08.03" personId="{2D35AFA9-F227-4AE7-B9A7-D673D9D18C70}" id="{93445C5E-94EA-423D-BA59-395F985BF92E}">
    <text>CRFB estimates $5B over calendar year 2021</text>
  </threadedComment>
  <threadedComment ref="M36" dT="2020-10-29T15:30:32.00" personId="{2D35AFA9-F227-4AE7-B9A7-D673D9D18C70}" id="{7314685E-335E-47AA-B478-1BA6ABF2BDA3}">
    <text>BEA has 771k for total UI but not including Trump UI. Add trump UI for the real total</text>
  </threadedComment>
  <threadedComment ref="O41" dT="2020-12-21T20:20:53.19" personId="{2D35AFA9-F227-4AE7-B9A7-D673D9D18C70}" id="{299B58A4-BA69-464A-9D14-5A970E50857A}">
    <text>CRFB: estimate of $120B. And then annualized</text>
  </threadedComment>
  <threadedComment ref="O59" dT="2020-12-17T16:13:31.41" personId="{2D35AFA9-F227-4AE7-B9A7-D673D9D18C70}" id="{C5311C2D-4764-4363-AE1C-A82227666FB7}">
    <text>estimated $300 billion next year. over three quarters = 100. annualized ( x4).</text>
  </threadedComment>
  <threadedComment ref="O59" dT="2020-12-21T20:53:02.94" personId="{2D35AFA9-F227-4AE7-B9A7-D673D9D18C70}" id="{79753B33-0A2D-4CFB-8AE4-CAE7DF9CD46E}" parentId="{C5311C2D-4764-4363-AE1C-A82227666FB7}">
    <text>CFRB: estimates $325B. We then annualize it.</text>
  </threadedComment>
  <threadedComment ref="O60" dT="2020-12-21T21:06:48.42" personId="{2D35AFA9-F227-4AE7-B9A7-D673D9D18C70}" id="{A0B72D47-4ADC-4971-B431-B9EA6C91AE60}">
    <text>CRFB: estimates $16B. We divide evenly over the remaining 3 quarters of FY21. then annualize</text>
  </threadedComment>
  <threadedComment ref="L66" dT="2020-09-10T19:09:05.64" personId="{2D35AFA9-F227-4AE7-B9A7-D673D9D18C70}" id="{2D81BDF9-A0D8-4A1A-915B-91D32E8E61FF}">
    <text>grow with nom purchases</text>
  </threadedComment>
  <threadedComment ref="L72" dT="2020-10-27T15:26:37.39" personId="{2D35AFA9-F227-4AE7-B9A7-D673D9D18C70}" id="{33EF6DF5-9556-47EC-86E1-A12FDBDC0AA8}">
    <text>CBO indicated 17 for q2? why do we split the quarter 3 payments into q2?</text>
  </threadedComment>
  <threadedComment ref="L72" dT="2020-10-28T16:31:53.35" personId="{2D35AFA9-F227-4AE7-B9A7-D673D9D18C70}" id="{1079BF34-6E2F-4888-8715-72B28B28D9AA}" parentId="{33EF6DF5-9556-47EC-86E1-A12FDBDC0AA8}">
    <text>we're comfortable leaving this as is</text>
  </threadedComment>
  <threadedComment ref="O74" dT="2020-12-21T21:08:26.13" personId="{2D35AFA9-F227-4AE7-B9A7-D673D9D18C70}" id="{8D1CFFB8-D62F-4FA1-AB58-5320D39AA096}">
    <text>CRFB estimates $29B ($45 minus $16B for airline which is inn subsidies). MPC is 100% over 12 quarters. And then annualized</text>
  </threadedComment>
  <threadedComment ref="O75" dT="2020-12-21T21:00:34.35" personId="{2D35AFA9-F227-4AE7-B9A7-D673D9D18C70}" id="{DA48DE65-66E5-4DD8-819A-2F757A61D389}">
    <text>CRFB: estimates $82B. According to the Louise x Wendy, MPC is 100% over 3 years.</text>
  </threadedComment>
  <threadedComment ref="O76" dT="2020-12-21T21:03:38.65" personId="{2D35AFA9-F227-4AE7-B9A7-D673D9D18C70}" id="{1FC8F5D3-F5DD-4502-A8BF-AD36B99CFAF5}">
    <text>CRFB: estimates $63B. MPC is 100% over 12 quarters and then annualize</text>
  </threadedComment>
  <threadedComment ref="O77" dT="2020-12-21T21:11:36.65" personId="{2D35AFA9-F227-4AE7-B9A7-D673D9D18C70}" id="{99D44059-B7C8-4B13-A311-FD754252DDFC}">
    <text>CRFB: estimates $54B ($80B top line but net out$26B in SNAP which is in social benefits). MPC is 100% over 12 quarters. And then annualized</text>
  </threadedComment>
  <threadedComment ref="N92" dT="2020-09-11T20:43:00.49" personId="{2D35AFA9-F227-4AE7-B9A7-D673D9D18C70}" id="{11731043-8530-4DAC-9476-3C98D0D836BB}">
    <text>grow with S&amp;L nom purchases</text>
  </threadedComment>
  <threadedComment ref="N99" dT="2020-10-29T17:11:18.12" personId="{2D35AFA9-F227-4AE7-B9A7-D673D9D18C70}" id="{DF0EC25E-9AE4-45F2-BCE9-95D46AA2D480}">
    <text>CBO projected is 1.96%</text>
  </threadedComment>
  <threadedComment ref="M103" dT="2020-09-30T15:34:05.87" personId="{2D35AFA9-F227-4AE7-B9A7-D673D9D18C70}" id="{55BAE892-7CB3-4E1D-8C31-C7FA6DC5B9F4}">
    <text>OVERRIDE IN THE FIM WITH -5%</text>
  </threadedComment>
  <threadedComment ref="N103" dT="2020-09-30T15:34:25.90" personId="{2D35AFA9-F227-4AE7-B9A7-D673D9D18C70}" id="{5A5A9177-799E-4FBA-A407-831B591270CB}">
    <text>overide in the fim with 4%</text>
  </threadedComment>
  <threadedComment ref="N103" dT="2020-10-29T16:57:45.80" personId="{2D35AFA9-F227-4AE7-B9A7-D673D9D18C70}" id="{FBDD8523-7A3F-4DF7-81A8-0924F76BD4BF}" parentId="{5A5A9177-799E-4FBA-A407-831B591270CB}">
    <text>cbo proected it will be 2.3%. should we still ovverride with 4%?</text>
  </threadedComment>
  <threadedComment ref="O103" dT="2020-09-30T15:34:25.90" personId="{2D35AFA9-F227-4AE7-B9A7-D673D9D18C70}" id="{6E4225DC-7AF1-4149-8AFD-DF5FEAFAE0CE}">
    <text>overide in the fim with 4%</text>
  </threadedComment>
  <threadedComment ref="O103" dT="2020-10-29T16:57:45.80" personId="{2D35AFA9-F227-4AE7-B9A7-D673D9D18C70}" id="{FE20A6AA-02B6-46E8-9806-7C5144E7A7ED}" parentId="{6E4225DC-7AF1-4149-8AFD-DF5FEAFAE0CE}">
    <text>cbo proected it will be 2.3%. should we still ovverride with 4%?</text>
  </threadedComment>
  <threadedComment ref="P103" dT="2020-09-30T15:34:25.90" personId="{2D35AFA9-F227-4AE7-B9A7-D673D9D18C70}" id="{E0AA59A4-D972-4354-844E-3B08443F6713}">
    <text>overide in the fim with 4%</text>
  </threadedComment>
  <threadedComment ref="P103" dT="2020-10-29T16:57:45.80" personId="{2D35AFA9-F227-4AE7-B9A7-D673D9D18C70}" id="{C3D0F2C7-665C-439A-9621-55D3B2C5FDA6}" parentId="{E0AA59A4-D972-4354-844E-3B08443F6713}">
    <text>cbo proected it will be 2.3%. should we still ovverride with 4%?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U2" dT="2020-11-18T17:27:07.54" personId="{CE7965FB-6D9A-C247-A3AE-EA28428512F3}" id="{8BC26E33-999B-CB4A-87A5-22E26D662D33}">
    <text xml:space="preserve">Extend medicaid estimates before Q4 update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Q115"/>
  <sheetViews>
    <sheetView zoomScale="110" zoomScaleNormal="110" workbookViewId="0">
      <pane xSplit="2" ySplit="3" topLeftCell="I38" activePane="bottomRight" state="frozen"/>
      <selection pane="topRight" activeCell="C1" sqref="C1"/>
      <selection pane="bottomLeft" activeCell="A4" sqref="A4"/>
      <selection pane="bottomRight" activeCell="O58" sqref="O58"/>
    </sheetView>
  </sheetViews>
  <sheetFormatPr baseColWidth="10" defaultColWidth="8.83203125" defaultRowHeight="15" x14ac:dyDescent="0.2"/>
  <cols>
    <col min="1" max="1" width="29.83203125" customWidth="1"/>
    <col min="2" max="2" width="10.83203125" customWidth="1"/>
    <col min="3" max="4" width="10.83203125" style="35" customWidth="1"/>
    <col min="6" max="14" width="16.1640625" bestFit="1" customWidth="1"/>
    <col min="15" max="15" width="13.33203125" customWidth="1"/>
    <col min="16" max="22" width="16.1640625" bestFit="1" customWidth="1"/>
    <col min="23" max="23" width="16.1640625" style="35" customWidth="1"/>
    <col min="24" max="25" width="12.5" bestFit="1" customWidth="1"/>
    <col min="26" max="26" width="11.83203125" bestFit="1" customWidth="1"/>
    <col min="27" max="27" width="11.83203125" customWidth="1"/>
    <col min="28" max="32" width="8.83203125" customWidth="1"/>
    <col min="33" max="33" width="15.5" hidden="1" customWidth="1"/>
    <col min="34" max="34" width="10.5" hidden="1" customWidth="1"/>
    <col min="39" max="39" width="8.6640625" style="146"/>
  </cols>
  <sheetData>
    <row r="1" spans="1:43" ht="19" x14ac:dyDescent="0.25">
      <c r="A1" s="316" t="s">
        <v>163</v>
      </c>
      <c r="B1" s="316"/>
      <c r="C1" s="279"/>
      <c r="D1" s="279"/>
      <c r="E1" s="35"/>
      <c r="M1" t="s">
        <v>373</v>
      </c>
      <c r="AC1" s="179" t="s">
        <v>249</v>
      </c>
      <c r="AD1" s="318" t="s">
        <v>247</v>
      </c>
      <c r="AE1" s="318"/>
      <c r="AF1" s="318"/>
      <c r="AG1" t="s">
        <v>28</v>
      </c>
      <c r="AI1" s="319" t="s">
        <v>281</v>
      </c>
      <c r="AJ1" s="319"/>
      <c r="AK1" s="319"/>
      <c r="AL1" s="319"/>
      <c r="AM1" s="317" t="s">
        <v>279</v>
      </c>
      <c r="AN1" s="317"/>
      <c r="AO1" s="317"/>
      <c r="AP1" s="317"/>
    </row>
    <row r="2" spans="1:43" x14ac:dyDescent="0.2">
      <c r="F2" s="315" t="s">
        <v>21</v>
      </c>
      <c r="G2" s="315"/>
      <c r="H2" s="315"/>
      <c r="I2" s="315"/>
      <c r="J2" s="315" t="s">
        <v>9</v>
      </c>
      <c r="K2" s="315"/>
      <c r="L2" s="315"/>
      <c r="M2" s="315"/>
      <c r="N2" s="315" t="s">
        <v>10</v>
      </c>
      <c r="O2" s="315"/>
      <c r="P2" s="315"/>
      <c r="Q2" s="315"/>
      <c r="R2" s="315" t="s">
        <v>11</v>
      </c>
      <c r="S2" s="315"/>
      <c r="T2" s="315"/>
      <c r="U2" s="315"/>
      <c r="V2" s="315" t="s">
        <v>268</v>
      </c>
      <c r="W2" s="315"/>
      <c r="X2" s="315"/>
      <c r="Y2" s="315"/>
      <c r="Z2" s="229"/>
      <c r="AA2" s="296"/>
      <c r="AB2" s="229"/>
      <c r="AC2" s="156"/>
      <c r="AD2" s="315" t="s">
        <v>102</v>
      </c>
      <c r="AE2" s="315"/>
      <c r="AF2" s="315"/>
      <c r="AG2" s="156"/>
      <c r="AH2" s="156" t="s">
        <v>21</v>
      </c>
      <c r="AI2" s="315" t="s">
        <v>102</v>
      </c>
      <c r="AJ2" s="315"/>
      <c r="AK2" s="315"/>
      <c r="AL2" s="230"/>
    </row>
    <row r="3" spans="1:43" x14ac:dyDescent="0.2">
      <c r="F3" s="199" t="s">
        <v>5</v>
      </c>
      <c r="G3" s="199" t="s">
        <v>6</v>
      </c>
      <c r="H3" s="199" t="s">
        <v>7</v>
      </c>
      <c r="I3" s="199" t="s">
        <v>8</v>
      </c>
      <c r="J3" s="199" t="s">
        <v>5</v>
      </c>
      <c r="K3" s="199" t="s">
        <v>6</v>
      </c>
      <c r="L3" s="199" t="s">
        <v>7</v>
      </c>
      <c r="M3" s="199" t="s">
        <v>8</v>
      </c>
      <c r="N3" t="s">
        <v>5</v>
      </c>
      <c r="O3" t="s">
        <v>6</v>
      </c>
      <c r="P3" t="s">
        <v>7</v>
      </c>
      <c r="Q3" t="s">
        <v>8</v>
      </c>
      <c r="R3" t="s">
        <v>5</v>
      </c>
      <c r="S3" t="s">
        <v>6</v>
      </c>
      <c r="T3" t="s">
        <v>7</v>
      </c>
      <c r="U3" t="s">
        <v>8</v>
      </c>
      <c r="V3" t="s">
        <v>5</v>
      </c>
      <c r="W3" t="s">
        <v>6</v>
      </c>
      <c r="X3" t="s">
        <v>7</v>
      </c>
      <c r="Y3" t="s">
        <v>8</v>
      </c>
      <c r="Z3" t="s">
        <v>5</v>
      </c>
      <c r="AC3" s="157" t="s">
        <v>21</v>
      </c>
      <c r="AD3" s="180" t="s">
        <v>9</v>
      </c>
      <c r="AE3" s="132" t="s">
        <v>12</v>
      </c>
      <c r="AF3" s="132" t="s">
        <v>11</v>
      </c>
      <c r="AG3" s="2" t="s">
        <v>248</v>
      </c>
      <c r="AH3" s="2" t="s">
        <v>159</v>
      </c>
      <c r="AI3" s="183" t="s">
        <v>9</v>
      </c>
      <c r="AJ3" s="97" t="s">
        <v>12</v>
      </c>
      <c r="AK3" s="97" t="s">
        <v>11</v>
      </c>
      <c r="AL3" s="97" t="s">
        <v>268</v>
      </c>
      <c r="AN3" s="97" t="s">
        <v>12</v>
      </c>
      <c r="AO3" s="97" t="s">
        <v>11</v>
      </c>
      <c r="AP3" s="97" t="s">
        <v>268</v>
      </c>
    </row>
    <row r="4" spans="1:43" ht="19" x14ac:dyDescent="0.25">
      <c r="A4" s="314" t="s">
        <v>264</v>
      </c>
      <c r="B4" s="314"/>
      <c r="C4" s="279"/>
      <c r="D4" s="279"/>
      <c r="F4" s="199"/>
      <c r="G4" s="199"/>
      <c r="H4" s="199"/>
      <c r="I4" s="199"/>
      <c r="J4" s="199"/>
      <c r="K4" s="199"/>
      <c r="L4" s="199"/>
      <c r="M4" s="199"/>
      <c r="AC4" s="192"/>
      <c r="AD4" s="180"/>
      <c r="AE4" s="192"/>
      <c r="AF4" s="192"/>
      <c r="AG4" s="191"/>
      <c r="AH4" s="191"/>
      <c r="AI4" s="183"/>
      <c r="AJ4" s="97"/>
      <c r="AK4" s="97"/>
      <c r="AL4" s="97"/>
    </row>
    <row r="5" spans="1:43" x14ac:dyDescent="0.2">
      <c r="A5" t="s">
        <v>261</v>
      </c>
      <c r="B5" t="s">
        <v>283</v>
      </c>
      <c r="C5" s="35" t="s">
        <v>294</v>
      </c>
      <c r="F5" s="200">
        <v>20909.900000000001</v>
      </c>
      <c r="G5" s="200">
        <v>21115.3</v>
      </c>
      <c r="H5" s="200">
        <v>21329.9</v>
      </c>
      <c r="I5" s="200">
        <v>21540.3</v>
      </c>
      <c r="J5" s="200">
        <v>21747.4</v>
      </c>
      <c r="K5" s="200">
        <v>21561.1</v>
      </c>
      <c r="L5" s="200">
        <v>19520.099999999999</v>
      </c>
      <c r="M5" s="199">
        <f>VLOOKUP(C5,'Haver NA'!$A$1:$I$34,9,0)</f>
        <v>21170.3</v>
      </c>
      <c r="N5">
        <v>21598.399172907619</v>
      </c>
      <c r="O5">
        <v>21956.606754670749</v>
      </c>
      <c r="P5">
        <v>22305.748458849539</v>
      </c>
      <c r="Q5">
        <v>22678.925280344971</v>
      </c>
      <c r="R5">
        <v>22928.869417001941</v>
      </c>
      <c r="S5">
        <v>23157.624700235021</v>
      </c>
      <c r="T5">
        <v>23384.060805481411</v>
      </c>
      <c r="U5">
        <v>23620.8277944867</v>
      </c>
      <c r="V5">
        <v>23861.073550472051</v>
      </c>
      <c r="W5">
        <v>24102.584312631949</v>
      </c>
      <c r="X5">
        <v>24334.080442576571</v>
      </c>
      <c r="Y5">
        <v>24582.12706997171</v>
      </c>
      <c r="Z5">
        <v>24844.299599649439</v>
      </c>
      <c r="AC5" s="192"/>
      <c r="AD5" s="180"/>
      <c r="AE5" s="192"/>
      <c r="AF5" s="192"/>
      <c r="AG5" s="191"/>
      <c r="AH5" s="191"/>
      <c r="AI5" s="183"/>
      <c r="AJ5" s="97"/>
      <c r="AK5" s="97"/>
      <c r="AL5" s="97"/>
    </row>
    <row r="6" spans="1:43" s="171" customFormat="1" ht="12" x14ac:dyDescent="0.15">
      <c r="A6" s="170" t="s">
        <v>216</v>
      </c>
      <c r="C6" s="280"/>
      <c r="D6" s="280"/>
      <c r="F6" s="201"/>
      <c r="G6" s="202">
        <f>G5/F5-1</f>
        <v>9.8230981496802983E-3</v>
      </c>
      <c r="H6" s="202">
        <f t="shared" ref="H6:V6" si="0">H5/G5-1</f>
        <v>1.016324655581502E-2</v>
      </c>
      <c r="I6" s="202">
        <f t="shared" si="0"/>
        <v>9.864087501582075E-3</v>
      </c>
      <c r="J6" s="202">
        <f t="shared" si="0"/>
        <v>9.6145364734938621E-3</v>
      </c>
      <c r="K6" s="202">
        <f t="shared" si="0"/>
        <v>-8.5665412876942959E-3</v>
      </c>
      <c r="L6" s="202">
        <f t="shared" si="0"/>
        <v>-9.4661218583467432E-2</v>
      </c>
      <c r="M6" s="202">
        <f t="shared" si="0"/>
        <v>8.4538501339644911E-2</v>
      </c>
      <c r="N6" s="198">
        <f>N5/M5-1</f>
        <v>2.0221686650997883E-2</v>
      </c>
      <c r="O6" s="198">
        <f t="shared" si="0"/>
        <v>1.6584913488054021E-2</v>
      </c>
      <c r="P6" s="198">
        <f t="shared" si="0"/>
        <v>1.5901441788336301E-2</v>
      </c>
      <c r="Q6" s="198">
        <f t="shared" si="0"/>
        <v>1.673007396204973E-2</v>
      </c>
      <c r="R6" s="198">
        <f t="shared" si="0"/>
        <v>1.1020986822227741E-2</v>
      </c>
      <c r="S6" s="198">
        <f t="shared" si="0"/>
        <v>9.9767362739417997E-3</v>
      </c>
      <c r="T6" s="198">
        <f t="shared" si="0"/>
        <v>9.778036745024643E-3</v>
      </c>
      <c r="U6" s="198">
        <f t="shared" si="0"/>
        <v>1.0125144258510854E-2</v>
      </c>
      <c r="V6" s="198">
        <f t="shared" si="0"/>
        <v>1.0170928727630146E-2</v>
      </c>
      <c r="W6" s="176"/>
      <c r="X6" s="173"/>
      <c r="Y6" s="173"/>
      <c r="Z6" s="173"/>
      <c r="AA6" s="173"/>
      <c r="AB6" s="173"/>
      <c r="AC6" s="173"/>
      <c r="AD6" s="174"/>
      <c r="AE6" s="174"/>
      <c r="AF6" s="174"/>
      <c r="AG6" s="175"/>
      <c r="AI6" s="175"/>
      <c r="AJ6" s="175"/>
      <c r="AK6" s="175"/>
      <c r="AL6" s="175"/>
      <c r="AM6" s="241"/>
    </row>
    <row r="7" spans="1:43" x14ac:dyDescent="0.2">
      <c r="A7" t="s">
        <v>262</v>
      </c>
      <c r="B7" t="s">
        <v>283</v>
      </c>
      <c r="C7" s="35" t="s">
        <v>295</v>
      </c>
      <c r="F7" s="200">
        <v>18813.900000000001</v>
      </c>
      <c r="G7" s="200">
        <v>18950.3</v>
      </c>
      <c r="H7" s="200">
        <v>19020.599999999999</v>
      </c>
      <c r="I7" s="200">
        <v>19141.7</v>
      </c>
      <c r="J7" s="200">
        <v>19254</v>
      </c>
      <c r="K7" s="200">
        <v>19010.8</v>
      </c>
      <c r="L7" s="200">
        <v>17302.5</v>
      </c>
      <c r="M7" s="199">
        <f>VLOOKUP(C7,'Haver NA'!$A$1:$I$34,9,0)</f>
        <v>18596.5</v>
      </c>
      <c r="N7">
        <v>18955.122607058929</v>
      </c>
      <c r="O7">
        <v>19232.840289322561</v>
      </c>
      <c r="P7">
        <v>19474.29747420385</v>
      </c>
      <c r="Q7">
        <v>19726.02497337263</v>
      </c>
      <c r="R7">
        <v>19869.914172522811</v>
      </c>
      <c r="S7">
        <v>19985.088411318178</v>
      </c>
      <c r="T7">
        <v>20089.049143697619</v>
      </c>
      <c r="U7">
        <v>20196.887443716219</v>
      </c>
      <c r="V7">
        <v>20307.13612361862</v>
      </c>
      <c r="W7">
        <v>20417.59440177177</v>
      </c>
      <c r="X7">
        <v>20514.428793625211</v>
      </c>
      <c r="Y7">
        <v>20622.057495393041</v>
      </c>
      <c r="Z7">
        <v>20739.956511448359</v>
      </c>
      <c r="AC7" s="192"/>
      <c r="AD7" s="180"/>
      <c r="AE7" s="192"/>
      <c r="AF7" s="192"/>
      <c r="AG7" s="191"/>
      <c r="AH7" s="191"/>
      <c r="AI7" s="183"/>
      <c r="AJ7" s="97"/>
      <c r="AK7" s="97"/>
      <c r="AL7" s="97"/>
    </row>
    <row r="8" spans="1:43" s="213" customFormat="1" x14ac:dyDescent="0.2">
      <c r="A8" s="213" t="s">
        <v>263</v>
      </c>
      <c r="C8" s="170"/>
      <c r="D8" s="170"/>
      <c r="F8" s="217"/>
      <c r="G8" s="217"/>
      <c r="H8" s="217"/>
      <c r="I8" s="217"/>
      <c r="J8" s="217"/>
      <c r="K8" s="217"/>
      <c r="L8" s="217"/>
      <c r="M8" s="199"/>
      <c r="N8" s="216"/>
      <c r="O8" s="216"/>
      <c r="P8" s="216"/>
      <c r="Q8" s="216"/>
      <c r="R8" s="216"/>
      <c r="S8" s="216"/>
      <c r="T8" s="216"/>
      <c r="U8" s="216"/>
      <c r="V8" s="216"/>
      <c r="W8" s="222"/>
      <c r="AC8" s="214"/>
      <c r="AD8" s="215"/>
      <c r="AE8" s="214"/>
      <c r="AF8" s="214"/>
      <c r="AI8" s="215"/>
      <c r="AJ8" s="214"/>
      <c r="AK8" s="214"/>
      <c r="AL8" s="214"/>
      <c r="AM8" s="242"/>
    </row>
    <row r="9" spans="1:43" x14ac:dyDescent="0.2">
      <c r="F9" s="199"/>
      <c r="G9" s="199"/>
      <c r="H9" s="199"/>
      <c r="I9" s="199"/>
      <c r="J9" s="199"/>
      <c r="K9" s="199"/>
      <c r="L9" s="199"/>
      <c r="M9" s="199"/>
      <c r="AC9" s="192"/>
      <c r="AD9" s="180"/>
      <c r="AE9" s="192"/>
      <c r="AF9" s="192"/>
      <c r="AG9" s="191"/>
      <c r="AH9" s="191"/>
      <c r="AI9" s="183"/>
      <c r="AJ9" s="97"/>
      <c r="AK9" s="97"/>
      <c r="AL9" s="97"/>
    </row>
    <row r="10" spans="1:43" x14ac:dyDescent="0.2">
      <c r="A10" t="s">
        <v>1</v>
      </c>
      <c r="F10" s="199"/>
      <c r="G10" s="199"/>
      <c r="H10" s="199"/>
      <c r="I10" s="199"/>
      <c r="J10" s="199"/>
      <c r="K10" s="199"/>
      <c r="L10" s="199"/>
      <c r="M10" s="199"/>
      <c r="AD10" s="146"/>
      <c r="AI10" s="146"/>
    </row>
    <row r="11" spans="1:43" x14ac:dyDescent="0.2">
      <c r="A11" s="177" t="s">
        <v>258</v>
      </c>
      <c r="F11" s="200">
        <f>F12+F14+F16</f>
        <v>3178</v>
      </c>
      <c r="G11" s="200">
        <f t="shared" ref="G11:V11" si="1">G12+G14+G16</f>
        <v>3259.5</v>
      </c>
      <c r="H11" s="200">
        <f t="shared" si="1"/>
        <v>3269.2</v>
      </c>
      <c r="I11" s="200">
        <f t="shared" si="1"/>
        <v>3290.6</v>
      </c>
      <c r="J11" s="200">
        <f t="shared" si="1"/>
        <v>3336.3</v>
      </c>
      <c r="K11" s="200">
        <f t="shared" si="1"/>
        <v>3376.8</v>
      </c>
      <c r="L11" s="200">
        <f t="shared" si="1"/>
        <v>3091.4840000000004</v>
      </c>
      <c r="M11" s="199">
        <f t="shared" si="1"/>
        <v>3262.3</v>
      </c>
      <c r="N11" s="168">
        <f t="shared" si="1"/>
        <v>3387.9246000000003</v>
      </c>
      <c r="O11" s="168">
        <f t="shared" si="1"/>
        <v>3522.3746648000006</v>
      </c>
      <c r="P11" s="168">
        <f t="shared" si="1"/>
        <v>3555.7521195904001</v>
      </c>
      <c r="Q11" s="168">
        <f t="shared" si="1"/>
        <v>3589.6045323180033</v>
      </c>
      <c r="R11" s="168">
        <f t="shared" si="1"/>
        <v>3653.0294515032065</v>
      </c>
      <c r="S11" s="168">
        <f t="shared" si="1"/>
        <v>3695.0418313299106</v>
      </c>
      <c r="T11" s="168">
        <f t="shared" si="1"/>
        <v>3737.6936183673488</v>
      </c>
      <c r="U11" s="168">
        <f t="shared" si="1"/>
        <v>3780.9999780241274</v>
      </c>
      <c r="V11" s="168">
        <f t="shared" si="1"/>
        <v>3856.6199775846098</v>
      </c>
      <c r="W11" s="169"/>
      <c r="AD11" s="146"/>
      <c r="AI11" s="146"/>
    </row>
    <row r="12" spans="1:43" x14ac:dyDescent="0.2">
      <c r="A12" s="218" t="s">
        <v>25</v>
      </c>
      <c r="B12" t="s">
        <v>283</v>
      </c>
      <c r="C12" t="s">
        <v>296</v>
      </c>
      <c r="D12"/>
      <c r="F12" s="200">
        <v>1634.2</v>
      </c>
      <c r="G12" s="200">
        <v>1695.5</v>
      </c>
      <c r="H12" s="200">
        <v>1703.1</v>
      </c>
      <c r="I12" s="200">
        <v>1713.2</v>
      </c>
      <c r="J12" s="200">
        <v>1740.2</v>
      </c>
      <c r="K12" s="200">
        <v>1756.6</v>
      </c>
      <c r="L12" s="200">
        <v>1599.3</v>
      </c>
      <c r="M12" s="199">
        <f>VLOOKUP(C12,'Haver NA'!$A$1:$I$34,9,0)</f>
        <v>1687.4</v>
      </c>
      <c r="N12" s="169">
        <f>M12*(1+N13)</f>
        <v>1788.6440000000002</v>
      </c>
      <c r="O12" s="169">
        <f t="shared" ref="O12:U12" si="2">N12*(1+O13)</f>
        <v>1899.5399280000004</v>
      </c>
      <c r="P12" s="169">
        <f t="shared" si="2"/>
        <v>1914.7362474240003</v>
      </c>
      <c r="Q12" s="169">
        <f t="shared" si="2"/>
        <v>1930.0541374033924</v>
      </c>
      <c r="R12" s="169">
        <f t="shared" si="2"/>
        <v>1949.3546787774262</v>
      </c>
      <c r="S12" s="169">
        <f t="shared" si="2"/>
        <v>1968.8482255652004</v>
      </c>
      <c r="T12" s="169">
        <f t="shared" si="2"/>
        <v>1988.5367078208524</v>
      </c>
      <c r="U12" s="169">
        <f t="shared" si="2"/>
        <v>2008.4220748990608</v>
      </c>
      <c r="V12" s="169">
        <f t="shared" ref="O12:V14" si="3">U12*(1+V13)</f>
        <v>2048.5905163970419</v>
      </c>
      <c r="W12" s="169"/>
      <c r="X12" s="44"/>
      <c r="Y12" s="44"/>
      <c r="Z12" s="44"/>
      <c r="AA12" s="44"/>
      <c r="AB12" s="44"/>
      <c r="AC12" s="44">
        <f>AVERAGE(F12:I12)</f>
        <v>1686.4999999999998</v>
      </c>
      <c r="AD12" s="181">
        <f>AVERAGE(J12,K12,L12,M12)</f>
        <v>1695.875</v>
      </c>
      <c r="AE12" s="45">
        <f>AVERAGE(N12:Q12)</f>
        <v>1883.2435782068483</v>
      </c>
      <c r="AF12" s="45">
        <f>AVERAGE(R12:U12)</f>
        <v>1978.7904217656351</v>
      </c>
      <c r="AG12" s="3">
        <f>AVERAGE(F12:I12)</f>
        <v>1686.4999999999998</v>
      </c>
      <c r="AH12">
        <v>1653</v>
      </c>
      <c r="AI12" s="184">
        <f>$AC12/'figuring NIPA tax changes'!$E19*'figuring NIPA tax changes'!F19</f>
        <v>1649.4616519302829</v>
      </c>
      <c r="AJ12" s="3">
        <f>$AC12/'figuring NIPA tax changes'!$E19*'figuring NIPA tax changes'!G19</f>
        <v>1678.1639909491882</v>
      </c>
      <c r="AK12" s="3">
        <f>$AC12/'figuring NIPA tax changes'!$E19*'figuring NIPA tax changes'!H19</f>
        <v>1762.3300952873258</v>
      </c>
      <c r="AL12" s="3"/>
    </row>
    <row r="13" spans="1:43" s="171" customFormat="1" x14ac:dyDescent="0.2">
      <c r="A13" s="219" t="s">
        <v>216</v>
      </c>
      <c r="C13" s="280"/>
      <c r="D13" s="280"/>
      <c r="F13" s="201"/>
      <c r="G13" s="201"/>
      <c r="H13" s="201"/>
      <c r="I13" s="201"/>
      <c r="J13" s="201"/>
      <c r="K13" s="201"/>
      <c r="L13" s="201"/>
      <c r="M13" s="199"/>
      <c r="N13" s="176">
        <v>0.06</v>
      </c>
      <c r="O13" s="176">
        <v>6.2E-2</v>
      </c>
      <c r="P13" s="176">
        <v>8.0000000000000002E-3</v>
      </c>
      <c r="Q13" s="176">
        <v>8.0000000000000002E-3</v>
      </c>
      <c r="R13" s="176">
        <v>0.01</v>
      </c>
      <c r="S13" s="176">
        <v>0.01</v>
      </c>
      <c r="T13" s="176">
        <v>0.01</v>
      </c>
      <c r="U13" s="176">
        <v>0.01</v>
      </c>
      <c r="V13" s="176">
        <v>0.02</v>
      </c>
      <c r="W13" s="176"/>
      <c r="X13" s="173"/>
      <c r="Y13" s="173"/>
      <c r="Z13" s="173"/>
      <c r="AA13" s="173"/>
      <c r="AB13" s="173"/>
      <c r="AC13" s="173"/>
      <c r="AD13" s="182"/>
      <c r="AE13" s="174"/>
      <c r="AF13" s="174"/>
      <c r="AG13" s="175"/>
      <c r="AI13" s="185"/>
      <c r="AJ13" s="175"/>
      <c r="AK13" s="175"/>
      <c r="AL13" s="175"/>
      <c r="AM13" s="241"/>
    </row>
    <row r="14" spans="1:43" x14ac:dyDescent="0.2">
      <c r="A14" s="218" t="s">
        <v>26</v>
      </c>
      <c r="B14" t="s">
        <v>283</v>
      </c>
      <c r="C14" t="s">
        <v>297</v>
      </c>
      <c r="D14"/>
      <c r="F14" s="200">
        <v>183.5</v>
      </c>
      <c r="G14" s="200">
        <v>172.1</v>
      </c>
      <c r="H14" s="200">
        <v>168.3</v>
      </c>
      <c r="I14" s="200">
        <v>175.1</v>
      </c>
      <c r="J14" s="200">
        <v>179.2</v>
      </c>
      <c r="K14" s="200">
        <v>183.8</v>
      </c>
      <c r="L14" s="200">
        <v>131.4</v>
      </c>
      <c r="M14" s="199">
        <f>VLOOKUP(C14,'Haver NA'!$A$1:$I$34,9,0)</f>
        <v>144.69999999999999</v>
      </c>
      <c r="N14" s="169">
        <f>M14*(1+N15)</f>
        <v>150.488</v>
      </c>
      <c r="O14" s="169">
        <f t="shared" si="3"/>
        <v>162.45179599999997</v>
      </c>
      <c r="P14" s="169">
        <f t="shared" si="3"/>
        <v>168.94986783999997</v>
      </c>
      <c r="Q14" s="169">
        <f t="shared" si="3"/>
        <v>175.70786255359997</v>
      </c>
      <c r="R14" s="169">
        <f t="shared" si="3"/>
        <v>182.73617705574398</v>
      </c>
      <c r="S14" s="169">
        <f t="shared" si="3"/>
        <v>190.04562413797373</v>
      </c>
      <c r="T14" s="169">
        <f t="shared" si="3"/>
        <v>197.64744910349268</v>
      </c>
      <c r="U14" s="169">
        <f t="shared" si="3"/>
        <v>205.55334706763239</v>
      </c>
      <c r="V14" s="169">
        <f t="shared" si="3"/>
        <v>209.66441400898503</v>
      </c>
      <c r="W14" s="169"/>
      <c r="X14" s="44"/>
      <c r="Y14" s="44"/>
      <c r="Z14" s="44"/>
      <c r="AA14" s="44"/>
      <c r="AB14" s="44"/>
      <c r="AC14" s="44">
        <f>AVERAGE(F14:I14)</f>
        <v>174.75000000000003</v>
      </c>
      <c r="AD14" s="181">
        <f>AVERAGE(J14,K14,L14,M14)</f>
        <v>159.77499999999998</v>
      </c>
      <c r="AE14" s="45">
        <f>AVERAGE(N14:Q14)</f>
        <v>164.3993815984</v>
      </c>
      <c r="AF14" s="45">
        <f>AVERAGE(R14:U14)</f>
        <v>193.99564934121071</v>
      </c>
      <c r="AG14" s="3">
        <f>AVERAGE(F14:I14)</f>
        <v>174.75000000000003</v>
      </c>
      <c r="AH14">
        <v>173</v>
      </c>
      <c r="AI14" s="184"/>
      <c r="AJ14" s="3"/>
      <c r="AK14" s="3"/>
      <c r="AL14" s="3"/>
      <c r="AM14" s="243"/>
      <c r="AN14" s="35"/>
      <c r="AO14" s="35"/>
      <c r="AP14" s="35"/>
      <c r="AQ14" s="35"/>
    </row>
    <row r="15" spans="1:43" s="171" customFormat="1" x14ac:dyDescent="0.2">
      <c r="A15" s="219" t="s">
        <v>216</v>
      </c>
      <c r="C15" s="280"/>
      <c r="D15" s="280"/>
      <c r="F15" s="201"/>
      <c r="G15" s="201"/>
      <c r="H15" s="201"/>
      <c r="I15" s="201"/>
      <c r="J15" s="201"/>
      <c r="K15" s="201"/>
      <c r="L15" s="201"/>
      <c r="M15" s="199"/>
      <c r="N15" s="176">
        <v>0.04</v>
      </c>
      <c r="O15" s="176">
        <v>7.9500000000000001E-2</v>
      </c>
      <c r="P15" s="176">
        <v>0.04</v>
      </c>
      <c r="Q15" s="176">
        <v>0.04</v>
      </c>
      <c r="R15" s="176">
        <v>0.04</v>
      </c>
      <c r="S15" s="176">
        <v>0.04</v>
      </c>
      <c r="T15" s="176">
        <v>0.04</v>
      </c>
      <c r="U15" s="176">
        <v>0.04</v>
      </c>
      <c r="V15" s="176">
        <v>0.02</v>
      </c>
      <c r="W15" s="176"/>
      <c r="X15" s="173"/>
      <c r="Y15" s="173"/>
      <c r="Z15" s="173"/>
      <c r="AA15" s="173"/>
      <c r="AB15" s="173"/>
      <c r="AC15" s="173"/>
      <c r="AD15" s="182"/>
      <c r="AE15" s="186"/>
      <c r="AF15" s="186"/>
      <c r="AG15" s="175"/>
      <c r="AI15" s="184"/>
      <c r="AJ15" s="186"/>
      <c r="AK15" s="186"/>
      <c r="AL15" s="186"/>
      <c r="AM15" s="241"/>
    </row>
    <row r="16" spans="1:43" x14ac:dyDescent="0.2">
      <c r="A16" s="218" t="s">
        <v>27</v>
      </c>
      <c r="B16" t="s">
        <v>283</v>
      </c>
      <c r="C16" t="s">
        <v>298</v>
      </c>
      <c r="D16"/>
      <c r="F16" s="200">
        <v>1360.3</v>
      </c>
      <c r="G16" s="200">
        <v>1391.9</v>
      </c>
      <c r="H16" s="200">
        <v>1397.8</v>
      </c>
      <c r="I16" s="200">
        <v>1402.3</v>
      </c>
      <c r="J16" s="200">
        <v>1416.9</v>
      </c>
      <c r="K16" s="200">
        <v>1436.4</v>
      </c>
      <c r="L16" s="200">
        <v>1360.7840000000001</v>
      </c>
      <c r="M16" s="199">
        <f>VLOOKUP(C16,'Haver NA'!$A$1:$I$34,9,0)</f>
        <v>1430.2</v>
      </c>
      <c r="N16" s="169">
        <f>M16*(1+N17)</f>
        <v>1448.7926</v>
      </c>
      <c r="O16" s="169">
        <f t="shared" ref="O16:V16" si="4">N16*(1+O17)</f>
        <v>1460.3829407999999</v>
      </c>
      <c r="P16" s="169">
        <f t="shared" si="4"/>
        <v>1472.0660043263999</v>
      </c>
      <c r="Q16" s="169">
        <f t="shared" si="4"/>
        <v>1483.8425323610111</v>
      </c>
      <c r="R16" s="169">
        <f t="shared" si="4"/>
        <v>1520.9385956700362</v>
      </c>
      <c r="S16" s="169">
        <f t="shared" si="4"/>
        <v>1536.1479816267365</v>
      </c>
      <c r="T16" s="169">
        <f t="shared" si="4"/>
        <v>1551.5094614430038</v>
      </c>
      <c r="U16" s="169">
        <f t="shared" si="4"/>
        <v>1567.024556057434</v>
      </c>
      <c r="V16" s="169">
        <f t="shared" si="4"/>
        <v>1598.3650471785827</v>
      </c>
      <c r="W16" s="169"/>
      <c r="X16" s="44"/>
      <c r="Y16" s="44"/>
      <c r="Z16" s="44"/>
      <c r="AA16" s="44"/>
      <c r="AB16" s="44"/>
      <c r="AC16" s="44">
        <f>AVERAGE(F16:I16)</f>
        <v>1388.075</v>
      </c>
      <c r="AD16" s="181">
        <f>AVERAGE(J16,K16,L16,M16)</f>
        <v>1411.0710000000001</v>
      </c>
      <c r="AE16" s="45">
        <f>AVERAGE(N16:Q16)</f>
        <v>1466.2710193718526</v>
      </c>
      <c r="AF16" s="45">
        <f>AVERAGE(R16:U16)</f>
        <v>1543.9051486993026</v>
      </c>
      <c r="AG16" s="3">
        <f>AVERAGE(F16:I16)</f>
        <v>1388.075</v>
      </c>
      <c r="AH16">
        <v>1395</v>
      </c>
      <c r="AI16" s="184">
        <f>$AC16/'figuring NIPA tax changes'!$E20*'figuring NIPA tax changes'!F20</f>
        <v>1354.69413685124</v>
      </c>
      <c r="AJ16" s="3">
        <f>$AC16/'figuring NIPA tax changes'!$E20*'figuring NIPA tax changes'!G20</f>
        <v>1429.6567868867883</v>
      </c>
      <c r="AK16" s="3">
        <f>$AC16/'figuring NIPA tax changes'!$E20*'figuring NIPA tax changes'!H20</f>
        <v>1517.5549260800469</v>
      </c>
      <c r="AL16" s="3"/>
    </row>
    <row r="17" spans="1:39" s="171" customFormat="1" x14ac:dyDescent="0.2">
      <c r="A17" s="219" t="s">
        <v>216</v>
      </c>
      <c r="C17" s="280"/>
      <c r="D17" s="280"/>
      <c r="F17" s="201"/>
      <c r="G17" s="201"/>
      <c r="H17" s="201"/>
      <c r="I17" s="201"/>
      <c r="J17" s="201"/>
      <c r="K17" s="201"/>
      <c r="L17" s="201"/>
      <c r="M17" s="199"/>
      <c r="N17" s="176">
        <v>1.2999999999999999E-2</v>
      </c>
      <c r="O17" s="176">
        <v>8.0000000000000002E-3</v>
      </c>
      <c r="P17" s="176">
        <v>8.0000000000000002E-3</v>
      </c>
      <c r="Q17" s="176">
        <v>8.0000000000000002E-3</v>
      </c>
      <c r="R17" s="176">
        <v>2.5000000000000001E-2</v>
      </c>
      <c r="S17" s="176">
        <v>0.01</v>
      </c>
      <c r="T17" s="176">
        <v>0.01</v>
      </c>
      <c r="U17" s="176">
        <v>0.01</v>
      </c>
      <c r="V17" s="176">
        <v>0.02</v>
      </c>
      <c r="W17" s="176"/>
      <c r="X17" s="173"/>
      <c r="Y17" s="173"/>
      <c r="Z17" s="173"/>
      <c r="AA17" s="173"/>
      <c r="AB17" s="173"/>
      <c r="AC17" s="173"/>
      <c r="AD17" s="182"/>
      <c r="AE17" s="174"/>
      <c r="AF17" s="174"/>
      <c r="AG17" s="175"/>
      <c r="AI17" s="185"/>
      <c r="AJ17" s="175"/>
      <c r="AK17" s="175"/>
      <c r="AL17" s="175"/>
      <c r="AM17" s="241"/>
    </row>
    <row r="18" spans="1:39" x14ac:dyDescent="0.2">
      <c r="A18" s="177" t="s">
        <v>0</v>
      </c>
      <c r="B18" t="s">
        <v>283</v>
      </c>
      <c r="C18" t="s">
        <v>299</v>
      </c>
      <c r="D18"/>
      <c r="F18" s="200">
        <v>234.7</v>
      </c>
      <c r="G18" s="200">
        <v>213.8</v>
      </c>
      <c r="H18" s="200">
        <v>224.2</v>
      </c>
      <c r="I18" s="200">
        <v>201.6</v>
      </c>
      <c r="J18" s="200">
        <v>229.7</v>
      </c>
      <c r="K18" s="200">
        <v>180.5</v>
      </c>
      <c r="L18" s="200">
        <v>171.5</v>
      </c>
      <c r="M18" s="199">
        <f>VLOOKUP(C18,'Haver NA'!$A$1:$I$34,9,0)</f>
        <v>207</v>
      </c>
      <c r="N18" s="169">
        <f>M18*(1+N19)</f>
        <v>212.17499999999998</v>
      </c>
      <c r="O18" s="169">
        <f t="shared" ref="O18" si="5">N18*(1+O19)</f>
        <v>215.35762499999996</v>
      </c>
      <c r="P18" s="169">
        <f t="shared" ref="P18" si="6">O18*(1+P19)</f>
        <v>218.58798937499992</v>
      </c>
      <c r="Q18" s="169">
        <f t="shared" ref="Q18" si="7">P18*(1+Q19)</f>
        <v>221.8668092156249</v>
      </c>
      <c r="R18" s="169">
        <f t="shared" ref="R18" si="8">Q18*(1+R19)</f>
        <v>235.1788177685624</v>
      </c>
      <c r="S18" s="169">
        <f t="shared" ref="S18" si="9">R18*(1+S19)</f>
        <v>249.28954683467614</v>
      </c>
      <c r="T18" s="169">
        <f t="shared" ref="T18" si="10">S18*(1+T19)</f>
        <v>264.2469196447567</v>
      </c>
      <c r="U18" s="169">
        <f t="shared" ref="U18:V18" si="11">T18*(1+U19)</f>
        <v>280.10173482344214</v>
      </c>
      <c r="V18" s="169">
        <f t="shared" si="11"/>
        <v>296.90783891284866</v>
      </c>
      <c r="W18" s="169"/>
      <c r="X18" s="44"/>
      <c r="Y18" s="44"/>
      <c r="Z18" s="44"/>
      <c r="AA18" s="44"/>
      <c r="AB18" s="44"/>
      <c r="AC18" s="44">
        <f>AVERAGE(F18:I18)</f>
        <v>218.57500000000002</v>
      </c>
      <c r="AD18" s="181">
        <f>AVERAGE(J18,K18,L18,M18)</f>
        <v>197.17500000000001</v>
      </c>
      <c r="AE18" s="45">
        <f>AVERAGE(N18:Q18)</f>
        <v>216.99685589765619</v>
      </c>
      <c r="AF18" s="45">
        <f>AVERAGE(R18:U18)</f>
        <v>257.20425476785931</v>
      </c>
      <c r="AG18" s="33">
        <f>AVERAGE(F18:I18)</f>
        <v>218.57500000000002</v>
      </c>
      <c r="AH18" s="34">
        <v>166</v>
      </c>
      <c r="AI18" s="146">
        <f>AC18/'figuring NIPA tax changes'!E10*'figuring NIPA tax changes'!F21</f>
        <v>193.42290277747617</v>
      </c>
      <c r="AJ18">
        <f>AC18/'figuring NIPA tax changes'!E21*'figuring NIPA tax changes'!G21</f>
        <v>200.10987665313039</v>
      </c>
      <c r="AK18">
        <f>AC18/'figuring NIPA tax changes'!E21*'figuring NIPA tax changes'!H21</f>
        <v>237.052464440053</v>
      </c>
    </row>
    <row r="19" spans="1:39" s="171" customFormat="1" x14ac:dyDescent="0.2">
      <c r="A19" s="178" t="s">
        <v>216</v>
      </c>
      <c r="C19" s="280"/>
      <c r="D19" s="280"/>
      <c r="F19" s="201"/>
      <c r="G19" s="201"/>
      <c r="H19" s="201"/>
      <c r="I19" s="201"/>
      <c r="J19" s="201"/>
      <c r="K19" s="201"/>
      <c r="L19" s="201"/>
      <c r="M19" s="199"/>
      <c r="N19" s="176">
        <v>2.5000000000000001E-2</v>
      </c>
      <c r="O19" s="176">
        <v>1.4999999999999999E-2</v>
      </c>
      <c r="P19" s="176">
        <v>1.4999999999999999E-2</v>
      </c>
      <c r="Q19" s="176">
        <v>1.4999999999999999E-2</v>
      </c>
      <c r="R19" s="176">
        <v>0.06</v>
      </c>
      <c r="S19" s="176">
        <v>0.06</v>
      </c>
      <c r="T19" s="176">
        <v>0.06</v>
      </c>
      <c r="U19" s="176">
        <v>0.06</v>
      </c>
      <c r="V19" s="176">
        <v>0.06</v>
      </c>
      <c r="W19" s="172"/>
      <c r="X19" s="173"/>
      <c r="Y19" s="173"/>
      <c r="Z19" s="173"/>
      <c r="AA19" s="173"/>
      <c r="AB19" s="173"/>
      <c r="AC19" s="173"/>
      <c r="AD19" s="174"/>
      <c r="AE19" s="174"/>
      <c r="AF19" s="174"/>
      <c r="AG19" s="175"/>
      <c r="AI19" s="175"/>
      <c r="AJ19" s="175"/>
      <c r="AK19" s="175"/>
      <c r="AL19" s="175"/>
      <c r="AM19" s="241"/>
    </row>
    <row r="20" spans="1:39" s="171" customFormat="1" x14ac:dyDescent="0.2">
      <c r="A20" s="170"/>
      <c r="C20" s="280"/>
      <c r="D20" s="280"/>
      <c r="F20" s="201"/>
      <c r="G20" s="201"/>
      <c r="H20" s="201"/>
      <c r="I20" s="201"/>
      <c r="J20" s="201"/>
      <c r="K20" s="201"/>
      <c r="L20" s="201"/>
      <c r="M20" s="199"/>
      <c r="N20" s="176"/>
      <c r="O20" s="176"/>
      <c r="P20" s="176"/>
      <c r="Q20" s="176"/>
      <c r="R20" s="176"/>
      <c r="S20" s="176"/>
      <c r="T20" s="176"/>
      <c r="U20" s="176"/>
      <c r="V20" s="172"/>
      <c r="W20" s="172"/>
      <c r="X20" s="173"/>
      <c r="Y20" s="173"/>
      <c r="Z20" s="173"/>
      <c r="AA20" s="173"/>
      <c r="AB20" s="173"/>
      <c r="AC20" s="173"/>
      <c r="AD20" s="174"/>
      <c r="AE20" s="174"/>
      <c r="AF20" s="174"/>
      <c r="AG20" s="175"/>
      <c r="AI20" s="175"/>
      <c r="AJ20" s="175"/>
      <c r="AK20" s="175"/>
      <c r="AL20" s="175"/>
      <c r="AM20" s="241"/>
    </row>
    <row r="21" spans="1:39" s="171" customFormat="1" x14ac:dyDescent="0.2">
      <c r="A21" t="s">
        <v>265</v>
      </c>
      <c r="C21" s="280"/>
      <c r="D21" s="280"/>
      <c r="F21" s="201"/>
      <c r="G21" s="201"/>
      <c r="H21" s="201"/>
      <c r="I21" s="201"/>
      <c r="J21" s="201"/>
      <c r="K21" s="201"/>
      <c r="L21" s="201"/>
      <c r="M21" s="199"/>
      <c r="N21" s="176"/>
      <c r="O21" s="176"/>
      <c r="P21" s="176"/>
      <c r="Q21" s="176"/>
      <c r="R21" s="176"/>
      <c r="S21" s="176"/>
      <c r="T21" s="176"/>
      <c r="U21" s="176"/>
      <c r="V21" s="172"/>
      <c r="W21" s="172"/>
      <c r="X21" s="173"/>
      <c r="Y21" s="173"/>
      <c r="Z21" s="173"/>
      <c r="AA21" s="173"/>
      <c r="AB21" s="173"/>
      <c r="AC21" s="173"/>
      <c r="AD21" s="174"/>
      <c r="AE21" s="174"/>
      <c r="AF21" s="174"/>
      <c r="AG21" s="175"/>
      <c r="AI21" s="175"/>
      <c r="AJ21" s="175"/>
      <c r="AK21" s="175"/>
      <c r="AL21" s="175"/>
      <c r="AM21" s="241"/>
    </row>
    <row r="22" spans="1:39" x14ac:dyDescent="0.2">
      <c r="A22" s="177" t="s">
        <v>266</v>
      </c>
      <c r="F22" s="205">
        <f>SUM(F23:F25)</f>
        <v>1773.6</v>
      </c>
      <c r="G22" s="205">
        <f t="shared" ref="G22:U22" si="12">SUM(G23:G25)</f>
        <v>1798.8</v>
      </c>
      <c r="H22" s="205">
        <f t="shared" si="12"/>
        <v>1853.9</v>
      </c>
      <c r="I22" s="205">
        <f t="shared" si="12"/>
        <v>1832.2</v>
      </c>
      <c r="J22" s="205">
        <f t="shared" si="12"/>
        <v>1832.4</v>
      </c>
      <c r="K22" s="205">
        <f t="shared" si="12"/>
        <v>1862.4</v>
      </c>
      <c r="L22" s="205">
        <f t="shared" si="12"/>
        <v>1779.8019999999999</v>
      </c>
      <c r="M22" s="199">
        <f t="shared" si="12"/>
        <v>1871.3489999999999</v>
      </c>
      <c r="N22" s="102">
        <f t="shared" si="12"/>
        <v>1909.1908330926583</v>
      </c>
      <c r="O22" s="102">
        <f t="shared" si="12"/>
        <v>1940.8545978916857</v>
      </c>
      <c r="P22" s="102">
        <f t="shared" si="12"/>
        <v>1971.716984299685</v>
      </c>
      <c r="Q22" s="102">
        <f t="shared" si="12"/>
        <v>2004.7039552792487</v>
      </c>
      <c r="R22" s="102">
        <f t="shared" si="12"/>
        <v>2026.797771152849</v>
      </c>
      <c r="S22" s="102">
        <f t="shared" si="12"/>
        <v>2047.0185979962541</v>
      </c>
      <c r="T22" s="102">
        <f t="shared" si="12"/>
        <v>2067.0344210652102</v>
      </c>
      <c r="U22" s="102">
        <f t="shared" si="12"/>
        <v>2087.9634427658029</v>
      </c>
      <c r="V22" s="102">
        <f t="shared" ref="V22" si="13">SUM(V23:V25)</f>
        <v>2109.1999701280711</v>
      </c>
    </row>
    <row r="23" spans="1:39" x14ac:dyDescent="0.2">
      <c r="A23" s="218" t="s">
        <v>22</v>
      </c>
      <c r="C23" t="s">
        <v>300</v>
      </c>
      <c r="D23"/>
      <c r="F23" s="199">
        <v>456.5</v>
      </c>
      <c r="G23" s="199">
        <v>475.2</v>
      </c>
      <c r="H23" s="199">
        <v>519.4</v>
      </c>
      <c r="I23" s="199">
        <v>483.9</v>
      </c>
      <c r="J23" s="199">
        <v>480.9</v>
      </c>
      <c r="K23" s="199">
        <v>495.8</v>
      </c>
      <c r="L23" s="200">
        <v>496.37400000000002</v>
      </c>
      <c r="M23" s="199">
        <f>VLOOKUP(C23,'Haver NA'!$A$1:$I$34,9,0)</f>
        <v>506.6</v>
      </c>
      <c r="N23" s="102">
        <f>M23*(1+N$6)</f>
        <v>516.84430645739553</v>
      </c>
      <c r="O23" s="102">
        <f t="shared" ref="O23:V23" si="14">N23*(1+O$6)</f>
        <v>525.41612456678467</v>
      </c>
      <c r="P23" s="102">
        <f t="shared" si="14"/>
        <v>533.77099848623664</v>
      </c>
      <c r="Q23" s="102">
        <f t="shared" si="14"/>
        <v>542.70102676970851</v>
      </c>
      <c r="R23" s="102">
        <f t="shared" si="14"/>
        <v>548.68212763414692</v>
      </c>
      <c r="S23" s="102">
        <f t="shared" si="14"/>
        <v>554.15618451977809</v>
      </c>
      <c r="T23" s="102">
        <f t="shared" si="14"/>
        <v>559.57474405449511</v>
      </c>
      <c r="U23" s="102">
        <f t="shared" si="14"/>
        <v>565.24051906146622</v>
      </c>
      <c r="V23" s="102">
        <f t="shared" si="14"/>
        <v>570.98954009480906</v>
      </c>
    </row>
    <row r="24" spans="1:39" x14ac:dyDescent="0.2">
      <c r="A24" s="218" t="s">
        <v>23</v>
      </c>
      <c r="C24" t="s">
        <v>301</v>
      </c>
      <c r="D24"/>
      <c r="F24" s="199">
        <v>1295.5</v>
      </c>
      <c r="G24" s="199">
        <v>1301.5999999999999</v>
      </c>
      <c r="H24" s="199">
        <v>1312.4</v>
      </c>
      <c r="I24" s="199">
        <v>1326.5</v>
      </c>
      <c r="J24" s="199">
        <v>1330.4</v>
      </c>
      <c r="K24" s="199">
        <v>1346.2</v>
      </c>
      <c r="L24" s="200">
        <v>1264.3219999999999</v>
      </c>
      <c r="M24" s="199">
        <f>VLOOKUP(C24,'Haver NA'!$A$1:$I$34,9,0)</f>
        <v>1344.5</v>
      </c>
      <c r="N24" s="102">
        <f>M24*(1+N$6)</f>
        <v>1371.6880577022666</v>
      </c>
      <c r="O24" s="102">
        <f t="shared" ref="O24:V24" si="15">N24*(1+O$6)</f>
        <v>1394.4373854718556</v>
      </c>
      <c r="P24" s="102">
        <f t="shared" si="15"/>
        <v>1416.6109503844161</v>
      </c>
      <c r="Q24" s="102">
        <f t="shared" si="15"/>
        <v>1440.310956359797</v>
      </c>
      <c r="R24" s="102">
        <f t="shared" si="15"/>
        <v>1456.1846044297486</v>
      </c>
      <c r="S24" s="102">
        <f t="shared" si="15"/>
        <v>1470.7125741943184</v>
      </c>
      <c r="T24" s="102">
        <f t="shared" si="15"/>
        <v>1485.0932557861602</v>
      </c>
      <c r="U24" s="102">
        <f t="shared" si="15"/>
        <v>1500.1300392383366</v>
      </c>
      <c r="V24" s="102">
        <f t="shared" si="15"/>
        <v>1515.3877549496067</v>
      </c>
    </row>
    <row r="25" spans="1:39" x14ac:dyDescent="0.2">
      <c r="A25" s="218" t="s">
        <v>24</v>
      </c>
      <c r="C25" t="s">
        <v>302</v>
      </c>
      <c r="D25"/>
      <c r="F25" s="199">
        <v>21.6</v>
      </c>
      <c r="G25" s="199">
        <v>22</v>
      </c>
      <c r="H25" s="199">
        <v>22.1</v>
      </c>
      <c r="I25" s="199">
        <v>21.8</v>
      </c>
      <c r="J25" s="199">
        <v>21.1</v>
      </c>
      <c r="K25" s="199">
        <v>20.399999999999999</v>
      </c>
      <c r="L25" s="200">
        <v>19.106000000000002</v>
      </c>
      <c r="M25" s="199">
        <f>VLOOKUP(C25,'Haver NA'!$A$1:$I$34,9,0)</f>
        <v>20.248999999999999</v>
      </c>
      <c r="N25" s="102">
        <f>M25*(1+N$6)</f>
        <v>20.658468932996055</v>
      </c>
      <c r="O25" s="102">
        <f t="shared" ref="O25:V25" si="16">N25*(1+O$6)</f>
        <v>21.001087853045448</v>
      </c>
      <c r="P25" s="102">
        <f t="shared" si="16"/>
        <v>21.335035429032388</v>
      </c>
      <c r="Q25" s="102">
        <f t="shared" si="16"/>
        <v>21.691972149743052</v>
      </c>
      <c r="R25" s="102">
        <f t="shared" si="16"/>
        <v>21.931039088953501</v>
      </c>
      <c r="S25" s="102">
        <f t="shared" si="16"/>
        <v>22.149839282157497</v>
      </c>
      <c r="T25" s="102">
        <f t="shared" si="16"/>
        <v>22.366421224554824</v>
      </c>
      <c r="U25" s="102">
        <f t="shared" si="16"/>
        <v>22.592884466000061</v>
      </c>
      <c r="V25" s="102">
        <f t="shared" si="16"/>
        <v>22.82267508365533</v>
      </c>
    </row>
    <row r="26" spans="1:39" x14ac:dyDescent="0.2">
      <c r="A26" s="177" t="s">
        <v>0</v>
      </c>
      <c r="C26" t="s">
        <v>303</v>
      </c>
      <c r="D26"/>
      <c r="F26" s="199">
        <v>63.5</v>
      </c>
      <c r="G26" s="199">
        <v>68.5</v>
      </c>
      <c r="H26" s="199">
        <v>68.7</v>
      </c>
      <c r="I26" s="199">
        <v>69.8</v>
      </c>
      <c r="J26" s="199">
        <v>71</v>
      </c>
      <c r="K26" s="199">
        <v>62.7</v>
      </c>
      <c r="L26" s="199">
        <v>54.2</v>
      </c>
      <c r="M26" s="199">
        <f>VLOOKUP(C26,'Haver NA'!$A$1:$I$34,9,0)</f>
        <v>90.2</v>
      </c>
      <c r="N26" s="102">
        <f>M26*(1+N6)</f>
        <v>92.023996135920015</v>
      </c>
      <c r="O26" s="102">
        <f t="shared" ref="O26:V26" si="17">N26*(1+O6)</f>
        <v>93.550206150659264</v>
      </c>
      <c r="P26" s="102">
        <f t="shared" si="17"/>
        <v>95.037789308050833</v>
      </c>
      <c r="Q26" s="102">
        <f t="shared" si="17"/>
        <v>96.627778552364219</v>
      </c>
      <c r="R26" s="102">
        <f t="shared" si="17"/>
        <v>97.692712026450963</v>
      </c>
      <c r="S26" s="102">
        <f t="shared" si="17"/>
        <v>98.667366450225003</v>
      </c>
      <c r="T26" s="102">
        <f t="shared" si="17"/>
        <v>99.632139584910121</v>
      </c>
      <c r="U26" s="102">
        <f t="shared" si="17"/>
        <v>100.64092937099143</v>
      </c>
      <c r="V26" s="102">
        <f t="shared" si="17"/>
        <v>101.66454109070624</v>
      </c>
    </row>
    <row r="27" spans="1:39" s="187" customFormat="1" x14ac:dyDescent="0.2">
      <c r="A27" s="178" t="s">
        <v>267</v>
      </c>
      <c r="F27" s="212">
        <f t="shared" ref="F27:L27" si="18">F26/F18</f>
        <v>0.27055815935236471</v>
      </c>
      <c r="G27" s="212">
        <f t="shared" si="18"/>
        <v>0.32039289055191766</v>
      </c>
      <c r="H27" s="212">
        <f t="shared" si="18"/>
        <v>0.30642283675289922</v>
      </c>
      <c r="I27" s="212">
        <f t="shared" si="18"/>
        <v>0.34623015873015872</v>
      </c>
      <c r="J27" s="212">
        <f t="shared" si="18"/>
        <v>0.30909882455376581</v>
      </c>
      <c r="K27" s="212">
        <f t="shared" si="18"/>
        <v>0.3473684210526316</v>
      </c>
      <c r="L27" s="212">
        <f t="shared" si="18"/>
        <v>0.31603498542274056</v>
      </c>
      <c r="M27" s="199"/>
      <c r="N27" s="195"/>
      <c r="O27" s="195"/>
      <c r="P27" s="195"/>
      <c r="Q27" s="195"/>
      <c r="R27" s="195"/>
      <c r="S27" s="195"/>
      <c r="T27" s="195"/>
      <c r="U27" s="195"/>
      <c r="AM27" s="244"/>
    </row>
    <row r="28" spans="1:39" s="171" customFormat="1" x14ac:dyDescent="0.2">
      <c r="A28" s="196"/>
      <c r="B28" s="197"/>
      <c r="C28" s="280"/>
      <c r="D28" s="280"/>
      <c r="F28" s="201"/>
      <c r="G28" s="201"/>
      <c r="H28" s="201"/>
      <c r="I28" s="201"/>
      <c r="J28" s="201"/>
      <c r="K28" s="201"/>
      <c r="L28" s="201"/>
      <c r="M28" s="199"/>
      <c r="N28" s="176"/>
      <c r="O28" s="176"/>
      <c r="P28" s="176"/>
      <c r="Q28" s="176"/>
      <c r="R28" s="176"/>
      <c r="S28" s="176"/>
      <c r="T28" s="176"/>
      <c r="U28" s="176"/>
      <c r="V28" s="172"/>
      <c r="W28" s="172"/>
      <c r="X28" s="173"/>
      <c r="Y28" s="173"/>
      <c r="Z28" s="173"/>
      <c r="AA28" s="173"/>
      <c r="AB28" s="173"/>
      <c r="AC28" s="173"/>
      <c r="AD28" s="174"/>
      <c r="AE28" s="174"/>
      <c r="AF28" s="174"/>
      <c r="AG28" s="175"/>
      <c r="AI28" s="175">
        <f>$AC$30*('figuring out social benefits'!G47/'figuring out social benefits'!$F$47)</f>
        <v>3428.146799249083</v>
      </c>
      <c r="AJ28" s="175">
        <f>$AC$30*('figuring out social benefits'!H47/'figuring out social benefits'!$F$47)</f>
        <v>2649.6527204036238</v>
      </c>
      <c r="AK28" s="175">
        <f>$AC$30*('figuring out social benefits'!I47/'figuring out social benefits'!$F$47)</f>
        <v>2766.2949511126526</v>
      </c>
      <c r="AL28" s="175"/>
      <c r="AM28" s="241"/>
    </row>
    <row r="29" spans="1:39" x14ac:dyDescent="0.2">
      <c r="F29" s="199"/>
      <c r="G29" s="199"/>
      <c r="H29" s="199"/>
      <c r="I29" s="199"/>
      <c r="J29" s="199"/>
      <c r="K29" s="199"/>
      <c r="L29" s="203"/>
      <c r="M29" s="199"/>
      <c r="N29" s="88"/>
      <c r="O29" s="88"/>
      <c r="P29" s="88"/>
      <c r="Q29" s="88"/>
      <c r="AG29" s="3"/>
      <c r="AI29" s="3">
        <f>AI28-47</f>
        <v>3381.146799249083</v>
      </c>
      <c r="AJ29" s="3">
        <f>AJ28+47</f>
        <v>2696.6527204036238</v>
      </c>
    </row>
    <row r="30" spans="1:39" ht="16" x14ac:dyDescent="0.2">
      <c r="A30" s="86" t="s">
        <v>14</v>
      </c>
      <c r="B30" t="s">
        <v>283</v>
      </c>
      <c r="C30" t="s">
        <v>304</v>
      </c>
      <c r="D30"/>
      <c r="F30" s="204">
        <v>2220523</v>
      </c>
      <c r="G30" s="204">
        <v>2298792</v>
      </c>
      <c r="H30" s="204">
        <v>2315842</v>
      </c>
      <c r="I30" s="204">
        <v>2331428</v>
      </c>
      <c r="J30" s="204">
        <v>2347737</v>
      </c>
      <c r="K30" s="204">
        <v>2422546</v>
      </c>
      <c r="L30" s="204">
        <v>4815254</v>
      </c>
      <c r="M30" s="199">
        <f>VLOOKUP(C30,'Haver NA'!$A$1:$I$34,9,0)</f>
        <v>3494888</v>
      </c>
      <c r="N30" s="44">
        <f>N31+N36+N46</f>
        <v>2855130.6794988289</v>
      </c>
      <c r="O30" s="44">
        <f t="shared" ref="O30:U30" si="19">O31+O36+O46</f>
        <v>3244347.6672774283</v>
      </c>
      <c r="P30" s="44">
        <f t="shared" si="19"/>
        <v>2682732.759694315</v>
      </c>
      <c r="Q30" s="44">
        <f t="shared" si="19"/>
        <v>2585488.623825727</v>
      </c>
      <c r="R30" s="44">
        <f t="shared" si="19"/>
        <v>2651916.1476522055</v>
      </c>
      <c r="S30" s="44">
        <f t="shared" si="19"/>
        <v>2708085.6514252573</v>
      </c>
      <c r="T30" s="44">
        <f t="shared" si="19"/>
        <v>2765655.2499653636</v>
      </c>
      <c r="U30" s="44">
        <f t="shared" si="19"/>
        <v>2824664.1763997721</v>
      </c>
      <c r="V30" s="3"/>
      <c r="W30" s="44"/>
      <c r="X30" s="3"/>
      <c r="Y30" s="3"/>
      <c r="Z30" s="3"/>
      <c r="AA30" s="3"/>
      <c r="AB30" s="3"/>
      <c r="AC30" s="3">
        <f>AVERAGE(F30:I30)/1000</f>
        <v>2291.6462499999998</v>
      </c>
      <c r="AD30" s="45"/>
      <c r="AE30" s="45"/>
      <c r="AF30" s="45"/>
      <c r="AH30">
        <v>2286.6999999999998</v>
      </c>
      <c r="AI30" s="32">
        <f>$AC30/'figuring out social benefits'!$F47*'figuring out social benefits'!G49+'figuring out social benefits'!G50-47</f>
        <v>3320.7721322167745</v>
      </c>
      <c r="AJ30" s="32">
        <f>$AC30/'figuring out social benefits'!$F47*'figuring out social benefits'!H49+'figuring out social benefits'!H50+46</f>
        <v>2675.6800557811207</v>
      </c>
      <c r="AK30" s="32">
        <f>$AC30/'figuring out social benefits'!$F47*'figuring out social benefits'!I49+'figuring out social benefits'!I50*0.9</f>
        <v>2725.1688956203648</v>
      </c>
      <c r="AL30" s="32"/>
      <c r="AM30" s="146" t="s">
        <v>29</v>
      </c>
    </row>
    <row r="31" spans="1:39" ht="16" x14ac:dyDescent="0.2">
      <c r="A31" s="86" t="s">
        <v>3</v>
      </c>
      <c r="B31" t="s">
        <v>283</v>
      </c>
      <c r="C31" t="s">
        <v>305</v>
      </c>
      <c r="D31"/>
      <c r="F31" s="204">
        <v>753311</v>
      </c>
      <c r="G31" s="204">
        <v>767353</v>
      </c>
      <c r="H31" s="204">
        <v>779707</v>
      </c>
      <c r="I31" s="204">
        <v>789893</v>
      </c>
      <c r="J31" s="204">
        <v>797912</v>
      </c>
      <c r="K31" s="204">
        <v>804655</v>
      </c>
      <c r="L31" s="204">
        <v>824058</v>
      </c>
      <c r="M31" s="199">
        <f>VLOOKUP(C31,'Haver NA'!$A$1:$I$34,9,0)</f>
        <v>842733</v>
      </c>
      <c r="N31" s="87">
        <f>M31*((($AJ$31/$AI$31)^0.25))</f>
        <v>853053.18699882878</v>
      </c>
      <c r="O31" s="87">
        <f>N31*((($AJ$31/$AI$31)^0.25))+12000</f>
        <v>875499.75597117806</v>
      </c>
      <c r="P31" s="87">
        <f>O31*((($AJ$31/$AI$31)^0.25))+12000</f>
        <v>898221.20772286167</v>
      </c>
      <c r="Q31" s="87">
        <f>P31*((($AJ$31/$AI$31)^0.25))+12000</f>
        <v>921220.90849405946</v>
      </c>
      <c r="R31" s="87">
        <f>Q31*((($AK$31/$AJ$31)^0.25))+12000</f>
        <v>963344.41659056314</v>
      </c>
      <c r="S31" s="87">
        <f>R31*((($AK$31/$AJ$31)^0.25))</f>
        <v>994845.34439769038</v>
      </c>
      <c r="T31" s="87">
        <f>S31*((($AK$31/$AJ$31)^0.25))</f>
        <v>1027376.3383323837</v>
      </c>
      <c r="U31" s="87">
        <f>T31*((($AK$31/$AJ$31)^0.25))</f>
        <v>1060971.0810922973</v>
      </c>
      <c r="V31" s="87">
        <f>U31*((($AL$31/$AK$31)^0.25))</f>
        <v>1071662.5838938125</v>
      </c>
      <c r="W31" s="87">
        <f>V31*((($AL$31/$AK$31)^0.25))</f>
        <v>1082461.8259487266</v>
      </c>
      <c r="X31" s="87">
        <f>W31*((($AL$31/$AK$31)^0.25))</f>
        <v>1093369.8929553684</v>
      </c>
      <c r="Y31" s="87">
        <f>X31*((($AL$31/$AK$31)^0.25))</f>
        <v>1104387.8815527481</v>
      </c>
      <c r="Z31" s="3"/>
      <c r="AA31" s="3"/>
      <c r="AB31" s="3"/>
      <c r="AC31" s="3">
        <f>AVERAGE(F31:I31)/1000</f>
        <v>772.56600000000003</v>
      </c>
      <c r="AD31" s="45">
        <f>AVERAGE(J31:M31)/1000</f>
        <v>817.33950000000004</v>
      </c>
      <c r="AE31" s="45">
        <f>AVERAGE(N31:Q31)/1000</f>
        <v>886.99876479673196</v>
      </c>
      <c r="AF31" s="45">
        <f>AVERAGE(R31:U31)/1000</f>
        <v>1011.6342951032335</v>
      </c>
      <c r="AH31">
        <v>775.4</v>
      </c>
      <c r="AI31" s="3">
        <f>'figuring out social benefits'!G18-47</f>
        <v>815.06799999999998</v>
      </c>
      <c r="AJ31" s="3">
        <f>'figuring out social benefits'!H18+46</f>
        <v>855.73299999999995</v>
      </c>
      <c r="AK31" s="3">
        <f>'figuring out social benefits'!I18</f>
        <v>973.27200000000005</v>
      </c>
      <c r="AL31" s="3">
        <f>'figuring out social benefits'!J18</f>
        <v>1013.1</v>
      </c>
      <c r="AM31" s="146" t="s">
        <v>19</v>
      </c>
    </row>
    <row r="32" spans="1:39" ht="16" x14ac:dyDescent="0.2">
      <c r="A32" s="93" t="s">
        <v>341</v>
      </c>
      <c r="B32" t="s">
        <v>283</v>
      </c>
      <c r="C32" t="s">
        <v>306</v>
      </c>
      <c r="D32"/>
      <c r="F32" s="204"/>
      <c r="G32" s="204"/>
      <c r="H32" s="204"/>
      <c r="I32" s="204"/>
      <c r="J32" s="204">
        <v>0</v>
      </c>
      <c r="K32" s="204">
        <v>0</v>
      </c>
      <c r="L32" s="204">
        <v>1078000</v>
      </c>
      <c r="M32" s="199">
        <f>VLOOKUP(C32,'Haver NA'!$A$1:$I$34,9,0)</f>
        <v>15600</v>
      </c>
      <c r="N32" s="87">
        <v>0</v>
      </c>
      <c r="O32" s="87">
        <f>16*1000</f>
        <v>16000</v>
      </c>
      <c r="P32" s="87">
        <f>16*1000</f>
        <v>16000</v>
      </c>
      <c r="Q32" s="87">
        <v>0</v>
      </c>
      <c r="R32" s="87">
        <v>0</v>
      </c>
      <c r="S32" s="87"/>
      <c r="T32" s="87"/>
      <c r="U32" s="87"/>
      <c r="AD32" s="45">
        <f>AVERAGE(J32:M32)/1000</f>
        <v>273.39999999999998</v>
      </c>
      <c r="AE32" s="45">
        <v>0</v>
      </c>
      <c r="AF32" s="45">
        <v>0</v>
      </c>
      <c r="AG32" s="3"/>
      <c r="AI32" s="3">
        <v>272</v>
      </c>
      <c r="AJ32" s="3">
        <v>9</v>
      </c>
      <c r="AK32" s="3">
        <v>0</v>
      </c>
      <c r="AL32" s="3"/>
      <c r="AM32" s="184"/>
    </row>
    <row r="33" spans="1:41" s="285" customFormat="1" ht="16" x14ac:dyDescent="0.2">
      <c r="A33" s="294" t="s">
        <v>342</v>
      </c>
      <c r="F33" s="286"/>
      <c r="G33" s="286"/>
      <c r="H33" s="286"/>
      <c r="I33" s="286"/>
      <c r="J33" s="286"/>
      <c r="K33" s="286"/>
      <c r="L33" s="286"/>
      <c r="M33" s="287"/>
      <c r="N33" s="288"/>
      <c r="O33" s="288">
        <f>'Stimulus Round 2'!C4*4</f>
        <v>664000</v>
      </c>
      <c r="P33" s="288"/>
      <c r="Q33" s="288"/>
      <c r="R33" s="288"/>
      <c r="S33" s="288"/>
      <c r="T33" s="288"/>
      <c r="U33" s="288"/>
      <c r="AD33" s="290"/>
      <c r="AE33" s="290"/>
      <c r="AF33" s="290"/>
      <c r="AG33" s="289"/>
      <c r="AI33" s="289"/>
      <c r="AJ33" s="289"/>
      <c r="AK33" s="289"/>
      <c r="AL33" s="289"/>
      <c r="AM33" s="291"/>
    </row>
    <row r="34" spans="1:41" s="285" customFormat="1" ht="16" x14ac:dyDescent="0.2">
      <c r="A34" s="294" t="s">
        <v>349</v>
      </c>
      <c r="F34" s="286"/>
      <c r="G34" s="286"/>
      <c r="H34" s="286"/>
      <c r="I34" s="286"/>
      <c r="J34" s="286"/>
      <c r="K34" s="286"/>
      <c r="L34" s="286"/>
      <c r="M34" s="287"/>
      <c r="N34" s="288"/>
      <c r="O34" s="288">
        <f>'Stimulus Round 2'!$C$15*4/2</f>
        <v>52000</v>
      </c>
      <c r="P34" s="288">
        <f>'Stimulus Round 2'!$C$15*4/2</f>
        <v>52000</v>
      </c>
      <c r="Q34" s="288"/>
      <c r="R34" s="288"/>
      <c r="S34" s="288"/>
      <c r="T34" s="288"/>
      <c r="U34" s="288"/>
      <c r="AD34" s="290"/>
      <c r="AE34" s="290"/>
      <c r="AF34" s="290"/>
      <c r="AG34" s="289"/>
      <c r="AI34" s="289"/>
      <c r="AJ34" s="289"/>
      <c r="AK34" s="289"/>
      <c r="AL34" s="289"/>
      <c r="AM34" s="291"/>
    </row>
    <row r="35" spans="1:41" s="285" customFormat="1" ht="16" x14ac:dyDescent="0.2">
      <c r="A35" s="294" t="s">
        <v>353</v>
      </c>
      <c r="F35" s="286"/>
      <c r="G35" s="286"/>
      <c r="H35" s="286"/>
      <c r="I35" s="286"/>
      <c r="J35" s="286"/>
      <c r="K35" s="286"/>
      <c r="L35" s="286"/>
      <c r="M35" s="287"/>
      <c r="N35" s="288"/>
      <c r="O35" s="288">
        <f>'Stimulus Round 2'!$C$19*4/4</f>
        <v>5000</v>
      </c>
      <c r="P35" s="288">
        <f>'Stimulus Round 2'!$C$19*4/4</f>
        <v>5000</v>
      </c>
      <c r="Q35" s="288">
        <f>'Stimulus Round 2'!$C$19*4/4</f>
        <v>5000</v>
      </c>
      <c r="R35" s="288">
        <f>'Stimulus Round 2'!$C$19*4/4</f>
        <v>5000</v>
      </c>
      <c r="S35" s="288"/>
      <c r="T35" s="288"/>
      <c r="U35" s="288"/>
      <c r="AD35" s="290"/>
      <c r="AE35" s="290"/>
      <c r="AF35" s="290"/>
      <c r="AG35" s="289"/>
      <c r="AI35" s="289"/>
      <c r="AJ35" s="289"/>
      <c r="AK35" s="289"/>
      <c r="AL35" s="289"/>
      <c r="AM35" s="291"/>
    </row>
    <row r="36" spans="1:41" ht="16" x14ac:dyDescent="0.2">
      <c r="A36" s="86" t="s">
        <v>141</v>
      </c>
      <c r="F36" s="204">
        <v>27025</v>
      </c>
      <c r="G36" s="204">
        <v>28029</v>
      </c>
      <c r="H36" s="204">
        <v>27483</v>
      </c>
      <c r="I36" s="204">
        <v>27578</v>
      </c>
      <c r="J36" s="204">
        <v>27884</v>
      </c>
      <c r="K36" s="204">
        <v>43429</v>
      </c>
      <c r="L36" s="88">
        <f>L38+L42</f>
        <v>1084000</v>
      </c>
      <c r="M36" s="199">
        <f>M37+M40</f>
        <v>881354</v>
      </c>
      <c r="N36" s="87">
        <f>N38+N42</f>
        <v>344800</v>
      </c>
      <c r="O36" s="87">
        <f t="shared" ref="O36:V36" si="20">O38+O42</f>
        <v>724000</v>
      </c>
      <c r="P36" s="87">
        <f t="shared" si="20"/>
        <v>152000</v>
      </c>
      <c r="Q36" s="87">
        <f t="shared" si="20"/>
        <v>44000</v>
      </c>
      <c r="R36" s="87">
        <f t="shared" si="20"/>
        <v>44000</v>
      </c>
      <c r="S36" s="87">
        <f t="shared" si="20"/>
        <v>44000</v>
      </c>
      <c r="T36" s="87">
        <f t="shared" si="20"/>
        <v>44000</v>
      </c>
      <c r="U36" s="87">
        <f t="shared" si="20"/>
        <v>44000</v>
      </c>
      <c r="V36" s="87">
        <f t="shared" si="20"/>
        <v>44000</v>
      </c>
      <c r="W36" s="44"/>
      <c r="X36" s="3"/>
      <c r="Y36" s="3"/>
      <c r="Z36" s="3"/>
      <c r="AA36" s="3"/>
      <c r="AB36" s="3"/>
      <c r="AC36" s="3">
        <f>AVERAGE(F36:I36)/1000</f>
        <v>27.528749999999999</v>
      </c>
      <c r="AD36" s="45">
        <f>AVERAGE(J36:M36)/1000</f>
        <v>509.16674999999998</v>
      </c>
      <c r="AE36" s="45">
        <f t="shared" ref="AE36:AE46" si="21">AVERAGE(N36:Q36)/1000</f>
        <v>316.2</v>
      </c>
      <c r="AF36" s="45">
        <f t="shared" ref="AF36:AF46" si="22">AVERAGE(R36:U36)/1000</f>
        <v>44</v>
      </c>
      <c r="AH36">
        <v>27.6</v>
      </c>
      <c r="AI36" s="3">
        <v>557</v>
      </c>
      <c r="AJ36" s="3">
        <v>166</v>
      </c>
      <c r="AK36" s="3">
        <v>67</v>
      </c>
      <c r="AL36" s="3"/>
      <c r="AM36" s="184"/>
    </row>
    <row r="37" spans="1:41" ht="16" x14ac:dyDescent="0.2">
      <c r="A37" s="115" t="s">
        <v>335</v>
      </c>
      <c r="B37" t="s">
        <v>283</v>
      </c>
      <c r="C37" t="s">
        <v>307</v>
      </c>
      <c r="D37"/>
      <c r="F37" s="204"/>
      <c r="G37" s="204"/>
      <c r="H37" s="204"/>
      <c r="I37" s="204"/>
      <c r="J37" s="204"/>
      <c r="K37" s="204"/>
      <c r="L37" s="204">
        <v>1084572</v>
      </c>
      <c r="M37" s="199">
        <f>VLOOKUP(C37,'Haver NA'!$A$1:$I$34,9,0)</f>
        <v>775154</v>
      </c>
      <c r="N37" s="87"/>
      <c r="O37" s="87"/>
      <c r="P37" s="87"/>
      <c r="Q37" s="87"/>
      <c r="R37" s="87"/>
      <c r="S37" s="87"/>
      <c r="T37" s="87"/>
      <c r="U37" s="87"/>
      <c r="V37" s="87"/>
      <c r="W37" s="44"/>
      <c r="X37" s="3"/>
      <c r="Y37" s="3"/>
      <c r="Z37" s="3"/>
      <c r="AA37" s="3"/>
      <c r="AB37" s="3"/>
      <c r="AC37" s="3"/>
      <c r="AD37" s="45"/>
      <c r="AE37" s="45"/>
      <c r="AF37" s="45"/>
      <c r="AI37" s="3"/>
      <c r="AJ37" s="3"/>
      <c r="AK37" s="3"/>
      <c r="AL37" s="3"/>
      <c r="AM37" s="184"/>
    </row>
    <row r="38" spans="1:41" ht="16" x14ac:dyDescent="0.2">
      <c r="A38" s="117" t="s">
        <v>213</v>
      </c>
      <c r="F38" s="204"/>
      <c r="G38" s="204"/>
      <c r="H38" s="204"/>
      <c r="I38" s="204"/>
      <c r="J38" s="204"/>
      <c r="K38" s="204"/>
      <c r="L38" s="204">
        <f>L39+L40</f>
        <v>834933.33333333326</v>
      </c>
      <c r="M38" s="199">
        <f>M39+M40</f>
        <v>695200</v>
      </c>
      <c r="N38" s="87">
        <f>SUM(N39:N41)</f>
        <v>257800</v>
      </c>
      <c r="O38" s="87">
        <f>SUM(O39:O41)</f>
        <v>664000</v>
      </c>
      <c r="P38" s="87">
        <f>SUM(P39:P41)</f>
        <v>108000</v>
      </c>
      <c r="Q38" s="87">
        <f t="shared" ref="Q38" si="23">Q39+Q40+Q41</f>
        <v>0</v>
      </c>
      <c r="R38" s="87">
        <f t="shared" ref="R38" si="24">R39+R40</f>
        <v>0</v>
      </c>
      <c r="S38" s="87"/>
      <c r="T38" s="87"/>
      <c r="U38" s="87"/>
      <c r="V38" s="3"/>
      <c r="W38" s="44"/>
      <c r="X38" s="3"/>
      <c r="Y38" s="3"/>
      <c r="Z38" s="3"/>
      <c r="AA38" s="3"/>
      <c r="AB38" s="3"/>
      <c r="AC38" s="3"/>
      <c r="AD38" s="45"/>
      <c r="AE38" s="45"/>
      <c r="AF38" s="45"/>
      <c r="AG38" s="3"/>
      <c r="AI38" s="3"/>
      <c r="AJ38" s="3"/>
      <c r="AK38" s="3"/>
      <c r="AL38" s="3"/>
      <c r="AM38" s="184"/>
    </row>
    <row r="39" spans="1:41" ht="16" x14ac:dyDescent="0.2">
      <c r="A39" s="281" t="s">
        <v>138</v>
      </c>
      <c r="F39" s="204"/>
      <c r="G39" s="204"/>
      <c r="H39" s="204"/>
      <c r="I39" s="204"/>
      <c r="J39" s="204">
        <v>0</v>
      </c>
      <c r="K39" s="204">
        <v>0</v>
      </c>
      <c r="L39" s="204">
        <f>'figuring out UI'!M17*1000</f>
        <v>834933.33333333326</v>
      </c>
      <c r="M39" s="199">
        <f>1000*'figuring out UI'!N17</f>
        <v>589000</v>
      </c>
      <c r="N39" s="87">
        <f>1000*'figuring out UI'!O17</f>
        <v>188000</v>
      </c>
      <c r="O39" s="87">
        <f>1000*'figuring out UI'!P17</f>
        <v>184000</v>
      </c>
      <c r="P39" s="87">
        <f>1000*'figuring out UI'!Q17</f>
        <v>108000</v>
      </c>
      <c r="Q39" s="87">
        <f>1000*'figuring out UI'!R17</f>
        <v>0</v>
      </c>
      <c r="R39" s="87">
        <f>1000*'figuring out UI'!S17</f>
        <v>0</v>
      </c>
      <c r="S39" s="87">
        <f>1000*'figuring out UI'!T17</f>
        <v>0</v>
      </c>
      <c r="T39" s="87">
        <f>1000*'figuring out UI'!U17</f>
        <v>0</v>
      </c>
      <c r="U39" s="87">
        <f>1000*'figuring out UI'!V17</f>
        <v>0</v>
      </c>
      <c r="V39" s="3"/>
      <c r="W39" s="44"/>
      <c r="X39" s="3"/>
      <c r="Y39" s="3"/>
      <c r="Z39" s="3"/>
      <c r="AA39" s="3"/>
      <c r="AB39" s="3"/>
      <c r="AC39" s="3"/>
      <c r="AD39" s="45">
        <f>AVERAGE(J39:M39)/1000</f>
        <v>355.98333333333329</v>
      </c>
      <c r="AE39" s="45">
        <f t="shared" si="21"/>
        <v>120</v>
      </c>
      <c r="AF39" s="45">
        <f t="shared" si="22"/>
        <v>0</v>
      </c>
      <c r="AG39" s="3"/>
      <c r="AI39" s="3"/>
      <c r="AJ39" s="3"/>
      <c r="AK39" s="3"/>
      <c r="AL39" s="3"/>
      <c r="AM39" s="184"/>
    </row>
    <row r="40" spans="1:41" ht="16" x14ac:dyDescent="0.2">
      <c r="A40" s="281" t="s">
        <v>162</v>
      </c>
      <c r="F40" s="204"/>
      <c r="G40" s="204"/>
      <c r="H40" s="204"/>
      <c r="I40" s="204"/>
      <c r="J40" s="204"/>
      <c r="K40" s="204"/>
      <c r="L40" s="204"/>
      <c r="M40" s="199">
        <v>106200</v>
      </c>
      <c r="N40" s="87">
        <f>(44000*4)-M40</f>
        <v>69800</v>
      </c>
      <c r="O40" s="87"/>
      <c r="P40" s="87"/>
      <c r="Q40" s="87"/>
      <c r="R40" s="87"/>
      <c r="S40" s="87"/>
      <c r="T40" s="87"/>
      <c r="U40" s="87"/>
      <c r="V40" s="3"/>
      <c r="W40" s="44"/>
      <c r="X40" s="3"/>
      <c r="Y40" s="3"/>
      <c r="Z40" s="3"/>
      <c r="AA40" s="3"/>
      <c r="AB40" s="3"/>
      <c r="AC40" s="3"/>
      <c r="AD40" s="45"/>
      <c r="AE40" s="45"/>
      <c r="AF40" s="45"/>
      <c r="AG40" s="3"/>
      <c r="AI40" s="3"/>
      <c r="AJ40" s="3"/>
      <c r="AK40" s="3"/>
      <c r="AL40" s="3"/>
      <c r="AM40" s="184"/>
    </row>
    <row r="41" spans="1:41" s="285" customFormat="1" ht="14.5" customHeight="1" x14ac:dyDescent="0.2">
      <c r="A41" s="284" t="s">
        <v>347</v>
      </c>
      <c r="F41" s="286"/>
      <c r="G41" s="286"/>
      <c r="H41" s="286"/>
      <c r="I41" s="286"/>
      <c r="J41" s="286"/>
      <c r="K41" s="286"/>
      <c r="L41" s="286"/>
      <c r="M41" s="287"/>
      <c r="N41" s="288"/>
      <c r="O41" s="288">
        <f>'Stimulus Round 2'!$C$3*4</f>
        <v>480000</v>
      </c>
      <c r="P41" s="288"/>
      <c r="Q41" s="288"/>
      <c r="R41" s="288"/>
      <c r="S41" s="288"/>
      <c r="T41" s="288"/>
      <c r="U41" s="288"/>
      <c r="V41" s="289"/>
      <c r="W41" s="289"/>
      <c r="X41" s="289"/>
      <c r="Y41" s="289"/>
      <c r="Z41" s="289"/>
      <c r="AA41" s="289"/>
      <c r="AB41" s="289"/>
      <c r="AC41" s="289"/>
      <c r="AD41" s="290"/>
      <c r="AE41" s="290"/>
      <c r="AF41" s="290"/>
      <c r="AG41" s="289"/>
      <c r="AI41" s="289"/>
      <c r="AJ41" s="289"/>
      <c r="AK41" s="289"/>
      <c r="AL41" s="289"/>
      <c r="AM41" s="291"/>
    </row>
    <row r="42" spans="1:41" ht="16" x14ac:dyDescent="0.2">
      <c r="A42" s="117" t="s">
        <v>139</v>
      </c>
      <c r="F42" s="204"/>
      <c r="G42" s="204"/>
      <c r="H42" s="204"/>
      <c r="I42" s="204"/>
      <c r="J42" s="204">
        <v>0</v>
      </c>
      <c r="K42" s="204">
        <v>0</v>
      </c>
      <c r="L42" s="204">
        <f>'figuring out UI'!M18*1000</f>
        <v>249066.66666666672</v>
      </c>
      <c r="M42" s="199">
        <f>1000*'figuring out UI'!N18</f>
        <v>186000</v>
      </c>
      <c r="N42" s="87">
        <f>1000*'figuring out UI'!O18</f>
        <v>87000</v>
      </c>
      <c r="O42" s="87">
        <f>1000*'figuring out UI'!P18</f>
        <v>60000</v>
      </c>
      <c r="P42" s="87">
        <f>1000*'figuring out UI'!Q18</f>
        <v>44000</v>
      </c>
      <c r="Q42" s="87">
        <f>1000*'figuring out UI'!R18</f>
        <v>44000</v>
      </c>
      <c r="R42" s="87">
        <f>1000*'figuring out UI'!S18</f>
        <v>44000</v>
      </c>
      <c r="S42" s="87">
        <f>1000*'figuring out UI'!T18</f>
        <v>44000</v>
      </c>
      <c r="T42" s="87">
        <f>1000*'figuring out UI'!U18</f>
        <v>44000</v>
      </c>
      <c r="U42" s="87">
        <f>1000*'figuring out UI'!V18</f>
        <v>44000</v>
      </c>
      <c r="V42" s="87">
        <f>1000*'figuring out UI'!W18</f>
        <v>44000</v>
      </c>
      <c r="W42" s="44"/>
      <c r="X42" s="3"/>
      <c r="Y42" s="3"/>
      <c r="Z42" s="3"/>
      <c r="AA42" s="3"/>
      <c r="AB42" s="3"/>
      <c r="AC42" s="3"/>
      <c r="AD42" s="45">
        <f>AVERAGE(J42:M42)/1000</f>
        <v>108.76666666666668</v>
      </c>
      <c r="AE42" s="45">
        <f t="shared" si="21"/>
        <v>58.75</v>
      </c>
      <c r="AF42" s="45">
        <f t="shared" si="22"/>
        <v>44</v>
      </c>
      <c r="AG42" s="3"/>
      <c r="AI42" s="3"/>
      <c r="AJ42" s="3"/>
      <c r="AK42" s="3"/>
      <c r="AL42" s="3"/>
      <c r="AM42" s="184"/>
    </row>
    <row r="43" spans="1:41" ht="32" x14ac:dyDescent="0.2">
      <c r="A43" s="86" t="s">
        <v>147</v>
      </c>
      <c r="F43" s="204"/>
      <c r="G43" s="204"/>
      <c r="H43" s="204"/>
      <c r="I43" s="204"/>
      <c r="J43" s="204">
        <v>0</v>
      </c>
      <c r="K43" s="204">
        <v>0</v>
      </c>
      <c r="L43" s="204">
        <f>SUM(L44:L45)</f>
        <v>179900</v>
      </c>
      <c r="M43" s="199">
        <f>SUM(M44:M45)</f>
        <v>85400</v>
      </c>
      <c r="N43" s="87">
        <f>SUM(N44:N45)</f>
        <v>51804.841653418123</v>
      </c>
      <c r="O43" s="87">
        <f t="shared" ref="O43:R43" si="25">SUM(O44:O45)</f>
        <v>43377.595548489669</v>
      </c>
      <c r="P43" s="87">
        <f t="shared" si="25"/>
        <v>43000</v>
      </c>
      <c r="Q43" s="87">
        <f t="shared" si="25"/>
        <v>43000</v>
      </c>
      <c r="R43" s="87">
        <f t="shared" si="25"/>
        <v>15000</v>
      </c>
      <c r="S43" s="87"/>
      <c r="T43" s="87"/>
      <c r="U43" s="87"/>
      <c r="V43" s="3"/>
      <c r="W43" s="44"/>
      <c r="X43" s="3"/>
      <c r="Y43" s="3"/>
      <c r="Z43" s="3"/>
      <c r="AA43" s="3"/>
      <c r="AB43" s="3"/>
      <c r="AC43" s="3"/>
      <c r="AD43" s="45">
        <f>AVERAGE(J43:M43)/1000</f>
        <v>66.325000000000003</v>
      </c>
      <c r="AE43" s="45">
        <f t="shared" si="21"/>
        <v>45.295609300476947</v>
      </c>
      <c r="AF43" s="45">
        <f t="shared" ref="AF43" si="26">AVERAGE(R43:U43)/1000</f>
        <v>15</v>
      </c>
      <c r="AG43" s="3"/>
      <c r="AI43" s="3">
        <f>'figuring out social benefits'!G48</f>
        <v>105</v>
      </c>
      <c r="AJ43" s="3"/>
      <c r="AK43" s="3"/>
      <c r="AL43" s="3"/>
      <c r="AM43" s="184"/>
    </row>
    <row r="44" spans="1:41" ht="16" x14ac:dyDescent="0.2">
      <c r="A44" s="117" t="s">
        <v>206</v>
      </c>
      <c r="B44" t="s">
        <v>283</v>
      </c>
      <c r="C44" t="s">
        <v>308</v>
      </c>
      <c r="D44"/>
      <c r="F44" s="204"/>
      <c r="G44" s="204"/>
      <c r="H44" s="204"/>
      <c r="I44" s="204"/>
      <c r="J44" s="204"/>
      <c r="K44" s="204"/>
      <c r="L44" s="204">
        <v>19000</v>
      </c>
      <c r="M44" s="199">
        <f>VLOOKUP(C44,'Haver NA'!$A$1:$I$34,9,0)</f>
        <v>27000</v>
      </c>
      <c r="N44" s="87">
        <v>8804.8416534181251</v>
      </c>
      <c r="O44" s="87">
        <v>377.5955484896661</v>
      </c>
      <c r="P44" s="87">
        <v>0</v>
      </c>
      <c r="Q44" s="87">
        <v>0</v>
      </c>
      <c r="R44" s="87">
        <v>0</v>
      </c>
      <c r="S44" s="87"/>
      <c r="T44" s="87"/>
      <c r="U44" s="87"/>
      <c r="V44" s="87"/>
      <c r="W44" s="133"/>
      <c r="X44" s="87"/>
      <c r="Y44" s="87"/>
      <c r="Z44" s="87"/>
      <c r="AA44" s="87"/>
      <c r="AB44" s="87"/>
      <c r="AC44" s="87"/>
      <c r="AD44" s="87"/>
      <c r="AE44" s="87"/>
      <c r="AF44" s="87"/>
      <c r="AG44" s="87"/>
      <c r="AI44" s="3"/>
      <c r="AJ44" s="3"/>
      <c r="AK44" s="3"/>
      <c r="AL44" s="3"/>
      <c r="AM44" s="184"/>
    </row>
    <row r="45" spans="1:41" ht="16" x14ac:dyDescent="0.2">
      <c r="A45" s="117" t="s">
        <v>207</v>
      </c>
      <c r="B45" t="s">
        <v>283</v>
      </c>
      <c r="C45" t="s">
        <v>309</v>
      </c>
      <c r="D45"/>
      <c r="F45" s="204"/>
      <c r="G45" s="204"/>
      <c r="H45" s="204"/>
      <c r="I45" s="204"/>
      <c r="J45" s="204"/>
      <c r="K45" s="204"/>
      <c r="L45" s="204">
        <v>160900</v>
      </c>
      <c r="M45" s="199">
        <f>VLOOKUP(C45,'Haver NA'!$A$1:$I$34,9,0)</f>
        <v>58400</v>
      </c>
      <c r="N45" s="87">
        <v>43000</v>
      </c>
      <c r="O45" s="87">
        <v>43000</v>
      </c>
      <c r="P45" s="87">
        <v>43000</v>
      </c>
      <c r="Q45" s="87">
        <v>43000</v>
      </c>
      <c r="R45" s="87">
        <v>15000</v>
      </c>
      <c r="S45" s="87"/>
      <c r="T45" s="87"/>
      <c r="U45" s="87"/>
      <c r="V45" s="87"/>
      <c r="W45" s="133"/>
      <c r="X45" s="87"/>
      <c r="Y45" s="87"/>
      <c r="Z45" s="87"/>
      <c r="AA45" s="87"/>
      <c r="AB45" s="87"/>
      <c r="AC45" s="87"/>
      <c r="AD45" s="87"/>
      <c r="AE45" s="87"/>
      <c r="AF45" s="87"/>
      <c r="AG45" s="87"/>
      <c r="AI45" s="3"/>
      <c r="AJ45" s="3"/>
      <c r="AK45" s="3"/>
      <c r="AL45" s="3"/>
      <c r="AM45" s="184"/>
    </row>
    <row r="46" spans="1:41" ht="48" x14ac:dyDescent="0.2">
      <c r="A46" s="86" t="s">
        <v>149</v>
      </c>
      <c r="F46" s="199">
        <f>F30-F32-F36-F31</f>
        <v>1440187</v>
      </c>
      <c r="G46" s="199">
        <f>G30-G32-G36-G31</f>
        <v>1503410</v>
      </c>
      <c r="H46" s="203">
        <f>H30-H32-H36-H31</f>
        <v>1508652</v>
      </c>
      <c r="I46" s="199">
        <f>I30-I32-I36-I31</f>
        <v>1513957</v>
      </c>
      <c r="J46" s="203">
        <f>J30-J32-J36-J31-J43</f>
        <v>1521941</v>
      </c>
      <c r="K46" s="203">
        <f>K30-K32-K36-K31-K43</f>
        <v>1574462</v>
      </c>
      <c r="L46" s="203">
        <f>L30-L32-L37-L31-L43</f>
        <v>1648724</v>
      </c>
      <c r="M46" s="204">
        <f>M30-M32-M36-M31-M43</f>
        <v>1669801</v>
      </c>
      <c r="N46" s="88">
        <f>M46*(1+N48)</f>
        <v>1657277.4925000002</v>
      </c>
      <c r="O46" s="88">
        <f t="shared" ref="O46:Q46" si="27">N46*(1+O48)</f>
        <v>1644847.9113062501</v>
      </c>
      <c r="P46" s="88">
        <f t="shared" si="27"/>
        <v>1632511.5519714532</v>
      </c>
      <c r="Q46" s="88">
        <f t="shared" si="27"/>
        <v>1620267.7153316673</v>
      </c>
      <c r="R46" s="88">
        <f>Q46*(1+R48)</f>
        <v>1644571.7310616423</v>
      </c>
      <c r="S46" s="88">
        <f t="shared" ref="S46:U46" si="28">R46*(1+S48)</f>
        <v>1669240.3070275667</v>
      </c>
      <c r="T46" s="88">
        <f t="shared" si="28"/>
        <v>1694278.91163298</v>
      </c>
      <c r="U46" s="88">
        <f t="shared" si="28"/>
        <v>1719693.0953074745</v>
      </c>
      <c r="V46" s="88">
        <f>U46*(1+V48)</f>
        <v>1736890.0262605492</v>
      </c>
      <c r="W46" s="44"/>
      <c r="X46" s="3"/>
      <c r="Y46" s="3"/>
      <c r="Z46" s="3"/>
      <c r="AA46" s="3"/>
      <c r="AB46" s="3"/>
      <c r="AC46" s="3">
        <f>AD30-AD32-AD36-AD31-AD43</f>
        <v>-1666.23125</v>
      </c>
      <c r="AD46" s="45">
        <f>AVERAGE(J46:M46)/1000</f>
        <v>1603.732</v>
      </c>
      <c r="AE46" s="45">
        <f t="shared" si="21"/>
        <v>1638.7261677773427</v>
      </c>
      <c r="AF46" s="45">
        <f t="shared" si="22"/>
        <v>1681.9460112574161</v>
      </c>
      <c r="AG46" s="3"/>
      <c r="AI46" s="3">
        <f>AI30-AI32-AI36-AI31-AI43</f>
        <v>1571.7041322167745</v>
      </c>
      <c r="AJ46" s="3">
        <f>AJ30-AJ32-AJ36-AJ31</f>
        <v>1644.9470557811208</v>
      </c>
      <c r="AK46" s="3">
        <f>AK30-AK32-AK36-AK31</f>
        <v>1684.8968956203648</v>
      </c>
      <c r="AL46" s="3"/>
      <c r="AM46" s="184"/>
      <c r="AN46">
        <f>AJ46/AI46*AD46</f>
        <v>1678.467452993958</v>
      </c>
      <c r="AO46">
        <f>AK46/AI46*AD46</f>
        <v>1719.2313825604638</v>
      </c>
    </row>
    <row r="47" spans="1:41" s="171" customFormat="1" x14ac:dyDescent="0.2">
      <c r="A47" s="170" t="s">
        <v>216</v>
      </c>
      <c r="C47" s="280"/>
      <c r="D47" s="280"/>
      <c r="F47" s="234"/>
      <c r="G47" s="236">
        <f>G46/F46-1</f>
        <v>4.3899160317375507E-2</v>
      </c>
      <c r="H47" s="236">
        <f t="shared" ref="H47:L47" si="29">H46/G46-1</f>
        <v>3.4867401440725754E-3</v>
      </c>
      <c r="I47" s="236">
        <f t="shared" si="29"/>
        <v>3.5163841628156334E-3</v>
      </c>
      <c r="J47" s="236">
        <f t="shared" si="29"/>
        <v>5.2735975988749129E-3</v>
      </c>
      <c r="K47" s="236">
        <f t="shared" si="29"/>
        <v>3.4509222105193249E-2</v>
      </c>
      <c r="L47" s="236">
        <f t="shared" si="29"/>
        <v>4.7166587697893059E-2</v>
      </c>
      <c r="M47" s="199"/>
      <c r="N47" s="235"/>
      <c r="O47" s="235"/>
      <c r="P47" s="235"/>
      <c r="Q47" s="235"/>
      <c r="R47" s="235"/>
      <c r="S47" s="235"/>
      <c r="T47" s="235"/>
      <c r="U47" s="235"/>
      <c r="V47" s="235"/>
      <c r="W47" s="173"/>
      <c r="X47" s="175"/>
      <c r="Y47" s="175"/>
      <c r="Z47" s="175"/>
      <c r="AA47" s="175"/>
      <c r="AB47" s="175"/>
      <c r="AC47" s="175"/>
      <c r="AD47" s="174"/>
      <c r="AE47" s="174"/>
      <c r="AF47" s="174"/>
      <c r="AG47" s="175"/>
      <c r="AI47" s="175"/>
      <c r="AJ47" s="175"/>
      <c r="AK47" s="175"/>
      <c r="AL47" s="175"/>
      <c r="AM47" s="185"/>
    </row>
    <row r="48" spans="1:41" s="187" customFormat="1" x14ac:dyDescent="0.2">
      <c r="A48" s="170" t="s">
        <v>271</v>
      </c>
      <c r="F48" s="209"/>
      <c r="G48" s="209"/>
      <c r="H48" s="209"/>
      <c r="I48" s="209"/>
      <c r="J48" s="202"/>
      <c r="K48" s="202"/>
      <c r="L48" s="202"/>
      <c r="M48" s="199"/>
      <c r="N48" s="176">
        <v>-7.4999999999999997E-3</v>
      </c>
      <c r="O48" s="176">
        <v>-7.4999999999999997E-3</v>
      </c>
      <c r="P48" s="176">
        <v>-7.4999999999999997E-3</v>
      </c>
      <c r="Q48" s="176">
        <v>-7.4999999999999997E-3</v>
      </c>
      <c r="R48" s="176">
        <v>1.4999999999999999E-2</v>
      </c>
      <c r="S48" s="176">
        <v>1.4999999999999999E-2</v>
      </c>
      <c r="T48" s="176">
        <v>1.4999999999999999E-2</v>
      </c>
      <c r="U48" s="176">
        <v>1.4999999999999999E-2</v>
      </c>
      <c r="V48" s="176">
        <v>0.01</v>
      </c>
      <c r="W48" s="176"/>
      <c r="AD48" s="189">
        <f>AD31+AD32+AD36+AD43</f>
        <v>1666.23125</v>
      </c>
      <c r="AI48" s="189">
        <f>AI31+AI32+AI36+AI43</f>
        <v>1749.068</v>
      </c>
      <c r="AM48" s="244"/>
      <c r="AN48" s="233">
        <v>-7.4999999999999997E-3</v>
      </c>
      <c r="AO48" s="233">
        <v>1.4999999999999999E-2</v>
      </c>
    </row>
    <row r="49" spans="1:39" s="35" customFormat="1" ht="14" customHeight="1" x14ac:dyDescent="0.2">
      <c r="A49"/>
      <c r="B49"/>
      <c r="E49"/>
      <c r="F49" s="199"/>
      <c r="G49" s="199"/>
      <c r="H49" s="199"/>
      <c r="I49" s="199"/>
      <c r="J49" s="199"/>
      <c r="K49" s="199"/>
      <c r="L49" s="199"/>
      <c r="M49" s="199"/>
      <c r="N49" s="3"/>
      <c r="O49" s="3"/>
      <c r="P49" s="3"/>
      <c r="Q49" s="3"/>
      <c r="R49" s="3"/>
      <c r="S49" s="3"/>
      <c r="T49" s="3"/>
      <c r="U49" s="3"/>
      <c r="V49" s="3"/>
      <c r="W49" s="44"/>
      <c r="X49" s="44"/>
      <c r="Y49" s="44"/>
      <c r="Z49" s="44"/>
      <c r="AA49" s="44"/>
      <c r="AB49" s="44"/>
      <c r="AC49" s="44"/>
      <c r="AD49" s="45"/>
      <c r="AE49" s="45"/>
      <c r="AF49" s="45"/>
      <c r="AG49" s="44"/>
      <c r="AI49" s="44"/>
      <c r="AJ49" s="44"/>
      <c r="AK49" s="44"/>
      <c r="AL49" s="44"/>
      <c r="AM49" s="245"/>
    </row>
    <row r="50" spans="1:39" s="35" customFormat="1" x14ac:dyDescent="0.2">
      <c r="A50" s="141" t="s">
        <v>4</v>
      </c>
      <c r="B50" s="141" t="s">
        <v>283</v>
      </c>
      <c r="C50" t="s">
        <v>310</v>
      </c>
      <c r="D50"/>
      <c r="E50" s="141"/>
      <c r="F50" s="199">
        <v>79458</v>
      </c>
      <c r="G50" s="199">
        <v>71318</v>
      </c>
      <c r="H50" s="199">
        <v>61083</v>
      </c>
      <c r="I50" s="204">
        <v>81998</v>
      </c>
      <c r="J50" s="204">
        <v>81147</v>
      </c>
      <c r="K50" s="204">
        <v>75093</v>
      </c>
      <c r="L50" s="204">
        <v>1086548</v>
      </c>
      <c r="M50" s="204">
        <f>VLOOKUP(C50,'Haver NA'!$A$1:$I$34,9,0)</f>
        <v>1213480</v>
      </c>
      <c r="N50" s="144">
        <f t="shared" ref="N50:Z50" si="30">N51+AVERAGE($H$50:$K$50)</f>
        <v>382932.00834658189</v>
      </c>
      <c r="O50" s="144">
        <f t="shared" si="30"/>
        <v>794083.58333333337</v>
      </c>
      <c r="P50" s="144">
        <f t="shared" si="30"/>
        <v>794083.58333333337</v>
      </c>
      <c r="Q50" s="144">
        <f t="shared" si="30"/>
        <v>144083.58333333331</v>
      </c>
      <c r="R50" s="144">
        <f t="shared" si="30"/>
        <v>122750.25</v>
      </c>
      <c r="S50" s="144">
        <f t="shared" si="30"/>
        <v>77330.25</v>
      </c>
      <c r="T50" s="144">
        <f t="shared" si="30"/>
        <v>77330.25</v>
      </c>
      <c r="U50" s="144">
        <f t="shared" si="30"/>
        <v>77330.25</v>
      </c>
      <c r="V50" s="144">
        <f t="shared" si="30"/>
        <v>77330.25</v>
      </c>
      <c r="W50" s="144">
        <f t="shared" si="30"/>
        <v>74830.25</v>
      </c>
      <c r="X50" s="144">
        <f t="shared" si="30"/>
        <v>74830.25</v>
      </c>
      <c r="Y50" s="144">
        <f t="shared" si="30"/>
        <v>74830.25</v>
      </c>
      <c r="Z50" s="144">
        <f t="shared" si="30"/>
        <v>74830.25</v>
      </c>
      <c r="AA50" s="44"/>
      <c r="AB50" s="44"/>
      <c r="AC50" s="44">
        <f>AVERAGE(F50:I50)/1000</f>
        <v>73.464250000000007</v>
      </c>
      <c r="AD50" s="44"/>
      <c r="AE50" s="44"/>
      <c r="AF50" s="44"/>
      <c r="AM50" s="243"/>
    </row>
    <row r="51" spans="1:39" s="35" customFormat="1" ht="16" x14ac:dyDescent="0.2">
      <c r="A51" s="134" t="s">
        <v>201</v>
      </c>
      <c r="F51" s="199"/>
      <c r="G51" s="199"/>
      <c r="H51" s="199"/>
      <c r="I51" s="204"/>
      <c r="J51" s="204"/>
      <c r="K51" s="204"/>
      <c r="L51" s="204"/>
      <c r="M51" s="116">
        <f t="shared" ref="M51:N51" si="31">M53+M54+M59</f>
        <v>1093900</v>
      </c>
      <c r="N51" s="116">
        <f t="shared" si="31"/>
        <v>308101.75834658189</v>
      </c>
      <c r="O51" s="116">
        <f>O53+O54+SUM(O59:O62)</f>
        <v>719253.33333333337</v>
      </c>
      <c r="P51" s="116">
        <f t="shared" ref="P51:V51" si="32">P53+P54+SUM(P59:P62)</f>
        <v>719253.33333333337</v>
      </c>
      <c r="Q51" s="116">
        <f t="shared" si="32"/>
        <v>69253.333333333328</v>
      </c>
      <c r="R51" s="116">
        <f t="shared" si="32"/>
        <v>47920</v>
      </c>
      <c r="S51" s="116">
        <f t="shared" si="32"/>
        <v>2500</v>
      </c>
      <c r="T51" s="116">
        <f t="shared" si="32"/>
        <v>2500</v>
      </c>
      <c r="U51" s="116">
        <f t="shared" si="32"/>
        <v>2500</v>
      </c>
      <c r="V51" s="116">
        <f t="shared" si="32"/>
        <v>2500</v>
      </c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M51" s="243"/>
    </row>
    <row r="52" spans="1:39" s="35" customFormat="1" ht="16" x14ac:dyDescent="0.2">
      <c r="A52" s="227" t="s">
        <v>339</v>
      </c>
      <c r="F52" s="199"/>
      <c r="G52" s="199"/>
      <c r="H52" s="199"/>
      <c r="I52" s="204"/>
      <c r="J52" s="204"/>
      <c r="K52" s="204"/>
      <c r="L52" s="204"/>
      <c r="M52" s="204"/>
      <c r="N52" s="116"/>
      <c r="O52" s="116"/>
      <c r="P52" s="116"/>
      <c r="Q52" s="116"/>
      <c r="R52" s="116"/>
      <c r="S52" s="116"/>
      <c r="T52" s="116"/>
      <c r="U52" s="116"/>
      <c r="V52" s="116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M52" s="243"/>
    </row>
    <row r="53" spans="1:39" s="35" customFormat="1" ht="16" x14ac:dyDescent="0.2">
      <c r="A53" s="282" t="s">
        <v>337</v>
      </c>
      <c r="C53" t="s">
        <v>311</v>
      </c>
      <c r="D53"/>
      <c r="F53" s="199"/>
      <c r="G53" s="199"/>
      <c r="H53" s="199"/>
      <c r="I53" s="204"/>
      <c r="J53" s="204"/>
      <c r="K53" s="204"/>
      <c r="L53" s="204">
        <v>609300</v>
      </c>
      <c r="M53" s="199">
        <f>VLOOKUP(C53,'Haver NA'!$A$1:$I$34,9,0)</f>
        <v>865600</v>
      </c>
      <c r="N53" s="116">
        <f>'[1]Revised Add Factors'!D$13*1000</f>
        <v>282681.75834658189</v>
      </c>
      <c r="O53" s="116"/>
      <c r="P53" s="116">
        <f>'[1]Revised Add Factors'!F$13*1000</f>
        <v>0</v>
      </c>
      <c r="Q53" s="116">
        <f>'[1]Revised Add Factors'!G$13*1000</f>
        <v>0</v>
      </c>
      <c r="R53" s="116">
        <f>'[1]Revised Add Factors'!H$13*1000</f>
        <v>0</v>
      </c>
      <c r="S53" s="116"/>
      <c r="T53" s="116">
        <f>'[1]Revised Add Factors'!J$13*1000</f>
        <v>0</v>
      </c>
      <c r="U53" s="116">
        <f>'[1]Revised Add Factors'!K$13*1000</f>
        <v>0</v>
      </c>
      <c r="V53" s="116">
        <f>'[1]Revised Add Factors'!L$13*1000</f>
        <v>0</v>
      </c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M53" s="243"/>
    </row>
    <row r="54" spans="1:39" s="35" customFormat="1" ht="27.5" customHeight="1" x14ac:dyDescent="0.2">
      <c r="A54" s="113" t="s">
        <v>274</v>
      </c>
      <c r="C54" t="s">
        <v>336</v>
      </c>
      <c r="D54"/>
      <c r="F54" s="199"/>
      <c r="G54" s="199"/>
      <c r="H54" s="199"/>
      <c r="I54" s="204"/>
      <c r="J54" s="204"/>
      <c r="K54" s="204"/>
      <c r="L54" s="204">
        <f>SUM(L55:L57)</f>
        <v>277100</v>
      </c>
      <c r="M54" s="199">
        <f>SUM(M55:M57)</f>
        <v>228300</v>
      </c>
      <c r="N54" s="116">
        <v>25420</v>
      </c>
      <c r="O54" s="116">
        <v>25420</v>
      </c>
      <c r="P54" s="116">
        <v>25420</v>
      </c>
      <c r="Q54" s="116">
        <v>25420</v>
      </c>
      <c r="R54" s="116">
        <v>25420</v>
      </c>
      <c r="S54" s="116"/>
      <c r="T54" s="116">
        <f>'[1]Revised Add Factors'!J$14*1000</f>
        <v>0</v>
      </c>
      <c r="U54" s="116">
        <f>'[1]Revised Add Factors'!K$14*1000</f>
        <v>0</v>
      </c>
      <c r="V54" s="116">
        <f>'[1]Revised Add Factors'!L$14*1000</f>
        <v>0</v>
      </c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M54" s="243"/>
    </row>
    <row r="55" spans="1:39" s="187" customFormat="1" x14ac:dyDescent="0.2">
      <c r="A55" s="283" t="s">
        <v>284</v>
      </c>
      <c r="B55" s="187" t="s">
        <v>283</v>
      </c>
      <c r="C55" t="s">
        <v>312</v>
      </c>
      <c r="D55"/>
      <c r="F55" s="209"/>
      <c r="G55" s="209"/>
      <c r="H55" s="209"/>
      <c r="I55" s="263"/>
      <c r="J55" s="263"/>
      <c r="K55" s="263"/>
      <c r="L55" s="263">
        <v>63800</v>
      </c>
      <c r="M55" s="263">
        <f>VLOOKUP(C55,'Haver NA'!$A$1:$I$34,9,0)</f>
        <v>15000</v>
      </c>
      <c r="N55" s="264"/>
      <c r="O55" s="264"/>
      <c r="P55" s="264"/>
      <c r="Q55" s="264"/>
      <c r="R55" s="264"/>
      <c r="S55" s="264"/>
      <c r="T55" s="264"/>
      <c r="U55" s="264"/>
      <c r="V55" s="264"/>
      <c r="W55" s="189"/>
      <c r="X55" s="189"/>
      <c r="Y55" s="189"/>
      <c r="Z55" s="189"/>
      <c r="AA55" s="189"/>
      <c r="AB55" s="189"/>
      <c r="AC55" s="189"/>
      <c r="AD55" s="189"/>
      <c r="AE55" s="189"/>
      <c r="AF55" s="189"/>
      <c r="AG55" s="189"/>
      <c r="AM55" s="244"/>
    </row>
    <row r="56" spans="1:39" s="187" customFormat="1" x14ac:dyDescent="0.2">
      <c r="A56" s="283" t="s">
        <v>285</v>
      </c>
      <c r="B56" s="187" t="s">
        <v>283</v>
      </c>
      <c r="C56" t="s">
        <v>313</v>
      </c>
      <c r="D56"/>
      <c r="F56" s="209"/>
      <c r="G56" s="209"/>
      <c r="H56" s="209"/>
      <c r="I56" s="263"/>
      <c r="J56" s="263"/>
      <c r="K56" s="263"/>
      <c r="L56" s="263">
        <v>73300</v>
      </c>
      <c r="M56" s="263">
        <f>VLOOKUP(C56,'Haver NA'!$A$1:$I$34,9,0)</f>
        <v>73300</v>
      </c>
      <c r="N56" s="264"/>
      <c r="O56" s="264"/>
      <c r="P56" s="264"/>
      <c r="Q56" s="264"/>
      <c r="R56" s="264"/>
      <c r="S56" s="264"/>
      <c r="T56" s="264"/>
      <c r="U56" s="264"/>
      <c r="V56" s="264"/>
      <c r="W56" s="189"/>
      <c r="X56" s="189"/>
      <c r="Y56" s="189"/>
      <c r="Z56" s="189"/>
      <c r="AA56" s="189"/>
      <c r="AB56" s="189"/>
      <c r="AC56" s="189"/>
      <c r="AD56" s="189"/>
      <c r="AE56" s="189"/>
      <c r="AF56" s="189"/>
      <c r="AG56" s="189"/>
      <c r="AM56" s="244"/>
    </row>
    <row r="57" spans="1:39" s="187" customFormat="1" x14ac:dyDescent="0.2">
      <c r="A57" s="283" t="s">
        <v>286</v>
      </c>
      <c r="B57" s="187" t="s">
        <v>283</v>
      </c>
      <c r="C57" t="s">
        <v>314</v>
      </c>
      <c r="D57"/>
      <c r="F57" s="209"/>
      <c r="G57" s="209"/>
      <c r="H57" s="209"/>
      <c r="I57" s="263"/>
      <c r="J57" s="263"/>
      <c r="K57" s="263"/>
      <c r="L57" s="263">
        <v>140000</v>
      </c>
      <c r="M57" s="263">
        <f>VLOOKUP(C57,'Haver NA'!$A$1:$I$34,9,0)</f>
        <v>140000</v>
      </c>
      <c r="N57" s="264"/>
      <c r="O57" s="264"/>
      <c r="P57" s="264"/>
      <c r="Q57" s="264"/>
      <c r="R57" s="264"/>
      <c r="S57" s="264"/>
      <c r="T57" s="264"/>
      <c r="U57" s="264"/>
      <c r="V57" s="264"/>
      <c r="W57" s="189"/>
      <c r="X57" s="189"/>
      <c r="Y57" s="189"/>
      <c r="Z57" s="189"/>
      <c r="AA57" s="189"/>
      <c r="AB57" s="189"/>
      <c r="AC57" s="189"/>
      <c r="AD57" s="189"/>
      <c r="AE57" s="189"/>
      <c r="AF57" s="189"/>
      <c r="AG57" s="189"/>
      <c r="AM57" s="244"/>
    </row>
    <row r="58" spans="1:39" s="187" customFormat="1" ht="16" x14ac:dyDescent="0.2">
      <c r="A58" s="227" t="s">
        <v>340</v>
      </c>
      <c r="C58"/>
      <c r="D58"/>
      <c r="F58" s="209"/>
      <c r="G58" s="209"/>
      <c r="H58" s="209"/>
      <c r="I58" s="263"/>
      <c r="J58" s="263"/>
      <c r="K58" s="263"/>
      <c r="L58" s="263"/>
      <c r="M58" s="199"/>
      <c r="N58" s="264"/>
      <c r="O58" s="264"/>
      <c r="P58" s="264"/>
      <c r="Q58" s="264"/>
      <c r="R58" s="264"/>
      <c r="S58" s="264"/>
      <c r="T58" s="264"/>
      <c r="U58" s="264"/>
      <c r="V58" s="264"/>
      <c r="W58" s="189"/>
      <c r="X58" s="189"/>
      <c r="Y58" s="189"/>
      <c r="Z58" s="189"/>
      <c r="AA58" s="189"/>
      <c r="AB58" s="189"/>
      <c r="AC58" s="189"/>
      <c r="AD58" s="189"/>
      <c r="AE58" s="189"/>
      <c r="AF58" s="189"/>
      <c r="AG58" s="189"/>
      <c r="AM58" s="244"/>
    </row>
    <row r="59" spans="1:39" s="285" customFormat="1" ht="16" x14ac:dyDescent="0.2">
      <c r="A59" s="284" t="s">
        <v>338</v>
      </c>
      <c r="F59" s="287"/>
      <c r="G59" s="287"/>
      <c r="H59" s="287"/>
      <c r="I59" s="286"/>
      <c r="J59" s="286"/>
      <c r="K59" s="286"/>
      <c r="L59" s="286"/>
      <c r="M59" s="287"/>
      <c r="N59" s="292"/>
      <c r="O59" s="292">
        <f>'Stimulus Round 2'!$C$2*4/2</f>
        <v>650000</v>
      </c>
      <c r="P59" s="292">
        <f>'Stimulus Round 2'!$C$2*4/2</f>
        <v>650000</v>
      </c>
      <c r="Q59" s="292"/>
      <c r="R59" s="292"/>
      <c r="S59" s="292"/>
      <c r="T59" s="292"/>
      <c r="U59" s="292"/>
      <c r="V59" s="292"/>
      <c r="W59" s="289"/>
      <c r="X59" s="289"/>
      <c r="Y59" s="289"/>
      <c r="Z59" s="289"/>
      <c r="AA59" s="289"/>
      <c r="AB59" s="289"/>
      <c r="AC59" s="289"/>
      <c r="AD59" s="289"/>
      <c r="AE59" s="289"/>
      <c r="AF59" s="289"/>
      <c r="AG59" s="289"/>
      <c r="AM59" s="293"/>
    </row>
    <row r="60" spans="1:39" s="285" customFormat="1" ht="16" x14ac:dyDescent="0.2">
      <c r="A60" s="284" t="s">
        <v>351</v>
      </c>
      <c r="F60" s="287"/>
      <c r="G60" s="287"/>
      <c r="H60" s="287"/>
      <c r="I60" s="286"/>
      <c r="J60" s="286"/>
      <c r="K60" s="286"/>
      <c r="L60" s="286"/>
      <c r="M60" s="287"/>
      <c r="N60" s="292"/>
      <c r="O60" s="292">
        <f>'Stimulus Round 2'!$C$12*4/3</f>
        <v>21333.333333333332</v>
      </c>
      <c r="P60" s="292">
        <f>'Stimulus Round 2'!$C$12*4/3</f>
        <v>21333.333333333332</v>
      </c>
      <c r="Q60" s="292">
        <f>'Stimulus Round 2'!$C$12*4/3</f>
        <v>21333.333333333332</v>
      </c>
      <c r="R60" s="292"/>
      <c r="S60" s="292"/>
      <c r="T60" s="292"/>
      <c r="U60" s="292"/>
      <c r="V60" s="292"/>
      <c r="W60" s="289"/>
      <c r="X60" s="289"/>
      <c r="Y60" s="289"/>
      <c r="Z60" s="289"/>
      <c r="AA60" s="289"/>
      <c r="AB60" s="289"/>
      <c r="AC60" s="289"/>
      <c r="AD60" s="289"/>
      <c r="AE60" s="289"/>
      <c r="AF60" s="289"/>
      <c r="AG60" s="289"/>
      <c r="AM60" s="293"/>
    </row>
    <row r="61" spans="1:39" s="285" customFormat="1" ht="16" x14ac:dyDescent="0.2">
      <c r="A61" s="284" t="s">
        <v>285</v>
      </c>
      <c r="F61" s="287"/>
      <c r="G61" s="287"/>
      <c r="H61" s="287"/>
      <c r="I61" s="286"/>
      <c r="J61" s="286"/>
      <c r="K61" s="286"/>
      <c r="L61" s="286"/>
      <c r="M61" s="287"/>
      <c r="N61" s="292"/>
      <c r="O61" s="292">
        <f>'Stimulus Round 2'!$C$18*4/4</f>
        <v>20000</v>
      </c>
      <c r="P61" s="292">
        <f>'Stimulus Round 2'!$C$18*4/4</f>
        <v>20000</v>
      </c>
      <c r="Q61" s="292">
        <f>'Stimulus Round 2'!$C$18*4/4</f>
        <v>20000</v>
      </c>
      <c r="R61" s="292">
        <f>'Stimulus Round 2'!$C$18*4/4</f>
        <v>20000</v>
      </c>
      <c r="S61" s="292"/>
      <c r="T61" s="292"/>
      <c r="U61" s="292"/>
      <c r="V61" s="292"/>
      <c r="W61" s="289"/>
      <c r="X61" s="289"/>
      <c r="Y61" s="289"/>
      <c r="Z61" s="289"/>
      <c r="AA61" s="289"/>
      <c r="AB61" s="289"/>
      <c r="AC61" s="289"/>
      <c r="AD61" s="289"/>
      <c r="AE61" s="289"/>
      <c r="AF61" s="289"/>
      <c r="AG61" s="289"/>
      <c r="AM61" s="293"/>
    </row>
    <row r="62" spans="1:39" s="285" customFormat="1" ht="16" x14ac:dyDescent="0.2">
      <c r="A62" s="284" t="s">
        <v>354</v>
      </c>
      <c r="F62" s="287"/>
      <c r="G62" s="287"/>
      <c r="H62" s="287"/>
      <c r="I62" s="286"/>
      <c r="J62" s="286"/>
      <c r="K62" s="286"/>
      <c r="L62" s="286"/>
      <c r="M62" s="287"/>
      <c r="N62" s="292"/>
      <c r="O62" s="292">
        <f>'Stimulus Round 2'!$C$20*4/8</f>
        <v>2500</v>
      </c>
      <c r="P62" s="292">
        <f>'Stimulus Round 2'!$C$20*4/8</f>
        <v>2500</v>
      </c>
      <c r="Q62" s="292">
        <f>'Stimulus Round 2'!$C$20*4/8</f>
        <v>2500</v>
      </c>
      <c r="R62" s="292">
        <f>'Stimulus Round 2'!$C$20*4/8</f>
        <v>2500</v>
      </c>
      <c r="S62" s="292">
        <f>'Stimulus Round 2'!$C$20*4/8</f>
        <v>2500</v>
      </c>
      <c r="T62" s="292">
        <f>'Stimulus Round 2'!$C$20*4/8</f>
        <v>2500</v>
      </c>
      <c r="U62" s="292">
        <f>'Stimulus Round 2'!$C$20*4/8</f>
        <v>2500</v>
      </c>
      <c r="V62" s="292">
        <f>'Stimulus Round 2'!$C$20*4/8</f>
        <v>2500</v>
      </c>
      <c r="W62" s="289"/>
      <c r="X62" s="289"/>
      <c r="Y62" s="289"/>
      <c r="Z62" s="289"/>
      <c r="AA62" s="289"/>
      <c r="AB62" s="289"/>
      <c r="AC62" s="289"/>
      <c r="AD62" s="289"/>
      <c r="AE62" s="289"/>
      <c r="AF62" s="289"/>
      <c r="AG62" s="289"/>
      <c r="AM62" s="293"/>
    </row>
    <row r="63" spans="1:39" s="35" customFormat="1" x14ac:dyDescent="0.2">
      <c r="A63" s="134"/>
      <c r="F63" s="199"/>
      <c r="G63" s="199"/>
      <c r="H63" s="199"/>
      <c r="I63" s="204"/>
      <c r="J63" s="204"/>
      <c r="K63" s="204"/>
      <c r="L63" s="204"/>
      <c r="M63" s="199"/>
      <c r="N63" s="116"/>
      <c r="O63" s="116"/>
      <c r="P63" s="116"/>
      <c r="Q63" s="116"/>
      <c r="R63" s="116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M63" s="243"/>
    </row>
    <row r="64" spans="1:39" s="35" customFormat="1" x14ac:dyDescent="0.2">
      <c r="A64" s="35" t="s">
        <v>16</v>
      </c>
      <c r="B64" s="35" t="s">
        <v>283</v>
      </c>
      <c r="C64" t="s">
        <v>315</v>
      </c>
      <c r="D64"/>
      <c r="F64" s="199">
        <v>586475</v>
      </c>
      <c r="G64" s="199">
        <v>594213</v>
      </c>
      <c r="H64" s="199">
        <v>612547</v>
      </c>
      <c r="I64" s="204">
        <v>610331</v>
      </c>
      <c r="J64" s="204">
        <v>615406</v>
      </c>
      <c r="K64" s="204">
        <v>627805</v>
      </c>
      <c r="L64" s="204">
        <v>1396890</v>
      </c>
      <c r="M64" s="199">
        <f>VLOOKUP(C64,'Haver NA'!$A$1:$I$34,9,0)</f>
        <v>728172</v>
      </c>
      <c r="N64" s="116">
        <f>N66+(SUM($M$68:$R$68))/4/6*4</f>
        <v>309757.71088176518</v>
      </c>
      <c r="O64" s="116">
        <f>O66+(SUM($M$68:$R$68))/4/6*4</f>
        <v>310526.0282281565</v>
      </c>
      <c r="P64" s="116">
        <f>P66+(SUM($M$68:$R$68))/4/6*4</f>
        <v>311407.70387155632</v>
      </c>
      <c r="Q64" s="116">
        <f>Q66+(SUM($M$68:$R$68))/4/6*4</f>
        <v>312440.5239109674</v>
      </c>
      <c r="R64" s="116">
        <f>R66+(SUM($M$68:$R$68))/4/6*4</f>
        <v>313930.32822359644</v>
      </c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>
        <f>AVERAGE(F64:I64)/1000</f>
        <v>600.89149999999995</v>
      </c>
      <c r="AD64" s="44"/>
      <c r="AE64" s="44"/>
      <c r="AF64" s="44"/>
      <c r="AM64" s="243"/>
    </row>
    <row r="65" spans="1:39" s="35" customFormat="1" x14ac:dyDescent="0.2">
      <c r="A65" s="35" t="s">
        <v>229</v>
      </c>
      <c r="F65" s="205">
        <f t="shared" ref="F65:M65" si="33">F64-F87</f>
        <v>196851</v>
      </c>
      <c r="G65" s="205">
        <f t="shared" si="33"/>
        <v>189684</v>
      </c>
      <c r="H65" s="205">
        <f t="shared" si="33"/>
        <v>192875</v>
      </c>
      <c r="I65" s="205">
        <f t="shared" si="33"/>
        <v>191507</v>
      </c>
      <c r="J65" s="205">
        <f t="shared" si="33"/>
        <v>203997</v>
      </c>
      <c r="K65" s="205">
        <f t="shared" si="33"/>
        <v>204376</v>
      </c>
      <c r="L65" s="205">
        <f t="shared" si="33"/>
        <v>884250</v>
      </c>
      <c r="M65" s="199">
        <f t="shared" si="33"/>
        <v>242100</v>
      </c>
      <c r="N65" s="116"/>
      <c r="O65" s="116"/>
      <c r="P65" s="116"/>
      <c r="Q65" s="116"/>
      <c r="R65" s="116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M65" s="243"/>
    </row>
    <row r="66" spans="1:39" s="35" customFormat="1" x14ac:dyDescent="0.2">
      <c r="A66" s="136" t="s">
        <v>230</v>
      </c>
      <c r="F66" s="199"/>
      <c r="G66" s="199"/>
      <c r="H66" s="199"/>
      <c r="I66" s="204"/>
      <c r="J66" s="204"/>
      <c r="K66" s="204"/>
      <c r="L66" s="204">
        <f>L65-L67</f>
        <v>192250</v>
      </c>
      <c r="M66" s="297">
        <f>L66*(1+M82)</f>
        <v>189980.38194444444</v>
      </c>
      <c r="N66" s="116">
        <f>M66*(1+N82)</f>
        <v>191424.37754843186</v>
      </c>
      <c r="O66" s="116">
        <f t="shared" ref="O66:R66" si="34">N66*(1+O82)</f>
        <v>192192.69489482319</v>
      </c>
      <c r="P66" s="116">
        <f t="shared" si="34"/>
        <v>193074.37053822298</v>
      </c>
      <c r="Q66" s="116">
        <f t="shared" si="34"/>
        <v>194107.19057763406</v>
      </c>
      <c r="R66" s="116">
        <f t="shared" si="34"/>
        <v>195596.9948902631</v>
      </c>
      <c r="S66" s="116">
        <f t="shared" ref="S66" si="35">R66*(1+S82)</f>
        <v>197293.87850499584</v>
      </c>
      <c r="T66" s="116">
        <f t="shared" ref="T66" si="36">S66*(1+T82)</f>
        <v>199012.10563686007</v>
      </c>
      <c r="U66" s="116">
        <f t="shared" ref="U66" si="37">T66*(1+U82)</f>
        <v>200920.8485534183</v>
      </c>
      <c r="V66" s="116">
        <f t="shared" ref="V66:X66" si="38">U66*(1+V82)</f>
        <v>202676.99647715053</v>
      </c>
      <c r="W66" s="116">
        <f t="shared" si="38"/>
        <v>204627.50241134351</v>
      </c>
      <c r="X66" s="116">
        <f t="shared" si="38"/>
        <v>206417.08729938377</v>
      </c>
      <c r="Y66" s="116">
        <f t="shared" ref="Y66" si="39">X66*(1+Y82)</f>
        <v>208402.85391171087</v>
      </c>
      <c r="Z66" s="116">
        <f t="shared" ref="Z66" si="40">Y66*(1+Z82)</f>
        <v>210411.47948991408</v>
      </c>
      <c r="AA66" s="44"/>
      <c r="AB66" s="44"/>
      <c r="AC66" s="44"/>
      <c r="AD66" s="44"/>
      <c r="AE66" s="44"/>
      <c r="AF66" s="44"/>
      <c r="AG66" s="44"/>
      <c r="AM66" s="243"/>
    </row>
    <row r="67" spans="1:39" s="138" customFormat="1" x14ac:dyDescent="0.2">
      <c r="A67" s="137" t="s">
        <v>210</v>
      </c>
      <c r="C67" t="s">
        <v>316</v>
      </c>
      <c r="D67"/>
      <c r="F67" s="206"/>
      <c r="G67" s="206"/>
      <c r="H67" s="206"/>
      <c r="I67" s="207"/>
      <c r="J67" s="207"/>
      <c r="K67" s="207"/>
      <c r="L67" s="207">
        <v>692000</v>
      </c>
      <c r="M67" s="199">
        <v>38500</v>
      </c>
      <c r="N67" s="139"/>
      <c r="O67" s="139"/>
      <c r="P67" s="139"/>
      <c r="Q67" s="139"/>
      <c r="R67" s="139"/>
      <c r="S67" s="140"/>
      <c r="T67" s="140"/>
      <c r="U67" s="140"/>
      <c r="V67" s="140"/>
      <c r="W67" s="140"/>
      <c r="X67" s="140"/>
      <c r="Y67" s="140"/>
      <c r="Z67" s="140"/>
      <c r="AA67" s="140"/>
      <c r="AB67" s="140"/>
      <c r="AC67" s="140"/>
      <c r="AD67" s="140"/>
      <c r="AE67" s="140"/>
      <c r="AF67" s="140"/>
      <c r="AG67" s="140"/>
      <c r="AM67" s="246"/>
    </row>
    <row r="68" spans="1:39" s="35" customFormat="1" ht="16" x14ac:dyDescent="0.2">
      <c r="A68" s="134" t="s">
        <v>211</v>
      </c>
      <c r="F68" s="199"/>
      <c r="G68" s="199"/>
      <c r="H68" s="199"/>
      <c r="I68" s="204"/>
      <c r="J68" s="204"/>
      <c r="K68" s="204"/>
      <c r="L68" s="208">
        <f>SUM(L70:L72)</f>
        <v>87000</v>
      </c>
      <c r="M68" s="199">
        <f>SUM(M70:M72)</f>
        <v>97000</v>
      </c>
      <c r="N68" s="116">
        <f>SUM(N70:N72)+N73</f>
        <v>107000</v>
      </c>
      <c r="O68" s="116">
        <f>SUM(O70:O72)+O73</f>
        <v>149000</v>
      </c>
      <c r="P68" s="116">
        <f t="shared" ref="P68:Z68" si="41">SUM(P70:P72)+P73</f>
        <v>121000</v>
      </c>
      <c r="Q68" s="116">
        <f t="shared" si="41"/>
        <v>121000</v>
      </c>
      <c r="R68" s="116">
        <f t="shared" si="41"/>
        <v>115000</v>
      </c>
      <c r="S68" s="116">
        <f t="shared" si="41"/>
        <v>109000</v>
      </c>
      <c r="T68" s="116">
        <f t="shared" si="41"/>
        <v>109000</v>
      </c>
      <c r="U68" s="116">
        <f t="shared" si="41"/>
        <v>109000</v>
      </c>
      <c r="V68" s="116">
        <f t="shared" si="41"/>
        <v>109000</v>
      </c>
      <c r="W68" s="116">
        <f t="shared" si="41"/>
        <v>109000</v>
      </c>
      <c r="X68" s="116">
        <f t="shared" si="41"/>
        <v>59000</v>
      </c>
      <c r="Y68" s="116">
        <f t="shared" si="41"/>
        <v>59000</v>
      </c>
      <c r="Z68" s="116">
        <f t="shared" si="41"/>
        <v>59000</v>
      </c>
      <c r="AA68" s="116"/>
      <c r="AB68" s="116"/>
      <c r="AC68" s="44"/>
      <c r="AD68" s="44"/>
      <c r="AE68" s="44"/>
      <c r="AF68" s="44"/>
      <c r="AG68" s="44"/>
      <c r="AM68" s="243"/>
    </row>
    <row r="69" spans="1:39" s="35" customFormat="1" ht="16" x14ac:dyDescent="0.2">
      <c r="A69" s="227" t="s">
        <v>343</v>
      </c>
      <c r="F69" s="199"/>
      <c r="G69" s="199"/>
      <c r="H69" s="199"/>
      <c r="I69" s="204"/>
      <c r="J69" s="204"/>
      <c r="K69" s="204"/>
      <c r="L69" s="208"/>
      <c r="M69" s="199"/>
      <c r="N69" s="116"/>
      <c r="O69" s="116"/>
      <c r="P69" s="116"/>
      <c r="Q69" s="116"/>
      <c r="R69" s="116"/>
      <c r="S69" s="116"/>
      <c r="T69" s="116"/>
      <c r="U69" s="116"/>
      <c r="V69" s="116"/>
      <c r="W69" s="116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M69" s="243"/>
    </row>
    <row r="70" spans="1:39" s="35" customFormat="1" x14ac:dyDescent="0.2">
      <c r="A70" s="113" t="s">
        <v>198</v>
      </c>
      <c r="F70" s="199"/>
      <c r="G70" s="199"/>
      <c r="H70" s="199"/>
      <c r="I70" s="204"/>
      <c r="J70" s="204"/>
      <c r="K70" s="204"/>
      <c r="L70" s="208">
        <v>35000</v>
      </c>
      <c r="M70" s="199">
        <v>45000</v>
      </c>
      <c r="N70" s="116">
        <v>60000</v>
      </c>
      <c r="O70" s="116">
        <v>60000</v>
      </c>
      <c r="P70" s="116">
        <v>50000</v>
      </c>
      <c r="Q70" s="116">
        <v>50000</v>
      </c>
      <c r="R70" s="116">
        <v>50000</v>
      </c>
      <c r="S70" s="116">
        <v>50000</v>
      </c>
      <c r="T70" s="116">
        <v>50000</v>
      </c>
      <c r="U70" s="116">
        <v>50000</v>
      </c>
      <c r="V70" s="116">
        <v>50000</v>
      </c>
      <c r="W70" s="116">
        <v>50000</v>
      </c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M70" s="243"/>
    </row>
    <row r="71" spans="1:39" s="35" customFormat="1" x14ac:dyDescent="0.2">
      <c r="A71" s="113" t="s">
        <v>202</v>
      </c>
      <c r="F71" s="199"/>
      <c r="G71" s="199"/>
      <c r="H71" s="199"/>
      <c r="I71" s="204"/>
      <c r="J71" s="204"/>
      <c r="K71" s="204"/>
      <c r="L71" s="204">
        <v>27000</v>
      </c>
      <c r="M71" s="199">
        <v>27000</v>
      </c>
      <c r="N71" s="116">
        <v>12000</v>
      </c>
      <c r="O71" s="116">
        <v>12000</v>
      </c>
      <c r="P71" s="116">
        <v>12000</v>
      </c>
      <c r="Q71" s="116">
        <v>12000</v>
      </c>
      <c r="R71" s="116">
        <v>6000</v>
      </c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M71" s="243"/>
    </row>
    <row r="72" spans="1:39" s="35" customFormat="1" x14ac:dyDescent="0.2">
      <c r="A72" s="113" t="s">
        <v>199</v>
      </c>
      <c r="F72" s="199"/>
      <c r="G72" s="199"/>
      <c r="H72" s="199"/>
      <c r="I72" s="204"/>
      <c r="J72" s="204"/>
      <c r="K72" s="204"/>
      <c r="L72" s="204">
        <v>25000</v>
      </c>
      <c r="M72" s="199">
        <v>25000</v>
      </c>
      <c r="N72" s="116">
        <v>35000</v>
      </c>
      <c r="O72" s="116">
        <v>18000</v>
      </c>
      <c r="P72" s="116">
        <v>0</v>
      </c>
      <c r="Q72" s="116">
        <v>0</v>
      </c>
      <c r="R72" s="116">
        <v>0</v>
      </c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4"/>
      <c r="AE72" s="44"/>
      <c r="AF72" s="44"/>
      <c r="AG72" s="44"/>
      <c r="AM72" s="243"/>
    </row>
    <row r="73" spans="1:39" s="35" customFormat="1" x14ac:dyDescent="0.2">
      <c r="A73" s="228" t="s">
        <v>344</v>
      </c>
      <c r="F73" s="199"/>
      <c r="G73" s="199"/>
      <c r="H73" s="199"/>
      <c r="I73" s="204"/>
      <c r="J73" s="204"/>
      <c r="K73" s="204"/>
      <c r="L73" s="204"/>
      <c r="M73" s="199"/>
      <c r="N73" s="116"/>
      <c r="O73" s="116">
        <f>SUM(O74:O77)</f>
        <v>59000</v>
      </c>
      <c r="P73" s="116">
        <f t="shared" ref="P73:Z73" si="42">SUM(P74:P77)</f>
        <v>59000</v>
      </c>
      <c r="Q73" s="116">
        <f t="shared" si="42"/>
        <v>59000</v>
      </c>
      <c r="R73" s="116">
        <f t="shared" si="42"/>
        <v>59000</v>
      </c>
      <c r="S73" s="116">
        <f t="shared" si="42"/>
        <v>59000</v>
      </c>
      <c r="T73" s="116">
        <f t="shared" si="42"/>
        <v>59000</v>
      </c>
      <c r="U73" s="116">
        <f t="shared" si="42"/>
        <v>59000</v>
      </c>
      <c r="V73" s="116">
        <f t="shared" si="42"/>
        <v>59000</v>
      </c>
      <c r="W73" s="116">
        <f t="shared" si="42"/>
        <v>59000</v>
      </c>
      <c r="X73" s="116">
        <f t="shared" si="42"/>
        <v>59000</v>
      </c>
      <c r="Y73" s="116">
        <f t="shared" si="42"/>
        <v>59000</v>
      </c>
      <c r="Z73" s="116">
        <f t="shared" si="42"/>
        <v>59000</v>
      </c>
      <c r="AA73" s="116"/>
      <c r="AB73" s="44"/>
      <c r="AC73" s="44"/>
      <c r="AD73" s="44"/>
      <c r="AE73" s="44"/>
      <c r="AF73" s="44"/>
      <c r="AG73" s="44"/>
      <c r="AM73" s="243"/>
    </row>
    <row r="74" spans="1:39" s="285" customFormat="1" x14ac:dyDescent="0.2">
      <c r="A74" s="295" t="s">
        <v>345</v>
      </c>
      <c r="F74" s="287"/>
      <c r="G74" s="287"/>
      <c r="H74" s="287"/>
      <c r="I74" s="286"/>
      <c r="J74" s="286"/>
      <c r="K74" s="286"/>
      <c r="L74" s="286"/>
      <c r="M74" s="287"/>
      <c r="N74" s="292"/>
      <c r="O74" s="292">
        <f>'Stimulus Round 2'!$C$13*4/12</f>
        <v>9666.6666666666661</v>
      </c>
      <c r="P74" s="292">
        <f>'Stimulus Round 2'!$C$13*4/12</f>
        <v>9666.6666666666661</v>
      </c>
      <c r="Q74" s="292">
        <f>'Stimulus Round 2'!$C$13*4/12</f>
        <v>9666.6666666666661</v>
      </c>
      <c r="R74" s="292">
        <f>'Stimulus Round 2'!$C$13*4/12</f>
        <v>9666.6666666666661</v>
      </c>
      <c r="S74" s="292">
        <f>'Stimulus Round 2'!$C$13*4/12</f>
        <v>9666.6666666666661</v>
      </c>
      <c r="T74" s="292">
        <f>'Stimulus Round 2'!$C$13*4/12</f>
        <v>9666.6666666666661</v>
      </c>
      <c r="U74" s="292">
        <f>'Stimulus Round 2'!$C$13*4/12</f>
        <v>9666.6666666666661</v>
      </c>
      <c r="V74" s="292">
        <f>'Stimulus Round 2'!$C$13*4/12</f>
        <v>9666.6666666666661</v>
      </c>
      <c r="W74" s="292">
        <f>'Stimulus Round 2'!$C$13*4/12</f>
        <v>9666.6666666666661</v>
      </c>
      <c r="X74" s="292">
        <f>'Stimulus Round 2'!$C$13*4/12</f>
        <v>9666.6666666666661</v>
      </c>
      <c r="Y74" s="292">
        <f>'Stimulus Round 2'!$C$13*4/12</f>
        <v>9666.6666666666661</v>
      </c>
      <c r="Z74" s="292">
        <f>'Stimulus Round 2'!$C$13*4/12</f>
        <v>9666.6666666666661</v>
      </c>
      <c r="AA74" s="289"/>
      <c r="AB74" s="289"/>
      <c r="AC74" s="289"/>
      <c r="AD74" s="289"/>
      <c r="AE74" s="289"/>
      <c r="AF74" s="289"/>
      <c r="AG74" s="289"/>
      <c r="AM74" s="293"/>
    </row>
    <row r="75" spans="1:39" s="285" customFormat="1" x14ac:dyDescent="0.2">
      <c r="A75" s="295" t="s">
        <v>346</v>
      </c>
      <c r="F75" s="287"/>
      <c r="G75" s="287"/>
      <c r="H75" s="287"/>
      <c r="I75" s="286"/>
      <c r="J75" s="286"/>
      <c r="K75" s="286"/>
      <c r="L75" s="286"/>
      <c r="M75" s="287"/>
      <c r="N75" s="292"/>
      <c r="O75" s="292">
        <f>'Stimulus Round 2'!$C$5*4/12</f>
        <v>27333.333333333332</v>
      </c>
      <c r="P75" s="292">
        <f>'Stimulus Round 2'!$C$5*4/12</f>
        <v>27333.333333333332</v>
      </c>
      <c r="Q75" s="292">
        <f>'Stimulus Round 2'!$C$5*4/12</f>
        <v>27333.333333333332</v>
      </c>
      <c r="R75" s="292">
        <f>'Stimulus Round 2'!$C$5*4/12</f>
        <v>27333.333333333332</v>
      </c>
      <c r="S75" s="292">
        <f>'Stimulus Round 2'!$C$5*4/12</f>
        <v>27333.333333333332</v>
      </c>
      <c r="T75" s="292">
        <f>'Stimulus Round 2'!$C$5*4/12</f>
        <v>27333.333333333332</v>
      </c>
      <c r="U75" s="292">
        <f>'Stimulus Round 2'!$C$5*4/12</f>
        <v>27333.333333333332</v>
      </c>
      <c r="V75" s="292">
        <f>'Stimulus Round 2'!$C$5*4/12</f>
        <v>27333.333333333332</v>
      </c>
      <c r="W75" s="292">
        <f>'Stimulus Round 2'!$C$5*4/12</f>
        <v>27333.333333333332</v>
      </c>
      <c r="X75" s="292">
        <f>'Stimulus Round 2'!$C$5*4/12</f>
        <v>27333.333333333332</v>
      </c>
      <c r="Y75" s="292">
        <f>'Stimulus Round 2'!$C$5*4/12</f>
        <v>27333.333333333332</v>
      </c>
      <c r="Z75" s="292">
        <f>'Stimulus Round 2'!$C$5*4/12</f>
        <v>27333.333333333332</v>
      </c>
      <c r="AA75" s="289"/>
      <c r="AB75" s="289"/>
      <c r="AC75" s="289"/>
      <c r="AD75" s="289"/>
      <c r="AE75" s="289"/>
      <c r="AF75" s="289"/>
      <c r="AG75" s="289"/>
      <c r="AM75" s="293"/>
    </row>
    <row r="76" spans="1:39" s="285" customFormat="1" x14ac:dyDescent="0.2">
      <c r="A76" s="295" t="s">
        <v>350</v>
      </c>
      <c r="F76" s="287"/>
      <c r="G76" s="287"/>
      <c r="H76" s="287"/>
      <c r="I76" s="286"/>
      <c r="J76" s="286"/>
      <c r="K76" s="286"/>
      <c r="L76" s="286"/>
      <c r="M76" s="287"/>
      <c r="N76" s="292"/>
      <c r="O76" s="292">
        <f>'Stimulus Round 2'!$C$10*4/12</f>
        <v>4000</v>
      </c>
      <c r="P76" s="292">
        <f>'Stimulus Round 2'!$C$10*4/12</f>
        <v>4000</v>
      </c>
      <c r="Q76" s="292">
        <f>'Stimulus Round 2'!$C$10*4/12</f>
        <v>4000</v>
      </c>
      <c r="R76" s="292">
        <f>'Stimulus Round 2'!$C$10*4/12</f>
        <v>4000</v>
      </c>
      <c r="S76" s="292">
        <f>'Stimulus Round 2'!$C$10*4/12</f>
        <v>4000</v>
      </c>
      <c r="T76" s="292">
        <f>'Stimulus Round 2'!$C$10*4/12</f>
        <v>4000</v>
      </c>
      <c r="U76" s="292">
        <f>'Stimulus Round 2'!$C$10*4/12</f>
        <v>4000</v>
      </c>
      <c r="V76" s="292">
        <f>'Stimulus Round 2'!$C$10*4/12</f>
        <v>4000</v>
      </c>
      <c r="W76" s="292">
        <f>'Stimulus Round 2'!$C$10*4/12</f>
        <v>4000</v>
      </c>
      <c r="X76" s="292">
        <f>'Stimulus Round 2'!$C$10*4/12</f>
        <v>4000</v>
      </c>
      <c r="Y76" s="292">
        <f>'Stimulus Round 2'!$C$10*4/12</f>
        <v>4000</v>
      </c>
      <c r="Z76" s="292">
        <f>'Stimulus Round 2'!$C$10*4/12</f>
        <v>4000</v>
      </c>
      <c r="AA76" s="289"/>
      <c r="AB76" s="289"/>
      <c r="AC76" s="289"/>
      <c r="AD76" s="289"/>
      <c r="AE76" s="289"/>
      <c r="AF76" s="289"/>
      <c r="AG76" s="289"/>
      <c r="AM76" s="293"/>
    </row>
    <row r="77" spans="1:39" s="285" customFormat="1" x14ac:dyDescent="0.2">
      <c r="A77" s="295" t="s">
        <v>352</v>
      </c>
      <c r="F77" s="287"/>
      <c r="G77" s="287"/>
      <c r="H77" s="287"/>
      <c r="I77" s="286"/>
      <c r="J77" s="286"/>
      <c r="K77" s="286"/>
      <c r="L77" s="286"/>
      <c r="M77" s="287"/>
      <c r="N77" s="292"/>
      <c r="O77" s="292">
        <f>'Stimulus Round 2'!$C$16*4/12</f>
        <v>18000</v>
      </c>
      <c r="P77" s="292">
        <f>'Stimulus Round 2'!$C$16*4/12</f>
        <v>18000</v>
      </c>
      <c r="Q77" s="292">
        <f>'Stimulus Round 2'!$C$16*4/12</f>
        <v>18000</v>
      </c>
      <c r="R77" s="292">
        <f>'Stimulus Round 2'!$C$16*4/12</f>
        <v>18000</v>
      </c>
      <c r="S77" s="292">
        <f>'Stimulus Round 2'!$C$16*4/12</f>
        <v>18000</v>
      </c>
      <c r="T77" s="292">
        <f>'Stimulus Round 2'!$C$16*4/12</f>
        <v>18000</v>
      </c>
      <c r="U77" s="292">
        <f>'Stimulus Round 2'!$C$16*4/12</f>
        <v>18000</v>
      </c>
      <c r="V77" s="292">
        <f>'Stimulus Round 2'!$C$16*4/12</f>
        <v>18000</v>
      </c>
      <c r="W77" s="292">
        <f>'Stimulus Round 2'!$C$16*4/12</f>
        <v>18000</v>
      </c>
      <c r="X77" s="292">
        <f>'Stimulus Round 2'!$C$16*4/12</f>
        <v>18000</v>
      </c>
      <c r="Y77" s="292">
        <f>'Stimulus Round 2'!$C$16*4/12</f>
        <v>18000</v>
      </c>
      <c r="Z77" s="292">
        <f>'Stimulus Round 2'!$C$16*4/12</f>
        <v>18000</v>
      </c>
      <c r="AA77" s="289"/>
      <c r="AB77" s="289"/>
      <c r="AC77" s="289"/>
      <c r="AD77" s="289"/>
      <c r="AE77" s="289"/>
      <c r="AF77" s="289"/>
      <c r="AG77" s="289"/>
      <c r="AM77" s="293"/>
    </row>
    <row r="78" spans="1:39" s="35" customFormat="1" x14ac:dyDescent="0.2">
      <c r="A78" s="145" t="s">
        <v>218</v>
      </c>
      <c r="B78" s="141"/>
      <c r="E78" s="141"/>
      <c r="F78" s="199"/>
      <c r="G78" s="199"/>
      <c r="H78" s="199"/>
      <c r="I78" s="204"/>
      <c r="J78" s="204"/>
      <c r="K78" s="204">
        <f>K64-K87</f>
        <v>204376</v>
      </c>
      <c r="L78" s="208">
        <f>L66+L68</f>
        <v>279250</v>
      </c>
      <c r="M78" s="199">
        <f t="shared" ref="M78:Z78" si="43">M66+M68</f>
        <v>286980.38194444444</v>
      </c>
      <c r="N78" s="144">
        <f t="shared" si="43"/>
        <v>298424.37754843186</v>
      </c>
      <c r="O78" s="144">
        <f t="shared" si="43"/>
        <v>341192.69489482319</v>
      </c>
      <c r="P78" s="144">
        <f t="shared" si="43"/>
        <v>314074.37053822295</v>
      </c>
      <c r="Q78" s="144">
        <f t="shared" si="43"/>
        <v>315107.19057763403</v>
      </c>
      <c r="R78" s="144">
        <f t="shared" si="43"/>
        <v>310596.99489026307</v>
      </c>
      <c r="S78" s="144">
        <f t="shared" si="43"/>
        <v>306293.87850499584</v>
      </c>
      <c r="T78" s="144">
        <f t="shared" si="43"/>
        <v>308012.10563686007</v>
      </c>
      <c r="U78" s="144">
        <f t="shared" si="43"/>
        <v>309920.8485534183</v>
      </c>
      <c r="V78" s="144">
        <f t="shared" si="43"/>
        <v>311676.99647715053</v>
      </c>
      <c r="W78" s="144">
        <f t="shared" si="43"/>
        <v>313627.50241134351</v>
      </c>
      <c r="X78" s="144">
        <f t="shared" si="43"/>
        <v>265417.08729938377</v>
      </c>
      <c r="Y78" s="144">
        <f t="shared" si="43"/>
        <v>267402.8539117109</v>
      </c>
      <c r="Z78" s="144">
        <f t="shared" si="43"/>
        <v>269411.47948991408</v>
      </c>
      <c r="AA78" s="44"/>
      <c r="AB78" s="44"/>
      <c r="AC78" s="44"/>
      <c r="AD78" s="44"/>
      <c r="AE78" s="44"/>
      <c r="AF78" s="44"/>
      <c r="AG78" s="44"/>
      <c r="AM78" s="243"/>
    </row>
    <row r="79" spans="1:39" s="35" customFormat="1" x14ac:dyDescent="0.2">
      <c r="F79" s="199"/>
      <c r="G79" s="199"/>
      <c r="H79" s="199"/>
      <c r="I79" s="199"/>
      <c r="J79" s="199"/>
      <c r="K79" s="199"/>
      <c r="L79" s="205"/>
      <c r="M79" s="199"/>
      <c r="N79" s="135"/>
      <c r="O79" s="135"/>
      <c r="P79" s="135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  <c r="AB79" s="44"/>
      <c r="AC79" s="44"/>
      <c r="AD79" s="44"/>
      <c r="AE79" s="44"/>
      <c r="AF79" s="44"/>
      <c r="AG79" s="44"/>
      <c r="AM79" s="243"/>
    </row>
    <row r="80" spans="1:39" s="35" customFormat="1" x14ac:dyDescent="0.2">
      <c r="A80" s="35" t="s">
        <v>17</v>
      </c>
      <c r="B80" s="35" t="s">
        <v>283</v>
      </c>
      <c r="C80" t="s">
        <v>317</v>
      </c>
      <c r="D80"/>
      <c r="F80" s="208">
        <v>1241.5999999999999</v>
      </c>
      <c r="G80" s="208">
        <v>1245.8</v>
      </c>
      <c r="H80" s="208">
        <v>1473.6</v>
      </c>
      <c r="I80" s="208">
        <v>1288.5</v>
      </c>
      <c r="J80" s="208">
        <v>1301.0999999999999</v>
      </c>
      <c r="K80" s="208">
        <v>1306.0999999999999</v>
      </c>
      <c r="L80" s="208">
        <v>1360.1</v>
      </c>
      <c r="M80" s="199">
        <f>VLOOKUP(C80,'Haver NA'!$A$1:$I$34,9,0)/1000</f>
        <v>1335.133</v>
      </c>
      <c r="N80" s="116"/>
      <c r="O80" s="116"/>
      <c r="P80" s="116"/>
      <c r="Q80" s="116"/>
      <c r="R80" s="116"/>
      <c r="S80" s="116"/>
      <c r="T80" s="116"/>
      <c r="U80" s="116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I80" s="44"/>
      <c r="AJ80" s="44"/>
      <c r="AK80" s="44"/>
      <c r="AL80" s="44"/>
      <c r="AM80" s="245"/>
    </row>
    <row r="81" spans="1:39" s="35" customFormat="1" x14ac:dyDescent="0.2">
      <c r="A81" s="114" t="s">
        <v>204</v>
      </c>
      <c r="B81" s="35" t="s">
        <v>283</v>
      </c>
      <c r="C81" t="s">
        <v>318</v>
      </c>
      <c r="D81"/>
      <c r="F81" s="199"/>
      <c r="G81" s="199"/>
      <c r="H81" s="199"/>
      <c r="I81" s="199"/>
      <c r="J81" s="199">
        <v>1447.9</v>
      </c>
      <c r="K81" s="199">
        <v>1452.6</v>
      </c>
      <c r="L81" s="199">
        <v>1504.8</v>
      </c>
      <c r="M81" s="199">
        <f>VLOOKUP(C81,'Haver NA'!$A$1:$I$34,9,0)/1000</f>
        <v>1487.0350000000001</v>
      </c>
      <c r="N81">
        <v>1498.3375986209639</v>
      </c>
      <c r="O81">
        <v>1504.3514552807801</v>
      </c>
      <c r="P81">
        <v>1511.252602267454</v>
      </c>
      <c r="Q81">
        <v>1519.3368030232709</v>
      </c>
      <c r="R81">
        <v>1530.997960524671</v>
      </c>
      <c r="S81">
        <v>1544.2799915439159</v>
      </c>
      <c r="T81">
        <v>1557.72908484966</v>
      </c>
      <c r="U81">
        <v>1572.6694039177321</v>
      </c>
      <c r="V81">
        <v>1586.4153149483291</v>
      </c>
      <c r="W81">
        <v>1601.682526026475</v>
      </c>
      <c r="X81">
        <v>1615.690158481731</v>
      </c>
      <c r="Y81">
        <v>1631.2333657547081</v>
      </c>
      <c r="Z81">
        <v>1646.9554971985581</v>
      </c>
      <c r="AA81"/>
      <c r="AB81"/>
      <c r="AE81" s="44"/>
      <c r="AF81" s="44"/>
      <c r="AG81" s="44"/>
      <c r="AI81" s="44"/>
      <c r="AJ81" s="44"/>
      <c r="AK81" s="44"/>
      <c r="AL81" s="44"/>
      <c r="AM81" s="245"/>
    </row>
    <row r="82" spans="1:39" s="187" customFormat="1" ht="12" x14ac:dyDescent="0.15">
      <c r="A82" s="170" t="s">
        <v>203</v>
      </c>
      <c r="F82" s="209"/>
      <c r="G82" s="209"/>
      <c r="H82" s="209"/>
      <c r="I82" s="209"/>
      <c r="J82" s="209"/>
      <c r="K82" s="209"/>
      <c r="L82" s="209"/>
      <c r="M82" s="202">
        <f>M81/L81-1</f>
        <v>-1.1805555555555514E-2</v>
      </c>
      <c r="N82" s="188">
        <f>N81/M81-1</f>
        <v>7.6007616639579556E-3</v>
      </c>
      <c r="O82" s="188">
        <f t="shared" ref="O82:V82" si="44">O81/N81-1</f>
        <v>4.0136860113175743E-3</v>
      </c>
      <c r="P82" s="188">
        <f t="shared" si="44"/>
        <v>4.5874565830001934E-3</v>
      </c>
      <c r="Q82" s="188">
        <f t="shared" si="44"/>
        <v>5.349337856350056E-3</v>
      </c>
      <c r="R82" s="188">
        <f t="shared" si="44"/>
        <v>7.6751629251632369E-3</v>
      </c>
      <c r="S82" s="188">
        <f t="shared" si="44"/>
        <v>8.6754073889772076E-3</v>
      </c>
      <c r="T82" s="188">
        <f t="shared" si="44"/>
        <v>8.7089733593570529E-3</v>
      </c>
      <c r="U82" s="188">
        <f t="shared" si="44"/>
        <v>9.5910894990536288E-3</v>
      </c>
      <c r="V82" s="188">
        <f t="shared" si="44"/>
        <v>8.7404962520121199E-3</v>
      </c>
      <c r="W82" s="188">
        <f t="shared" ref="W82" si="45">W81/V81-1</f>
        <v>9.6237163965120498E-3</v>
      </c>
      <c r="X82" s="188">
        <f t="shared" ref="X82" si="46">X81/W81-1</f>
        <v>8.7455736250097171E-3</v>
      </c>
      <c r="Y82" s="188">
        <f>Y81/X81-1</f>
        <v>9.6201658414400981E-3</v>
      </c>
      <c r="Z82" s="188">
        <f t="shared" ref="Z82" si="47">Z81/Y81-1</f>
        <v>9.6381865243273523E-3</v>
      </c>
      <c r="AA82" s="188"/>
      <c r="AB82" s="188"/>
      <c r="AE82" s="189"/>
      <c r="AF82" s="189"/>
      <c r="AG82" s="189"/>
      <c r="AI82" s="189"/>
      <c r="AJ82" s="189"/>
      <c r="AK82" s="189"/>
      <c r="AL82" s="189"/>
      <c r="AM82" s="247"/>
    </row>
    <row r="83" spans="1:39" s="187" customFormat="1" x14ac:dyDescent="0.2">
      <c r="A83" s="114" t="s">
        <v>359</v>
      </c>
      <c r="F83" s="209"/>
      <c r="G83" s="209"/>
      <c r="H83" s="209"/>
      <c r="I83" s="209"/>
      <c r="J83" s="209"/>
      <c r="K83" s="209"/>
      <c r="L83" s="209"/>
      <c r="M83" s="202"/>
      <c r="N83" s="188"/>
      <c r="O83" s="102">
        <f>SUM(O84:O86)</f>
        <v>71400</v>
      </c>
      <c r="P83" s="102">
        <f t="shared" ref="P83:R83" si="48">SUM(P84:P86)</f>
        <v>71400</v>
      </c>
      <c r="Q83" s="102">
        <f t="shared" si="48"/>
        <v>30600</v>
      </c>
      <c r="R83" s="102">
        <f t="shared" si="48"/>
        <v>30600</v>
      </c>
      <c r="S83" s="188"/>
      <c r="T83" s="188"/>
      <c r="U83" s="188"/>
      <c r="V83" s="188"/>
      <c r="W83" s="188"/>
      <c r="X83" s="188"/>
      <c r="Y83" s="188"/>
      <c r="Z83" s="188"/>
      <c r="AA83" s="188"/>
      <c r="AB83" s="188"/>
      <c r="AE83" s="189"/>
      <c r="AF83" s="189"/>
      <c r="AG83" s="189"/>
      <c r="AI83" s="189"/>
      <c r="AJ83" s="189"/>
      <c r="AK83" s="189"/>
      <c r="AL83" s="189"/>
      <c r="AM83" s="247"/>
    </row>
    <row r="84" spans="1:39" s="300" customFormat="1" x14ac:dyDescent="0.2">
      <c r="A84" s="299" t="s">
        <v>355</v>
      </c>
      <c r="F84" s="301"/>
      <c r="G84" s="301"/>
      <c r="H84" s="301"/>
      <c r="I84" s="301"/>
      <c r="J84" s="301"/>
      <c r="K84" s="301"/>
      <c r="L84" s="301"/>
      <c r="M84" s="302"/>
      <c r="N84" s="303"/>
      <c r="O84" s="292">
        <f>('Stimulus Round 2'!$C7*0.7*4)/2</f>
        <v>30799.999999999996</v>
      </c>
      <c r="P84" s="292">
        <f>('Stimulus Round 2'!$C7*0.7*4)/2</f>
        <v>30799.999999999996</v>
      </c>
      <c r="Q84" s="292">
        <f>('Stimulus Round 2'!$C7*0.3*4)/2</f>
        <v>13200</v>
      </c>
      <c r="R84" s="292">
        <f>('Stimulus Round 2'!$C7*0.3*4)/2</f>
        <v>13200</v>
      </c>
      <c r="S84" s="303"/>
      <c r="T84" s="303"/>
      <c r="U84" s="303"/>
      <c r="V84" s="303"/>
      <c r="W84" s="303"/>
      <c r="X84" s="303"/>
      <c r="Y84" s="303"/>
      <c r="Z84" s="303"/>
      <c r="AA84" s="303"/>
      <c r="AB84" s="303"/>
      <c r="AE84" s="304"/>
      <c r="AF84" s="304"/>
      <c r="AG84" s="304"/>
      <c r="AI84" s="304"/>
      <c r="AJ84" s="304"/>
      <c r="AK84" s="304"/>
      <c r="AL84" s="304"/>
      <c r="AM84" s="305"/>
    </row>
    <row r="85" spans="1:39" s="300" customFormat="1" x14ac:dyDescent="0.2">
      <c r="A85" s="299" t="s">
        <v>356</v>
      </c>
      <c r="F85" s="301"/>
      <c r="G85" s="301"/>
      <c r="H85" s="301"/>
      <c r="I85" s="301"/>
      <c r="J85" s="301"/>
      <c r="K85" s="301"/>
      <c r="L85" s="301"/>
      <c r="M85" s="302"/>
      <c r="N85" s="303"/>
      <c r="O85" s="292">
        <f>('Stimulus Round 2'!$C8*0.7*4)/2</f>
        <v>28000</v>
      </c>
      <c r="P85" s="292">
        <f>('Stimulus Round 2'!$C8*0.7*4)/2</f>
        <v>28000</v>
      </c>
      <c r="Q85" s="292">
        <f>('Stimulus Round 2'!$C8*0.3*4)/2</f>
        <v>12000</v>
      </c>
      <c r="R85" s="292">
        <f>('Stimulus Round 2'!$C8*0.3*4)/2</f>
        <v>12000</v>
      </c>
      <c r="S85" s="303"/>
      <c r="T85" s="303"/>
      <c r="U85" s="303"/>
      <c r="V85" s="303"/>
      <c r="W85" s="303"/>
      <c r="X85" s="303"/>
      <c r="Y85" s="303"/>
      <c r="Z85" s="303"/>
      <c r="AA85" s="303"/>
      <c r="AB85" s="303"/>
      <c r="AE85" s="304"/>
      <c r="AF85" s="304"/>
      <c r="AG85" s="304"/>
      <c r="AI85" s="304"/>
      <c r="AJ85" s="304"/>
      <c r="AK85" s="304"/>
      <c r="AL85" s="304"/>
      <c r="AM85" s="305"/>
    </row>
    <row r="86" spans="1:39" s="300" customFormat="1" x14ac:dyDescent="0.2">
      <c r="A86" s="299" t="s">
        <v>357</v>
      </c>
      <c r="F86" s="301"/>
      <c r="G86" s="301"/>
      <c r="H86" s="301"/>
      <c r="I86" s="301"/>
      <c r="J86" s="301"/>
      <c r="K86" s="301"/>
      <c r="L86" s="301"/>
      <c r="M86" s="302"/>
      <c r="N86" s="303"/>
      <c r="O86" s="292">
        <f>('Stimulus Round 2'!$C9*0.7*4)/2</f>
        <v>12600</v>
      </c>
      <c r="P86" s="292">
        <f>('Stimulus Round 2'!$C9*0.7*4)/2</f>
        <v>12600</v>
      </c>
      <c r="Q86" s="292">
        <f>('Stimulus Round 2'!$C9*0.3*4)/2</f>
        <v>5400</v>
      </c>
      <c r="R86" s="292">
        <f>('Stimulus Round 2'!$C9*0.3*4)/2</f>
        <v>5400</v>
      </c>
      <c r="S86" s="303"/>
      <c r="T86" s="303"/>
      <c r="U86" s="303"/>
      <c r="V86" s="303"/>
      <c r="W86" s="303"/>
      <c r="X86" s="303"/>
      <c r="Y86" s="303"/>
      <c r="Z86" s="303"/>
      <c r="AA86" s="303"/>
      <c r="AB86" s="303"/>
      <c r="AE86" s="304"/>
      <c r="AF86" s="304"/>
      <c r="AG86" s="304"/>
      <c r="AI86" s="304"/>
      <c r="AJ86" s="304"/>
      <c r="AK86" s="304"/>
      <c r="AL86" s="304"/>
      <c r="AM86" s="305"/>
    </row>
    <row r="87" spans="1:39" s="35" customFormat="1" x14ac:dyDescent="0.2">
      <c r="A87" s="35" t="s">
        <v>205</v>
      </c>
      <c r="B87" s="35" t="s">
        <v>283</v>
      </c>
      <c r="C87" t="s">
        <v>319</v>
      </c>
      <c r="D87"/>
      <c r="F87" s="208">
        <v>389624</v>
      </c>
      <c r="G87" s="208">
        <v>404529</v>
      </c>
      <c r="H87" s="208">
        <v>419672</v>
      </c>
      <c r="I87" s="208">
        <v>418824</v>
      </c>
      <c r="J87" s="208">
        <v>411409</v>
      </c>
      <c r="K87" s="208">
        <v>423429</v>
      </c>
      <c r="L87" s="208">
        <v>512640</v>
      </c>
      <c r="M87" s="199">
        <f>VLOOKUP(C87,'Haver NA'!$A$1:$I$34,9,0)</f>
        <v>486072</v>
      </c>
      <c r="N87" s="116">
        <f t="shared" ref="N87:S87" si="49">N94*0.74</f>
        <v>515064.18485195568</v>
      </c>
      <c r="O87" s="116">
        <f t="shared" si="49"/>
        <v>524352.6883812669</v>
      </c>
      <c r="P87" s="116">
        <f t="shared" si="49"/>
        <v>529585.15509524208</v>
      </c>
      <c r="Q87" s="116">
        <f t="shared" si="49"/>
        <v>529585.15509524208</v>
      </c>
      <c r="R87" s="116">
        <f t="shared" si="49"/>
        <v>529585.15509524208</v>
      </c>
      <c r="S87" s="116">
        <f t="shared" si="49"/>
        <v>529585.15509524208</v>
      </c>
      <c r="T87" s="116">
        <f>T94*0.68</f>
        <v>486645.81819562789</v>
      </c>
      <c r="U87" s="116">
        <f>U94*0.68</f>
        <v>486645.81819562789</v>
      </c>
      <c r="V87" s="116">
        <f>V94*0.68</f>
        <v>486645.81819562789</v>
      </c>
      <c r="W87" s="116"/>
      <c r="X87" s="116"/>
      <c r="Y87" s="116"/>
      <c r="Z87" s="116"/>
      <c r="AA87" s="116"/>
      <c r="AB87" s="116"/>
      <c r="AC87" s="44">
        <f>AVERAGE(F87:I87)/1000</f>
        <v>408.16224999999997</v>
      </c>
      <c r="AD87" s="45">
        <f>AVERAGE(J87:M87)</f>
        <v>458387.5</v>
      </c>
      <c r="AE87" s="45">
        <f>AVERAGE(N87:Q87)</f>
        <v>524646.7958559267</v>
      </c>
      <c r="AF87" s="45">
        <f>AVERAGE(R87:U87)</f>
        <v>508115.48664543498</v>
      </c>
      <c r="AH87" s="35">
        <v>409.42</v>
      </c>
      <c r="AI87" s="84">
        <f>'figuring out Medicaid'!G11</f>
        <v>466.24400000000003</v>
      </c>
      <c r="AJ87" s="84">
        <f>'figuring out Medicaid'!H11</f>
        <v>537.41499999999996</v>
      </c>
      <c r="AK87" s="84">
        <f>'figuring out Medicaid'!I11</f>
        <v>516.01800000000003</v>
      </c>
      <c r="AL87" s="84"/>
      <c r="AM87" s="243"/>
    </row>
    <row r="88" spans="1:39" s="35" customFormat="1" x14ac:dyDescent="0.2">
      <c r="A88" s="141" t="s">
        <v>161</v>
      </c>
      <c r="B88" s="141"/>
      <c r="E88" s="141"/>
      <c r="F88" s="203">
        <f t="shared" ref="F88:M88" si="50">F46+F43+F32+F38</f>
        <v>1440187</v>
      </c>
      <c r="G88" s="203">
        <f t="shared" si="50"/>
        <v>1503410</v>
      </c>
      <c r="H88" s="203">
        <f t="shared" si="50"/>
        <v>1508652</v>
      </c>
      <c r="I88" s="203">
        <f t="shared" si="50"/>
        <v>1513957</v>
      </c>
      <c r="J88" s="203">
        <f t="shared" si="50"/>
        <v>1521941</v>
      </c>
      <c r="K88" s="203">
        <f t="shared" si="50"/>
        <v>1574462</v>
      </c>
      <c r="L88" s="203">
        <f t="shared" si="50"/>
        <v>3741557.333333333</v>
      </c>
      <c r="M88" s="199">
        <f t="shared" si="50"/>
        <v>2466001</v>
      </c>
      <c r="N88" s="142">
        <f>N46+N43+N32+N38+N33+N34</f>
        <v>1966882.3341534182</v>
      </c>
      <c r="O88" s="142">
        <f t="shared" ref="O88:Z88" si="51">O46+O43+O32+O38+O33+O34+O35</f>
        <v>3089225.50685474</v>
      </c>
      <c r="P88" s="142">
        <f t="shared" si="51"/>
        <v>1856511.5519714532</v>
      </c>
      <c r="Q88" s="142">
        <f t="shared" si="51"/>
        <v>1668267.7153316673</v>
      </c>
      <c r="R88" s="142">
        <f t="shared" si="51"/>
        <v>1664571.7310616423</v>
      </c>
      <c r="S88" s="142">
        <f t="shared" si="51"/>
        <v>1669240.3070275667</v>
      </c>
      <c r="T88" s="142">
        <f t="shared" si="51"/>
        <v>1694278.91163298</v>
      </c>
      <c r="U88" s="142">
        <f t="shared" si="51"/>
        <v>1719693.0953074745</v>
      </c>
      <c r="V88" s="142">
        <f t="shared" si="51"/>
        <v>1736890.0262605492</v>
      </c>
      <c r="W88" s="142">
        <f t="shared" si="51"/>
        <v>0</v>
      </c>
      <c r="X88" s="142">
        <f t="shared" si="51"/>
        <v>0</v>
      </c>
      <c r="Y88" s="142">
        <f t="shared" si="51"/>
        <v>0</v>
      </c>
      <c r="Z88" s="142">
        <f t="shared" si="51"/>
        <v>0</v>
      </c>
      <c r="AM88" s="243"/>
    </row>
    <row r="89" spans="1:39" s="35" customFormat="1" x14ac:dyDescent="0.2">
      <c r="A89" s="141" t="s">
        <v>215</v>
      </c>
      <c r="B89" s="141"/>
      <c r="E89" s="141"/>
      <c r="F89" s="199"/>
      <c r="G89" s="199"/>
      <c r="H89" s="199"/>
      <c r="I89" s="199"/>
      <c r="J89" s="199"/>
      <c r="K89" s="199"/>
      <c r="L89" s="205">
        <f t="shared" ref="L89:Z89" si="52">L87+L31</f>
        <v>1336698</v>
      </c>
      <c r="M89" s="199">
        <f t="shared" si="52"/>
        <v>1328805</v>
      </c>
      <c r="N89" s="143">
        <f t="shared" si="52"/>
        <v>1368117.3718507844</v>
      </c>
      <c r="O89" s="143">
        <f t="shared" si="52"/>
        <v>1399852.444352445</v>
      </c>
      <c r="P89" s="143">
        <f t="shared" si="52"/>
        <v>1427806.3628181037</v>
      </c>
      <c r="Q89" s="143">
        <f t="shared" si="52"/>
        <v>1450806.0635893014</v>
      </c>
      <c r="R89" s="143">
        <f t="shared" si="52"/>
        <v>1492929.5716858052</v>
      </c>
      <c r="S89" s="143">
        <f t="shared" si="52"/>
        <v>1524430.4994929326</v>
      </c>
      <c r="T89" s="143">
        <f t="shared" si="52"/>
        <v>1514022.1565280114</v>
      </c>
      <c r="U89" s="143">
        <f t="shared" si="52"/>
        <v>1547616.8992879251</v>
      </c>
      <c r="V89" s="143">
        <f t="shared" si="52"/>
        <v>1558308.4020894403</v>
      </c>
      <c r="W89" s="143">
        <f t="shared" si="52"/>
        <v>1082461.8259487266</v>
      </c>
      <c r="X89" s="143">
        <f t="shared" si="52"/>
        <v>1093369.8929553684</v>
      </c>
      <c r="Y89" s="143">
        <f t="shared" si="52"/>
        <v>1104387.8815527481</v>
      </c>
      <c r="Z89" s="143">
        <f t="shared" si="52"/>
        <v>0</v>
      </c>
      <c r="AM89" s="243"/>
    </row>
    <row r="90" spans="1:39" s="35" customFormat="1" x14ac:dyDescent="0.2">
      <c r="F90" s="199"/>
      <c r="G90" s="199"/>
      <c r="H90" s="199"/>
      <c r="I90" s="199"/>
      <c r="J90" s="199"/>
      <c r="K90" s="199"/>
      <c r="L90" s="199"/>
      <c r="M90" s="199"/>
      <c r="AM90" s="243"/>
    </row>
    <row r="91" spans="1:39" s="35" customFormat="1" x14ac:dyDescent="0.2">
      <c r="A91" s="35" t="s">
        <v>15</v>
      </c>
      <c r="B91" s="35" t="s">
        <v>283</v>
      </c>
      <c r="C91" t="s">
        <v>320</v>
      </c>
      <c r="D91"/>
      <c r="F91" s="199">
        <v>728844</v>
      </c>
      <c r="G91" s="199">
        <v>738714</v>
      </c>
      <c r="H91" s="199">
        <v>755204</v>
      </c>
      <c r="I91" s="199">
        <v>763370</v>
      </c>
      <c r="J91" s="199">
        <v>760967</v>
      </c>
      <c r="K91" s="199">
        <v>767087</v>
      </c>
      <c r="L91" s="199">
        <v>812158</v>
      </c>
      <c r="M91" s="199">
        <f>VLOOKUP(C91,'Haver NA'!$A$1:$I$34,9,0)</f>
        <v>828480</v>
      </c>
      <c r="N91" s="133">
        <f t="shared" ref="N91:U91" si="53">N92+N94</f>
        <v>838999.96973237256</v>
      </c>
      <c r="O91" s="133">
        <f t="shared" si="53"/>
        <v>851909.41974748904</v>
      </c>
      <c r="P91" s="133">
        <f t="shared" si="53"/>
        <v>859338.63247661723</v>
      </c>
      <c r="Q91" s="133">
        <f t="shared" si="53"/>
        <v>860057.04756403249</v>
      </c>
      <c r="R91" s="133">
        <f t="shared" si="53"/>
        <v>861140.05830831092</v>
      </c>
      <c r="S91" s="133">
        <f t="shared" si="53"/>
        <v>862594.90274145827</v>
      </c>
      <c r="T91" s="133">
        <f t="shared" si="53"/>
        <v>864142.72686504154</v>
      </c>
      <c r="U91" s="133">
        <f t="shared" si="53"/>
        <v>865537.60394083988</v>
      </c>
      <c r="V91" s="133">
        <f t="shared" ref="V91" si="54">V92+V94</f>
        <v>866767.29820503015</v>
      </c>
      <c r="AM91" s="243"/>
    </row>
    <row r="92" spans="1:39" s="35" customFormat="1" x14ac:dyDescent="0.2">
      <c r="A92" s="35" t="s">
        <v>231</v>
      </c>
      <c r="F92" s="205">
        <f t="shared" ref="F92:K92" si="55">F91-F94</f>
        <v>139025</v>
      </c>
      <c r="G92" s="205">
        <f t="shared" si="55"/>
        <v>139342</v>
      </c>
      <c r="H92" s="205">
        <f t="shared" si="55"/>
        <v>140228</v>
      </c>
      <c r="I92" s="205">
        <f t="shared" si="55"/>
        <v>141105</v>
      </c>
      <c r="J92" s="205">
        <f t="shared" si="55"/>
        <v>141335</v>
      </c>
      <c r="K92" s="205">
        <f t="shared" si="55"/>
        <v>142991</v>
      </c>
      <c r="L92" s="205">
        <f>L91-L94</f>
        <v>143335</v>
      </c>
      <c r="M92" s="199">
        <f>M91-M94</f>
        <v>144777</v>
      </c>
      <c r="N92" s="133">
        <f>M92*(1+N103-0.015)</f>
        <v>142967.28749999998</v>
      </c>
      <c r="O92" s="133">
        <f t="shared" ref="O92:V92" si="56">N92*(1+O103)</f>
        <v>143324.70571874996</v>
      </c>
      <c r="P92" s="133">
        <f t="shared" si="56"/>
        <v>143683.01748304683</v>
      </c>
      <c r="Q92" s="133">
        <f t="shared" si="56"/>
        <v>144401.43257046206</v>
      </c>
      <c r="R92" s="133">
        <f t="shared" si="56"/>
        <v>145484.44331474052</v>
      </c>
      <c r="S92" s="133">
        <f t="shared" si="56"/>
        <v>146939.28774788792</v>
      </c>
      <c r="T92" s="133">
        <f t="shared" si="56"/>
        <v>148487.1118714711</v>
      </c>
      <c r="U92" s="133">
        <f t="shared" si="56"/>
        <v>149881.98894726948</v>
      </c>
      <c r="V92" s="133">
        <f t="shared" si="56"/>
        <v>151111.68321145975</v>
      </c>
      <c r="AM92" s="243"/>
    </row>
    <row r="93" spans="1:39" s="35" customFormat="1" x14ac:dyDescent="0.2">
      <c r="F93" s="205"/>
      <c r="G93" s="199"/>
      <c r="H93" s="199"/>
      <c r="I93" s="199"/>
      <c r="J93" s="199"/>
      <c r="K93" s="199"/>
      <c r="L93" s="199"/>
      <c r="M93" s="199"/>
      <c r="AM93" s="243"/>
    </row>
    <row r="94" spans="1:39" s="35" customFormat="1" x14ac:dyDescent="0.2">
      <c r="A94" s="35" t="s">
        <v>228</v>
      </c>
      <c r="B94" s="35" t="s">
        <v>283</v>
      </c>
      <c r="C94" t="s">
        <v>321</v>
      </c>
      <c r="D94"/>
      <c r="F94" s="199">
        <v>589819</v>
      </c>
      <c r="G94" s="199">
        <v>599372</v>
      </c>
      <c r="H94" s="199">
        <v>614976</v>
      </c>
      <c r="I94" s="199">
        <v>622265</v>
      </c>
      <c r="J94" s="199">
        <v>619632</v>
      </c>
      <c r="K94" s="199">
        <v>624096</v>
      </c>
      <c r="L94" s="199">
        <v>668823</v>
      </c>
      <c r="M94" s="199">
        <f>VLOOKUP(C94,'Haver NA'!$A$1:$I$34,9,0)</f>
        <v>683703</v>
      </c>
      <c r="N94" s="135">
        <f>M94*(($AJ$94/$AI$94)^0.18)</f>
        <v>696032.68223237258</v>
      </c>
      <c r="O94" s="135">
        <f>N94*(($AJ$94/$AI$94)^0.18)</f>
        <v>708584.71402873902</v>
      </c>
      <c r="P94" s="135">
        <f>O94*(($AJ$94/$AI$94)^0.1)</f>
        <v>715655.61499357037</v>
      </c>
      <c r="Q94" s="135">
        <f>P94*(1+Q95)</f>
        <v>715655.61499357037</v>
      </c>
      <c r="R94" s="135">
        <f t="shared" ref="R94:V94" si="57">Q94*(1+R95)</f>
        <v>715655.61499357037</v>
      </c>
      <c r="S94" s="135">
        <f t="shared" si="57"/>
        <v>715655.61499357037</v>
      </c>
      <c r="T94" s="135">
        <f t="shared" si="57"/>
        <v>715655.61499357037</v>
      </c>
      <c r="U94" s="135">
        <f t="shared" si="57"/>
        <v>715655.61499357037</v>
      </c>
      <c r="V94" s="135">
        <f t="shared" si="57"/>
        <v>715655.61499357037</v>
      </c>
      <c r="AD94" s="45">
        <f>AVERAGE(J94:M94)/1000</f>
        <v>649.06349999999998</v>
      </c>
      <c r="AE94" s="45">
        <f>AVERAGE(N94:Q94)/1000</f>
        <v>708.9821565620631</v>
      </c>
      <c r="AF94" s="45">
        <f>AVERAGE(R94:U94)/1000</f>
        <v>715.65561499357034</v>
      </c>
      <c r="AH94" s="84"/>
      <c r="AI94" s="84">
        <f>'figuring out Medicaid'!G13</f>
        <v>657.17435271149407</v>
      </c>
      <c r="AJ94" s="84">
        <f>'figuring out Medicaid'!H13</f>
        <v>725.7777402928042</v>
      </c>
      <c r="AK94" s="84">
        <f>'figuring out Medicaid'!I13</f>
        <v>727.33117238501666</v>
      </c>
      <c r="AL94" s="84"/>
      <c r="AM94" s="243"/>
    </row>
    <row r="95" spans="1:39" s="187" customFormat="1" x14ac:dyDescent="0.2">
      <c r="A95" s="170" t="s">
        <v>271</v>
      </c>
      <c r="F95" s="209"/>
      <c r="G95" s="209"/>
      <c r="H95" s="209"/>
      <c r="I95" s="209"/>
      <c r="J95" s="202"/>
      <c r="K95" s="202"/>
      <c r="L95" s="202"/>
      <c r="M95" s="199"/>
      <c r="N95" s="176"/>
      <c r="O95" s="176"/>
      <c r="P95" s="176"/>
      <c r="Q95" s="176">
        <v>0</v>
      </c>
      <c r="R95" s="176">
        <v>0</v>
      </c>
      <c r="S95" s="176">
        <v>0</v>
      </c>
      <c r="T95" s="176">
        <v>0</v>
      </c>
      <c r="U95" s="176">
        <v>0</v>
      </c>
      <c r="V95" s="176">
        <v>0</v>
      </c>
      <c r="W95" s="176"/>
      <c r="AM95" s="244"/>
    </row>
    <row r="96" spans="1:39" s="153" customFormat="1" x14ac:dyDescent="0.2">
      <c r="A96" s="153" t="s">
        <v>223</v>
      </c>
      <c r="F96" s="210">
        <f t="shared" ref="F96:K96" si="58">F87/F94</f>
        <v>0.66058231423538405</v>
      </c>
      <c r="G96" s="210">
        <f t="shared" si="58"/>
        <v>0.6749214177505789</v>
      </c>
      <c r="H96" s="210">
        <f t="shared" si="58"/>
        <v>0.68242012696430432</v>
      </c>
      <c r="I96" s="210">
        <f t="shared" si="58"/>
        <v>0.6730637268687778</v>
      </c>
      <c r="J96" s="210">
        <f t="shared" si="58"/>
        <v>0.66395699382859508</v>
      </c>
      <c r="K96" s="210">
        <f t="shared" si="58"/>
        <v>0.67846773573296415</v>
      </c>
      <c r="L96" s="211"/>
      <c r="M96" s="199"/>
      <c r="AD96" s="154"/>
      <c r="AE96" s="154"/>
      <c r="AF96" s="154"/>
      <c r="AH96" s="155"/>
      <c r="AI96" s="155"/>
      <c r="AJ96" s="155"/>
      <c r="AM96" s="248"/>
    </row>
    <row r="97" spans="1:39" s="35" customFormat="1" x14ac:dyDescent="0.2">
      <c r="A97" s="35" t="s">
        <v>18</v>
      </c>
      <c r="B97" s="35" t="s">
        <v>283</v>
      </c>
      <c r="C97" t="s">
        <v>322</v>
      </c>
      <c r="D97"/>
      <c r="F97" s="199">
        <v>1997.1</v>
      </c>
      <c r="G97" s="199">
        <v>2012.7</v>
      </c>
      <c r="H97" s="199">
        <v>2025.5</v>
      </c>
      <c r="I97" s="199">
        <v>2028.3</v>
      </c>
      <c r="J97" s="199">
        <v>2035.6</v>
      </c>
      <c r="K97" s="199">
        <v>2041</v>
      </c>
      <c r="L97" s="199">
        <v>2013.1</v>
      </c>
      <c r="M97" s="199">
        <f>VLOOKUP(C97,'Haver NA'!$A$1:$I$34,9,0)/1000</f>
        <v>1993.0509999999999</v>
      </c>
      <c r="N97" s="35">
        <f>M97*(1+N99)</f>
        <v>2032.0348826405864</v>
      </c>
      <c r="O97" s="35">
        <f t="shared" ref="O97:V97" si="59">N97*(1+O99)</f>
        <v>2057.6710228553202</v>
      </c>
      <c r="P97" s="35">
        <f t="shared" si="59"/>
        <v>2080.1291291591365</v>
      </c>
      <c r="Q97" s="35">
        <f t="shared" si="59"/>
        <v>2094.9599540767508</v>
      </c>
      <c r="R97" s="35">
        <f t="shared" si="59"/>
        <v>2105.235597055384</v>
      </c>
      <c r="S97" s="35">
        <f t="shared" si="59"/>
        <v>2115.4053055703198</v>
      </c>
      <c r="T97" s="35">
        <f t="shared" si="59"/>
        <v>2122.8207180291274</v>
      </c>
      <c r="U97" s="35">
        <f t="shared" si="59"/>
        <v>2127.375899968109</v>
      </c>
      <c r="V97" s="35">
        <f t="shared" si="59"/>
        <v>2129.0708513872651</v>
      </c>
      <c r="AM97" s="243"/>
    </row>
    <row r="98" spans="1:39" s="187" customFormat="1" x14ac:dyDescent="0.2">
      <c r="A98" s="170" t="s">
        <v>287</v>
      </c>
      <c r="B98" s="35"/>
      <c r="C98" s="35"/>
      <c r="D98" s="35"/>
      <c r="F98" s="202"/>
      <c r="G98" s="202">
        <f t="shared" ref="G98:L98" si="60">(G97/F97)-1</f>
        <v>7.8113264233139468E-3</v>
      </c>
      <c r="H98" s="202">
        <f t="shared" si="60"/>
        <v>6.3596164356336526E-3</v>
      </c>
      <c r="I98" s="202">
        <f t="shared" si="60"/>
        <v>1.3823747222907468E-3</v>
      </c>
      <c r="J98" s="202">
        <f t="shared" si="60"/>
        <v>3.5990731154167399E-3</v>
      </c>
      <c r="K98" s="202">
        <f t="shared" si="60"/>
        <v>2.6527805069758159E-3</v>
      </c>
      <c r="L98" s="202">
        <f t="shared" si="60"/>
        <v>-1.36697697207252E-2</v>
      </c>
      <c r="M98" s="202">
        <f>(M97/L97)-1</f>
        <v>-9.9592668024439668E-3</v>
      </c>
      <c r="N98" s="262"/>
      <c r="O98" s="262"/>
      <c r="P98" s="262"/>
      <c r="Q98" s="262"/>
      <c r="R98" s="262"/>
      <c r="S98" s="262"/>
      <c r="T98" s="262"/>
      <c r="U98" s="262"/>
      <c r="V98" s="262"/>
      <c r="W98" s="262"/>
      <c r="X98" s="262"/>
      <c r="Y98" s="262"/>
      <c r="AM98" s="244"/>
    </row>
    <row r="99" spans="1:39" s="187" customFormat="1" x14ac:dyDescent="0.2">
      <c r="A99" s="170" t="s">
        <v>288</v>
      </c>
      <c r="B99" s="35" t="s">
        <v>283</v>
      </c>
      <c r="C99" s="35"/>
      <c r="D99" s="35"/>
      <c r="F99" s="209"/>
      <c r="G99" s="209"/>
      <c r="H99" s="209"/>
      <c r="I99" s="209"/>
      <c r="J99" s="202"/>
      <c r="K99" s="202"/>
      <c r="L99" s="202"/>
      <c r="M99" s="199"/>
      <c r="N99" s="198">
        <v>1.95599022004889E-2</v>
      </c>
      <c r="O99" s="198">
        <v>1.26159941611927E-2</v>
      </c>
      <c r="P99" s="198">
        <v>1.0914332784184499E-2</v>
      </c>
      <c r="Q99" s="198">
        <v>7.1297616622529904E-3</v>
      </c>
      <c r="R99" s="198">
        <v>4.9049352750809598E-3</v>
      </c>
      <c r="S99" s="198">
        <v>4.8306747848840797E-3</v>
      </c>
      <c r="T99" s="198">
        <v>3.5054334218038701E-3</v>
      </c>
      <c r="U99" s="198">
        <v>2.14581565946403E-3</v>
      </c>
      <c r="V99" s="198">
        <v>7.9673339308827796E-4</v>
      </c>
      <c r="W99" s="198">
        <v>3.9804955716982198E-4</v>
      </c>
      <c r="X99" s="198">
        <v>1.1439371331942701E-3</v>
      </c>
      <c r="Y99" s="198">
        <v>8.9423220229512001E-4</v>
      </c>
      <c r="AM99" s="244"/>
    </row>
    <row r="100" spans="1:39" s="35" customFormat="1" x14ac:dyDescent="0.2">
      <c r="A100" s="35" t="s">
        <v>217</v>
      </c>
      <c r="B100" s="35" t="s">
        <v>283</v>
      </c>
      <c r="C100" t="s">
        <v>323</v>
      </c>
      <c r="D100"/>
      <c r="F100" s="199"/>
      <c r="G100" s="199"/>
      <c r="H100" s="199"/>
      <c r="I100" s="199"/>
      <c r="J100" s="199">
        <v>2357.4</v>
      </c>
      <c r="K100" s="199">
        <v>2381.6</v>
      </c>
      <c r="L100" s="199">
        <v>2334.5</v>
      </c>
      <c r="M100" s="199">
        <f>VLOOKUP(C100,'Haver NA'!$A$1:$I$34,9,0)/1000</f>
        <v>2329.605</v>
      </c>
      <c r="N100">
        <v>2431.4160000000002</v>
      </c>
      <c r="O100">
        <v>2469.9411956560398</v>
      </c>
      <c r="P100">
        <v>2511.3882460388099</v>
      </c>
      <c r="Q100">
        <v>2543.4204311910298</v>
      </c>
      <c r="R100">
        <v>2569.93355741499</v>
      </c>
      <c r="S100">
        <v>2599.1521046822099</v>
      </c>
      <c r="T100">
        <v>2626.53096564002</v>
      </c>
      <c r="U100">
        <v>2651.2044055545698</v>
      </c>
      <c r="V100">
        <v>2672.95599074239</v>
      </c>
      <c r="W100">
        <v>2693.9500580381</v>
      </c>
      <c r="X100">
        <v>2717.3248958518798</v>
      </c>
      <c r="Y100">
        <v>2740.4832999822002</v>
      </c>
      <c r="AM100" s="243"/>
    </row>
    <row r="101" spans="1:39" s="35" customFormat="1" x14ac:dyDescent="0.2">
      <c r="F101" s="199"/>
      <c r="G101" s="199"/>
      <c r="H101" s="199"/>
      <c r="I101" s="199"/>
      <c r="J101" s="199"/>
      <c r="K101" s="199"/>
      <c r="L101" s="199"/>
      <c r="M101" s="199"/>
      <c r="N101">
        <f>M100*(1+N103)</f>
        <v>2335.4290124999998</v>
      </c>
      <c r="O101">
        <f>N101*(1+O103)</f>
        <v>2341.2675850312498</v>
      </c>
      <c r="P101">
        <f t="shared" ref="P101:V101" si="61">O101*(1+P103)</f>
        <v>2347.1207539938277</v>
      </c>
      <c r="Q101">
        <f t="shared" si="61"/>
        <v>2358.8563577637965</v>
      </c>
      <c r="R101">
        <f t="shared" si="61"/>
        <v>2376.5477804470252</v>
      </c>
      <c r="S101">
        <f t="shared" si="61"/>
        <v>2400.3132582514954</v>
      </c>
      <c r="T101">
        <f t="shared" si="61"/>
        <v>2425.5975972613091</v>
      </c>
      <c r="U101">
        <f t="shared" si="61"/>
        <v>2448.3834837997988</v>
      </c>
      <c r="V101">
        <f t="shared" si="61"/>
        <v>2468.4710416692506</v>
      </c>
      <c r="W101"/>
      <c r="X101"/>
      <c r="Y101"/>
      <c r="AM101" s="243"/>
    </row>
    <row r="102" spans="1:39" s="187" customFormat="1" x14ac:dyDescent="0.2">
      <c r="A102" s="170" t="s">
        <v>287</v>
      </c>
      <c r="B102" s="35"/>
      <c r="C102" s="35"/>
      <c r="D102" s="35"/>
      <c r="F102" s="202"/>
      <c r="G102" s="202"/>
      <c r="H102" s="202"/>
      <c r="I102" s="202"/>
      <c r="J102" s="202"/>
      <c r="K102" s="202">
        <f t="shared" ref="K102" si="62">(K100/J100)-1</f>
        <v>1.0265546788835067E-2</v>
      </c>
      <c r="L102" s="202">
        <f t="shared" ref="L102" si="63">(L100/K100)-1</f>
        <v>-1.9776620759153429E-2</v>
      </c>
      <c r="M102" s="202">
        <f>(((M100/L100))^4)-1</f>
        <v>-8.3608921686818549E-3</v>
      </c>
      <c r="N102" s="262"/>
      <c r="O102" s="262"/>
      <c r="P102" s="262"/>
      <c r="Q102" s="262"/>
      <c r="R102" s="262"/>
      <c r="S102" s="262"/>
      <c r="T102" s="262"/>
      <c r="U102" s="262"/>
      <c r="V102" s="262"/>
      <c r="W102" s="262"/>
      <c r="X102" s="262"/>
      <c r="Y102" s="262"/>
      <c r="AM102" s="244"/>
    </row>
    <row r="103" spans="1:39" s="187" customFormat="1" x14ac:dyDescent="0.2">
      <c r="A103" s="170" t="s">
        <v>288</v>
      </c>
      <c r="F103" s="209"/>
      <c r="G103" s="209"/>
      <c r="H103" s="209"/>
      <c r="I103" s="209"/>
      <c r="J103" s="209"/>
      <c r="K103" s="202"/>
      <c r="L103" s="202"/>
      <c r="M103" s="199"/>
      <c r="N103" s="176">
        <v>2.5000000000000001E-3</v>
      </c>
      <c r="O103" s="176">
        <v>2.5000000000000001E-3</v>
      </c>
      <c r="P103" s="176">
        <v>2.5000000000000001E-3</v>
      </c>
      <c r="Q103" s="176">
        <v>5.0000000000000001E-3</v>
      </c>
      <c r="R103" s="176">
        <v>7.4999999999999997E-3</v>
      </c>
      <c r="S103" s="176">
        <v>0.01</v>
      </c>
      <c r="T103" s="176">
        <f>T100/S100-1</f>
        <v>1.053376634191161E-2</v>
      </c>
      <c r="U103" s="176">
        <f>U100/T100-1</f>
        <v>9.3939269086582566E-3</v>
      </c>
      <c r="V103" s="176">
        <f>V100/U100-1</f>
        <v>8.2044165067951536E-3</v>
      </c>
      <c r="AM103" s="244"/>
    </row>
    <row r="104" spans="1:39" s="187" customFormat="1" x14ac:dyDescent="0.2">
      <c r="A104" s="265" t="s">
        <v>263</v>
      </c>
      <c r="F104" s="209"/>
      <c r="G104" s="209"/>
      <c r="H104" s="209"/>
      <c r="I104" s="209"/>
      <c r="J104" s="209"/>
      <c r="K104" s="202"/>
      <c r="L104" s="202"/>
      <c r="M104" s="199"/>
      <c r="N104" s="176"/>
      <c r="O104" s="176"/>
      <c r="P104" s="176"/>
      <c r="Q104" s="176"/>
      <c r="R104" s="176"/>
      <c r="S104" s="176"/>
      <c r="T104" s="176"/>
      <c r="U104" s="176"/>
      <c r="V104" s="176"/>
      <c r="AM104" s="244"/>
    </row>
    <row r="105" spans="1:39" s="35" customFormat="1" x14ac:dyDescent="0.2">
      <c r="A105" s="35" t="s">
        <v>164</v>
      </c>
      <c r="F105" s="203">
        <f t="shared" ref="F105:Y105" si="64">F91+F42-F87</f>
        <v>339220</v>
      </c>
      <c r="G105" s="203">
        <f t="shared" si="64"/>
        <v>334185</v>
      </c>
      <c r="H105" s="203">
        <f t="shared" si="64"/>
        <v>335532</v>
      </c>
      <c r="I105" s="203">
        <f t="shared" si="64"/>
        <v>344546</v>
      </c>
      <c r="J105" s="203">
        <f t="shared" si="64"/>
        <v>349558</v>
      </c>
      <c r="K105" s="203">
        <f t="shared" si="64"/>
        <v>343658</v>
      </c>
      <c r="L105" s="203">
        <f t="shared" si="64"/>
        <v>548584.66666666674</v>
      </c>
      <c r="M105" s="199">
        <f t="shared" si="64"/>
        <v>528408</v>
      </c>
      <c r="N105" s="223">
        <f t="shared" si="64"/>
        <v>410935.78488041688</v>
      </c>
      <c r="O105" s="223">
        <f t="shared" si="64"/>
        <v>387556.73136622214</v>
      </c>
      <c r="P105" s="223">
        <f t="shared" si="64"/>
        <v>373753.47738137515</v>
      </c>
      <c r="Q105" s="223">
        <f t="shared" si="64"/>
        <v>374471.89246879041</v>
      </c>
      <c r="R105" s="223">
        <f t="shared" si="64"/>
        <v>375554.90321306884</v>
      </c>
      <c r="S105" s="223">
        <f t="shared" si="64"/>
        <v>377009.74764621619</v>
      </c>
      <c r="T105" s="223">
        <f t="shared" si="64"/>
        <v>421496.90866941365</v>
      </c>
      <c r="U105" s="223">
        <f t="shared" si="64"/>
        <v>422891.78574521199</v>
      </c>
      <c r="V105" s="223">
        <f t="shared" si="64"/>
        <v>424121.48000940226</v>
      </c>
      <c r="W105" s="223">
        <f t="shared" si="64"/>
        <v>0</v>
      </c>
      <c r="X105" s="223">
        <f t="shared" si="64"/>
        <v>0</v>
      </c>
      <c r="Y105" s="223">
        <f t="shared" si="64"/>
        <v>0</v>
      </c>
      <c r="AM105" s="243"/>
    </row>
    <row r="106" spans="1:39" s="35" customFormat="1" x14ac:dyDescent="0.2">
      <c r="A106" s="141" t="s">
        <v>214</v>
      </c>
      <c r="B106" s="141"/>
      <c r="E106" s="141"/>
      <c r="F106" s="203">
        <f t="shared" ref="F106:K106" si="65">F94-F87</f>
        <v>200195</v>
      </c>
      <c r="G106" s="203">
        <f t="shared" si="65"/>
        <v>194843</v>
      </c>
      <c r="H106" s="203">
        <f t="shared" si="65"/>
        <v>195304</v>
      </c>
      <c r="I106" s="203">
        <f t="shared" si="65"/>
        <v>203441</v>
      </c>
      <c r="J106" s="203">
        <f t="shared" si="65"/>
        <v>208223</v>
      </c>
      <c r="K106" s="203">
        <f t="shared" si="65"/>
        <v>200667</v>
      </c>
      <c r="L106" s="203">
        <f>L94-L87</f>
        <v>156183</v>
      </c>
      <c r="M106" s="199">
        <f t="shared" ref="M106:Y106" si="66">M94-M87</f>
        <v>197631</v>
      </c>
      <c r="N106" s="142">
        <f t="shared" si="66"/>
        <v>180968.4973804169</v>
      </c>
      <c r="O106" s="142">
        <f t="shared" si="66"/>
        <v>184232.02564747212</v>
      </c>
      <c r="P106" s="142">
        <f t="shared" si="66"/>
        <v>186070.45989832829</v>
      </c>
      <c r="Q106" s="142">
        <f t="shared" si="66"/>
        <v>186070.45989832829</v>
      </c>
      <c r="R106" s="142">
        <f t="shared" si="66"/>
        <v>186070.45989832829</v>
      </c>
      <c r="S106" s="142">
        <f t="shared" si="66"/>
        <v>186070.45989832829</v>
      </c>
      <c r="T106" s="142">
        <f t="shared" si="66"/>
        <v>229009.79679794249</v>
      </c>
      <c r="U106" s="142">
        <f t="shared" si="66"/>
        <v>229009.79679794249</v>
      </c>
      <c r="V106" s="142">
        <f t="shared" si="66"/>
        <v>229009.79679794249</v>
      </c>
      <c r="W106" s="142">
        <f t="shared" si="66"/>
        <v>0</v>
      </c>
      <c r="X106" s="142">
        <f t="shared" si="66"/>
        <v>0</v>
      </c>
      <c r="Y106" s="142">
        <f t="shared" si="66"/>
        <v>0</v>
      </c>
      <c r="AM106" s="243"/>
    </row>
    <row r="107" spans="1:39" s="141" customFormat="1" x14ac:dyDescent="0.2">
      <c r="A107" s="141" t="s">
        <v>232</v>
      </c>
      <c r="C107" s="35"/>
      <c r="D107" s="35"/>
      <c r="F107" s="203">
        <f t="shared" ref="F107:K107" si="67">F105-F106</f>
        <v>139025</v>
      </c>
      <c r="G107" s="203">
        <f t="shared" si="67"/>
        <v>139342</v>
      </c>
      <c r="H107" s="203">
        <f t="shared" si="67"/>
        <v>140228</v>
      </c>
      <c r="I107" s="203">
        <f t="shared" si="67"/>
        <v>141105</v>
      </c>
      <c r="J107" s="203">
        <f t="shared" si="67"/>
        <v>141335</v>
      </c>
      <c r="K107" s="203">
        <f t="shared" si="67"/>
        <v>142991</v>
      </c>
      <c r="L107" s="203">
        <f>L105-L106</f>
        <v>392401.66666666674</v>
      </c>
      <c r="M107" s="203">
        <f>M105-M106</f>
        <v>330777</v>
      </c>
      <c r="N107" s="142">
        <f t="shared" ref="N107:Y107" si="68">N105-N106</f>
        <v>229967.28749999998</v>
      </c>
      <c r="O107" s="142">
        <f t="shared" si="68"/>
        <v>203324.70571875002</v>
      </c>
      <c r="P107" s="142">
        <f t="shared" si="68"/>
        <v>187683.01748304686</v>
      </c>
      <c r="Q107" s="142">
        <f t="shared" si="68"/>
        <v>188401.43257046212</v>
      </c>
      <c r="R107" s="142">
        <f t="shared" si="68"/>
        <v>189484.44331474055</v>
      </c>
      <c r="S107" s="142">
        <f t="shared" si="68"/>
        <v>190939.28774788789</v>
      </c>
      <c r="T107" s="142">
        <f t="shared" si="68"/>
        <v>192487.11187147116</v>
      </c>
      <c r="U107" s="142">
        <f t="shared" si="68"/>
        <v>193881.98894726951</v>
      </c>
      <c r="V107" s="142">
        <f t="shared" si="68"/>
        <v>195111.68321145978</v>
      </c>
      <c r="W107" s="142">
        <f t="shared" si="68"/>
        <v>0</v>
      </c>
      <c r="X107" s="142">
        <f t="shared" si="68"/>
        <v>0</v>
      </c>
      <c r="Y107" s="142">
        <f t="shared" si="68"/>
        <v>0</v>
      </c>
      <c r="AM107" s="267"/>
    </row>
    <row r="108" spans="1:39" s="35" customFormat="1" x14ac:dyDescent="0.2">
      <c r="A108"/>
      <c r="F108" s="220"/>
      <c r="G108" s="220"/>
      <c r="H108" s="220"/>
      <c r="I108" s="220"/>
      <c r="J108" s="220"/>
      <c r="K108" s="220"/>
      <c r="L108" s="135"/>
      <c r="M108" s="135"/>
      <c r="N108" s="94"/>
      <c r="O108" s="94"/>
      <c r="P108" s="94"/>
      <c r="Q108" s="94"/>
      <c r="R108" s="94"/>
      <c r="S108" s="94"/>
      <c r="T108" s="94"/>
      <c r="U108" s="94"/>
      <c r="V108"/>
      <c r="AM108" s="243"/>
    </row>
    <row r="109" spans="1:39" s="187" customFormat="1" x14ac:dyDescent="0.2">
      <c r="A109" s="170"/>
      <c r="F109" s="195"/>
      <c r="G109" s="195"/>
      <c r="H109" s="195"/>
      <c r="I109" s="195"/>
      <c r="J109" s="195"/>
      <c r="K109" s="195"/>
      <c r="L109" s="195"/>
      <c r="M109" s="221"/>
      <c r="N109" s="195"/>
      <c r="O109" s="195"/>
      <c r="P109" s="195"/>
      <c r="Q109" s="195"/>
      <c r="R109" s="195"/>
      <c r="S109" s="195"/>
      <c r="T109" s="195"/>
      <c r="U109" s="195"/>
      <c r="AM109" s="244"/>
    </row>
    <row r="110" spans="1:39" x14ac:dyDescent="0.2">
      <c r="A110" t="s">
        <v>158</v>
      </c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</row>
    <row r="111" spans="1:39" x14ac:dyDescent="0.2"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</row>
    <row r="112" spans="1:39" x14ac:dyDescent="0.2"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</row>
    <row r="113" spans="12:35" x14ac:dyDescent="0.2"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</row>
    <row r="114" spans="12:35" x14ac:dyDescent="0.2"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</row>
    <row r="115" spans="12:35" x14ac:dyDescent="0.2"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</row>
  </sheetData>
  <mergeCells count="12">
    <mergeCell ref="A4:B4"/>
    <mergeCell ref="F2:I2"/>
    <mergeCell ref="A1:B1"/>
    <mergeCell ref="AM1:AP1"/>
    <mergeCell ref="AD2:AF2"/>
    <mergeCell ref="J2:M2"/>
    <mergeCell ref="N2:Q2"/>
    <mergeCell ref="R2:U2"/>
    <mergeCell ref="AD1:AF1"/>
    <mergeCell ref="AI2:AK2"/>
    <mergeCell ref="AI1:AL1"/>
    <mergeCell ref="V2:Y2"/>
  </mergeCells>
  <pageMargins left="0.7" right="0.7" top="0.75" bottom="0.75" header="0.3" footer="0.3"/>
  <pageSetup orientation="portrait" r:id="rId1"/>
  <ignoredErrors>
    <ignoredError sqref="AC18 AC12:AC16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06B7-5C89-488A-A410-11679BA03DE7}">
  <dimension ref="A1:C21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25.5" bestFit="1" customWidth="1"/>
    <col min="2" max="2" width="8" bestFit="1" customWidth="1"/>
    <col min="3" max="3" width="11.1640625" bestFit="1" customWidth="1"/>
  </cols>
  <sheetData>
    <row r="1" spans="1:3" x14ac:dyDescent="0.2">
      <c r="A1" s="97" t="s">
        <v>358</v>
      </c>
      <c r="B1" s="97" t="s">
        <v>360</v>
      </c>
      <c r="C1" s="97" t="s">
        <v>361</v>
      </c>
    </row>
    <row r="2" spans="1:3" x14ac:dyDescent="0.2">
      <c r="A2" s="306" t="s">
        <v>363</v>
      </c>
      <c r="B2" s="306">
        <v>325</v>
      </c>
      <c r="C2" s="307">
        <f>B2*1000</f>
        <v>325000</v>
      </c>
    </row>
    <row r="3" spans="1:3" x14ac:dyDescent="0.2">
      <c r="A3" s="306" t="s">
        <v>364</v>
      </c>
      <c r="B3" s="306">
        <v>120</v>
      </c>
      <c r="C3" s="307">
        <f t="shared" ref="C3:C20" si="0">B3*1000</f>
        <v>120000</v>
      </c>
    </row>
    <row r="4" spans="1:3" x14ac:dyDescent="0.2">
      <c r="A4" s="306" t="s">
        <v>20</v>
      </c>
      <c r="B4" s="306">
        <v>166</v>
      </c>
      <c r="C4" s="307">
        <f t="shared" si="0"/>
        <v>166000</v>
      </c>
    </row>
    <row r="5" spans="1:3" x14ac:dyDescent="0.2">
      <c r="A5" s="306" t="s">
        <v>199</v>
      </c>
      <c r="B5" s="306">
        <v>82</v>
      </c>
      <c r="C5" s="307">
        <f t="shared" si="0"/>
        <v>82000</v>
      </c>
    </row>
    <row r="6" spans="1:3" x14ac:dyDescent="0.2">
      <c r="A6" s="306" t="s">
        <v>365</v>
      </c>
      <c r="B6" s="306">
        <v>63</v>
      </c>
      <c r="C6" s="307">
        <f t="shared" si="0"/>
        <v>63000</v>
      </c>
    </row>
    <row r="7" spans="1:3" x14ac:dyDescent="0.2">
      <c r="A7" s="308" t="s">
        <v>355</v>
      </c>
      <c r="B7">
        <v>22</v>
      </c>
      <c r="C7" s="307">
        <f>B7*1000</f>
        <v>22000</v>
      </c>
    </row>
    <row r="8" spans="1:3" x14ac:dyDescent="0.2">
      <c r="A8" s="177" t="s">
        <v>356</v>
      </c>
      <c r="B8">
        <v>20</v>
      </c>
      <c r="C8" s="307">
        <f>B8*1000</f>
        <v>20000</v>
      </c>
    </row>
    <row r="9" spans="1:3" x14ac:dyDescent="0.2">
      <c r="A9" s="177" t="s">
        <v>357</v>
      </c>
      <c r="B9">
        <v>9</v>
      </c>
      <c r="C9" s="307">
        <f>B9*1000</f>
        <v>9000</v>
      </c>
    </row>
    <row r="10" spans="1:3" x14ac:dyDescent="0.2">
      <c r="A10" s="308" t="s">
        <v>58</v>
      </c>
      <c r="B10" s="306">
        <f>B6-SUM(B7:B9)</f>
        <v>12</v>
      </c>
      <c r="C10" s="307">
        <f t="shared" si="0"/>
        <v>12000</v>
      </c>
    </row>
    <row r="11" spans="1:3" x14ac:dyDescent="0.2">
      <c r="A11" s="309" t="s">
        <v>366</v>
      </c>
      <c r="B11" s="306">
        <v>45</v>
      </c>
      <c r="C11" s="307">
        <f t="shared" si="0"/>
        <v>45000</v>
      </c>
    </row>
    <row r="12" spans="1:3" x14ac:dyDescent="0.2">
      <c r="A12" s="308" t="s">
        <v>367</v>
      </c>
      <c r="B12" s="306">
        <v>16</v>
      </c>
      <c r="C12" s="307">
        <f t="shared" si="0"/>
        <v>16000</v>
      </c>
    </row>
    <row r="13" spans="1:3" x14ac:dyDescent="0.2">
      <c r="A13" s="308" t="s">
        <v>58</v>
      </c>
      <c r="B13" s="306">
        <f>B11-B12</f>
        <v>29</v>
      </c>
      <c r="C13" s="307">
        <f t="shared" si="0"/>
        <v>29000</v>
      </c>
    </row>
    <row r="14" spans="1:3" x14ac:dyDescent="0.2">
      <c r="A14" s="309" t="s">
        <v>368</v>
      </c>
      <c r="B14" s="306">
        <v>80</v>
      </c>
      <c r="C14" s="307">
        <f t="shared" si="0"/>
        <v>80000</v>
      </c>
    </row>
    <row r="15" spans="1:3" x14ac:dyDescent="0.2">
      <c r="A15" s="308" t="s">
        <v>349</v>
      </c>
      <c r="B15" s="306">
        <v>26</v>
      </c>
      <c r="C15" s="307">
        <f t="shared" si="0"/>
        <v>26000</v>
      </c>
    </row>
    <row r="16" spans="1:3" x14ac:dyDescent="0.2">
      <c r="A16" s="308" t="s">
        <v>58</v>
      </c>
      <c r="B16">
        <f>B14-B15</f>
        <v>54</v>
      </c>
      <c r="C16" s="307">
        <f t="shared" si="0"/>
        <v>54000</v>
      </c>
    </row>
    <row r="17" spans="1:3" x14ac:dyDescent="0.2">
      <c r="A17" s="309" t="s">
        <v>369</v>
      </c>
      <c r="B17">
        <v>30</v>
      </c>
      <c r="C17" s="307">
        <f t="shared" si="0"/>
        <v>30000</v>
      </c>
    </row>
    <row r="18" spans="1:3" x14ac:dyDescent="0.2">
      <c r="A18" s="308" t="s">
        <v>370</v>
      </c>
      <c r="B18">
        <v>20</v>
      </c>
      <c r="C18" s="307">
        <f t="shared" si="0"/>
        <v>20000</v>
      </c>
    </row>
    <row r="19" spans="1:3" x14ac:dyDescent="0.2">
      <c r="A19" s="308" t="s">
        <v>371</v>
      </c>
      <c r="B19">
        <v>5</v>
      </c>
      <c r="C19" s="307">
        <f t="shared" si="0"/>
        <v>5000</v>
      </c>
    </row>
    <row r="20" spans="1:3" ht="16" thickBot="1" x14ac:dyDescent="0.25">
      <c r="A20" s="310" t="s">
        <v>372</v>
      </c>
      <c r="B20" s="311">
        <v>5</v>
      </c>
      <c r="C20" s="312">
        <f t="shared" si="0"/>
        <v>5000</v>
      </c>
    </row>
    <row r="21" spans="1:3" x14ac:dyDescent="0.2">
      <c r="A21" s="309" t="s">
        <v>34</v>
      </c>
      <c r="B21">
        <f>B2+B3+B4+B5+B6+B11+B14+B17</f>
        <v>911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F76"/>
  <sheetViews>
    <sheetView zoomScale="130" zoomScaleNormal="130" workbookViewId="0">
      <pane xSplit="2" ySplit="8" topLeftCell="C48" activePane="bottomRight" state="frozen"/>
      <selection pane="topRight" activeCell="C1" sqref="C1"/>
      <selection pane="bottomLeft" activeCell="A9" sqref="A9"/>
      <selection pane="bottomRight" activeCell="G65" sqref="G65"/>
    </sheetView>
  </sheetViews>
  <sheetFormatPr baseColWidth="10" defaultColWidth="8.83203125" defaultRowHeight="15" x14ac:dyDescent="0.2"/>
  <cols>
    <col min="2" max="2" width="23.6640625" customWidth="1"/>
    <col min="4" max="4" width="10.33203125" bestFit="1" customWidth="1"/>
    <col min="5" max="6" width="9.33203125" bestFit="1" customWidth="1"/>
    <col min="7" max="7" width="9.1640625" style="146" customWidth="1"/>
    <col min="8" max="10" width="9.33203125" style="95" bestFit="1" customWidth="1"/>
    <col min="11" max="11" width="9.33203125" style="146" bestFit="1" customWidth="1"/>
    <col min="13" max="14" width="8.6640625" customWidth="1"/>
    <col min="15" max="15" width="8.6640625" style="146"/>
    <col min="19" max="19" width="8.6640625" style="146"/>
    <col min="23" max="23" width="8.6640625" style="146"/>
    <col min="27" max="27" width="8.6640625" style="146"/>
  </cols>
  <sheetData>
    <row r="1" spans="1:27" ht="19" x14ac:dyDescent="0.25">
      <c r="A1" s="320" t="s">
        <v>208</v>
      </c>
      <c r="B1" s="321"/>
      <c r="C1" s="35"/>
      <c r="H1"/>
      <c r="I1" s="250"/>
      <c r="J1" s="328" t="s">
        <v>282</v>
      </c>
      <c r="V1" s="315"/>
      <c r="W1" s="315"/>
      <c r="X1" s="315"/>
      <c r="Y1" s="315"/>
    </row>
    <row r="2" spans="1:27" x14ac:dyDescent="0.2">
      <c r="A2" s="322" t="s">
        <v>192</v>
      </c>
      <c r="B2" s="126"/>
      <c r="C2" t="s">
        <v>193</v>
      </c>
      <c r="I2" s="251"/>
      <c r="J2" s="328"/>
    </row>
    <row r="3" spans="1:27" x14ac:dyDescent="0.2">
      <c r="A3" s="323"/>
      <c r="B3" s="127"/>
      <c r="C3" t="s">
        <v>194</v>
      </c>
      <c r="I3" s="251"/>
      <c r="J3" s="328"/>
    </row>
    <row r="4" spans="1:27" x14ac:dyDescent="0.2">
      <c r="A4" s="323"/>
      <c r="B4" s="128"/>
      <c r="C4" t="s">
        <v>195</v>
      </c>
    </row>
    <row r="5" spans="1:27" x14ac:dyDescent="0.2">
      <c r="A5" s="324"/>
      <c r="B5" s="129"/>
      <c r="C5" t="s">
        <v>182</v>
      </c>
    </row>
    <row r="7" spans="1:27" x14ac:dyDescent="0.2">
      <c r="C7" s="325" t="s">
        <v>160</v>
      </c>
      <c r="D7" s="326"/>
      <c r="E7" s="326"/>
      <c r="F7" s="327"/>
      <c r="G7" s="325" t="s">
        <v>166</v>
      </c>
      <c r="H7" s="326"/>
      <c r="I7" s="326"/>
      <c r="J7" s="327"/>
      <c r="K7" s="325" t="s">
        <v>177</v>
      </c>
      <c r="L7" s="326"/>
      <c r="M7" s="326"/>
      <c r="N7" s="326"/>
      <c r="O7" s="325" t="s">
        <v>272</v>
      </c>
      <c r="P7" s="326"/>
      <c r="Q7" s="326"/>
      <c r="R7" s="326"/>
      <c r="S7" s="325" t="s">
        <v>276</v>
      </c>
      <c r="T7" s="326"/>
      <c r="U7" s="326"/>
      <c r="V7" s="326"/>
      <c r="W7" s="325" t="s">
        <v>277</v>
      </c>
      <c r="X7" s="326"/>
      <c r="Y7" s="326"/>
      <c r="Z7" s="326"/>
      <c r="AA7" s="231" t="s">
        <v>278</v>
      </c>
    </row>
    <row r="8" spans="1:27" s="2" customFormat="1" x14ac:dyDescent="0.2">
      <c r="B8" s="2" t="s">
        <v>200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" customFormat="1" ht="19" x14ac:dyDescent="0.25">
      <c r="A9" s="106" t="s">
        <v>165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ht="16" x14ac:dyDescent="0.2">
      <c r="B10" s="86" t="s">
        <v>171</v>
      </c>
      <c r="D10">
        <v>200.67099999999999</v>
      </c>
      <c r="E10">
        <v>156.16</v>
      </c>
      <c r="F10">
        <v>197.62799999999999</v>
      </c>
      <c r="G10">
        <v>205.16985704695401</v>
      </c>
      <c r="H10">
        <v>212.711714093908</v>
      </c>
      <c r="I10">
        <v>220.25357114086211</v>
      </c>
      <c r="J10">
        <v>227.79542818781599</v>
      </c>
      <c r="K10">
        <v>225.52802833065971</v>
      </c>
      <c r="L10">
        <v>223.2606284735034</v>
      </c>
      <c r="M10">
        <v>220.99322861634701</v>
      </c>
      <c r="N10">
        <v>218.7258287591907</v>
      </c>
      <c r="O10">
        <v>216.4806822071707</v>
      </c>
      <c r="P10">
        <v>214.23553565515081</v>
      </c>
      <c r="Q10">
        <v>211.99038910313081</v>
      </c>
      <c r="R10">
        <v>209.74524255111089</v>
      </c>
      <c r="S10">
        <v>212.10875549283239</v>
      </c>
      <c r="T10">
        <v>214.4722684345538</v>
      </c>
      <c r="U10">
        <v>216.83578137627529</v>
      </c>
      <c r="V10">
        <v>219.1992943179969</v>
      </c>
      <c r="W10">
        <v>222.1933175719154</v>
      </c>
      <c r="X10">
        <v>225.1873408258339</v>
      </c>
      <c r="Y10">
        <v>228.18136407975251</v>
      </c>
      <c r="Z10">
        <v>231.17538733367101</v>
      </c>
      <c r="AA10">
        <v>234.29095602088191</v>
      </c>
    </row>
    <row r="11" spans="1:27" ht="16" x14ac:dyDescent="0.2">
      <c r="B11" s="86" t="s">
        <v>172</v>
      </c>
      <c r="D11">
        <v>186.02099999999999</v>
      </c>
      <c r="E11">
        <v>370.81066666666698</v>
      </c>
      <c r="F11">
        <v>143.73299999999989</v>
      </c>
      <c r="G11">
        <v>119.7103015934359</v>
      </c>
      <c r="H11">
        <v>95.692774643121879</v>
      </c>
      <c r="I11">
        <v>71.680432077698356</v>
      </c>
      <c r="J11">
        <v>49.757422545121358</v>
      </c>
      <c r="K11">
        <v>63.885229528435843</v>
      </c>
      <c r="L11">
        <v>80.170429568141572</v>
      </c>
      <c r="M11">
        <v>96.995101270948112</v>
      </c>
      <c r="N11">
        <v>112.932368446504</v>
      </c>
      <c r="O11">
        <v>127.8342527553297</v>
      </c>
      <c r="P11">
        <v>142.4876637965252</v>
      </c>
      <c r="Q11">
        <v>157.92199082170151</v>
      </c>
      <c r="R11">
        <v>173.28532548469749</v>
      </c>
      <c r="S11">
        <v>172.77585661115961</v>
      </c>
      <c r="T11">
        <v>172.69234191070231</v>
      </c>
      <c r="U11">
        <v>172.999285202235</v>
      </c>
      <c r="V11">
        <v>173.8741673912084</v>
      </c>
      <c r="W11">
        <v>172.67426876663441</v>
      </c>
      <c r="X11">
        <v>171.4033777798804</v>
      </c>
      <c r="Y11">
        <v>170.41645624184639</v>
      </c>
      <c r="Z11">
        <v>169.74900033362289</v>
      </c>
      <c r="AA11">
        <v>168.94502379810791</v>
      </c>
    </row>
    <row r="12" spans="1:27" ht="16" x14ac:dyDescent="0.2">
      <c r="B12" s="86" t="s">
        <v>173</v>
      </c>
      <c r="D12">
        <v>1862.4</v>
      </c>
      <c r="E12">
        <v>1779.8</v>
      </c>
      <c r="F12">
        <v>1871.3</v>
      </c>
      <c r="G12">
        <v>1909.1408422300119</v>
      </c>
      <c r="H12">
        <v>1940.8037779349081</v>
      </c>
      <c r="I12">
        <v>1971.6653562323229</v>
      </c>
      <c r="J12">
        <v>2004.6514634705011</v>
      </c>
      <c r="K12">
        <v>2026.7447008325701</v>
      </c>
      <c r="L12">
        <v>2046.9649982073861</v>
      </c>
      <c r="M12">
        <v>2066.9802971756371</v>
      </c>
      <c r="N12">
        <v>2087.90877086404</v>
      </c>
      <c r="O12">
        <v>2109.144742162292</v>
      </c>
      <c r="P12">
        <v>2130.4925307732142</v>
      </c>
      <c r="Q12">
        <v>2150.9550989921522</v>
      </c>
      <c r="R12">
        <v>2172.880610385213</v>
      </c>
      <c r="S12">
        <v>2196.054748436442</v>
      </c>
      <c r="T12">
        <v>2220.412286380114</v>
      </c>
      <c r="U12">
        <v>2244.3411912918768</v>
      </c>
      <c r="V12">
        <v>2268.0650977970759</v>
      </c>
      <c r="W12">
        <v>2292.2269554435729</v>
      </c>
      <c r="X12">
        <v>2317.553576763733</v>
      </c>
      <c r="Y12">
        <v>2343.1783775843528</v>
      </c>
      <c r="Z12">
        <v>2369.0547673584829</v>
      </c>
      <c r="AA12">
        <v>2395.1547917579569</v>
      </c>
    </row>
    <row r="13" spans="1:27" ht="16" x14ac:dyDescent="0.2">
      <c r="B13" s="86" t="s">
        <v>174</v>
      </c>
      <c r="D13">
        <v>62.7</v>
      </c>
      <c r="E13">
        <v>54.2</v>
      </c>
      <c r="F13">
        <v>90.2</v>
      </c>
      <c r="G13">
        <v>92.023996135920015</v>
      </c>
      <c r="H13">
        <v>93.550206150659292</v>
      </c>
      <c r="I13">
        <v>95.037789308050847</v>
      </c>
      <c r="J13">
        <v>96.627778552364276</v>
      </c>
      <c r="K13">
        <v>97.692712026451019</v>
      </c>
      <c r="L13">
        <v>98.66736645022506</v>
      </c>
      <c r="M13">
        <v>99.632139584910178</v>
      </c>
      <c r="N13">
        <v>100.6409293709915</v>
      </c>
      <c r="O13">
        <v>101.66454109070629</v>
      </c>
      <c r="P13">
        <v>102.6935426044696</v>
      </c>
      <c r="Q13">
        <v>103.67987491534871</v>
      </c>
      <c r="R13">
        <v>104.7367236983627</v>
      </c>
      <c r="S13">
        <v>105.8537585149185</v>
      </c>
      <c r="T13">
        <v>107.0278353184878</v>
      </c>
      <c r="U13">
        <v>108.18125124487111</v>
      </c>
      <c r="V13">
        <v>109.3247858821655</v>
      </c>
      <c r="W13">
        <v>110.4894305461498</v>
      </c>
      <c r="X13">
        <v>111.7102188981396</v>
      </c>
      <c r="Y13">
        <v>112.9453800342588</v>
      </c>
      <c r="Z13">
        <v>114.19266820698719</v>
      </c>
      <c r="AA13">
        <v>115.45073596781251</v>
      </c>
    </row>
    <row r="14" spans="1:27" ht="16" x14ac:dyDescent="0.2">
      <c r="B14" s="86" t="s">
        <v>175</v>
      </c>
      <c r="D14">
        <v>0.6</v>
      </c>
      <c r="E14">
        <v>0.6</v>
      </c>
      <c r="F14">
        <v>0.6</v>
      </c>
      <c r="G14">
        <v>0.60196494651670918</v>
      </c>
      <c r="H14">
        <v>0.60400462950948985</v>
      </c>
      <c r="I14">
        <v>0.60618755741474062</v>
      </c>
      <c r="J14">
        <v>0.6085448704308245</v>
      </c>
      <c r="K14">
        <v>0.61108591061725048</v>
      </c>
      <c r="L14">
        <v>0.613723485418602</v>
      </c>
      <c r="M14">
        <v>0.61640465649766174</v>
      </c>
      <c r="N14">
        <v>0.61912008179492095</v>
      </c>
      <c r="O14">
        <v>0.62186976131037952</v>
      </c>
      <c r="P14">
        <v>0.62465992308370988</v>
      </c>
      <c r="Q14">
        <v>0.62746254093638565</v>
      </c>
      <c r="R14">
        <v>0.63030564104693343</v>
      </c>
      <c r="S14">
        <v>0.63318922341535311</v>
      </c>
      <c r="T14">
        <v>0.63610394598213582</v>
      </c>
      <c r="U14">
        <v>0.6390248965885913</v>
      </c>
      <c r="V14">
        <v>0.64196141729422818</v>
      </c>
      <c r="W14">
        <v>0.64491350809904657</v>
      </c>
      <c r="X14">
        <v>0.64787182694353762</v>
      </c>
      <c r="Y14">
        <v>0.65081457568884715</v>
      </c>
      <c r="Z14">
        <v>0.6537604384539929</v>
      </c>
      <c r="AA14">
        <v>0.65670630121913887</v>
      </c>
    </row>
    <row r="15" spans="1:27" ht="16" x14ac:dyDescent="0.2">
      <c r="B15" s="86" t="s">
        <v>176</v>
      </c>
      <c r="D15">
        <v>1228.1289999999999</v>
      </c>
      <c r="E15">
        <v>1336.74</v>
      </c>
      <c r="F15">
        <v>1328.7719999999999</v>
      </c>
      <c r="G15">
        <v>1334.5316252300349</v>
      </c>
      <c r="H15">
        <v>1340.2912504600711</v>
      </c>
      <c r="I15">
        <v>1346.050875690107</v>
      </c>
      <c r="J15">
        <v>1351.810500920142</v>
      </c>
      <c r="K15">
        <v>1386.199959089409</v>
      </c>
      <c r="L15">
        <v>1420.5894172586759</v>
      </c>
      <c r="M15">
        <v>1454.978875427943</v>
      </c>
      <c r="N15">
        <v>1489.36833359721</v>
      </c>
      <c r="O15">
        <v>1493.5796252647931</v>
      </c>
      <c r="P15">
        <v>1497.7909169323759</v>
      </c>
      <c r="Q15">
        <v>1502.002208599959</v>
      </c>
      <c r="R15">
        <v>1506.213500267542</v>
      </c>
      <c r="S15">
        <v>1517.6836153346269</v>
      </c>
      <c r="T15">
        <v>1529.153730401712</v>
      </c>
      <c r="U15">
        <v>1540.6238454687959</v>
      </c>
      <c r="V15">
        <v>1552.0939605358819</v>
      </c>
      <c r="W15">
        <v>1589.1619043973051</v>
      </c>
      <c r="X15">
        <v>1626.229848258728</v>
      </c>
      <c r="Y15">
        <v>1663.2977921201521</v>
      </c>
      <c r="Z15">
        <v>1700.365735981575</v>
      </c>
      <c r="AA15">
        <v>1728.0518698642729</v>
      </c>
    </row>
    <row r="16" spans="1:27" ht="16" x14ac:dyDescent="0.2">
      <c r="B16" s="86" t="s">
        <v>167</v>
      </c>
      <c r="D16">
        <v>1574.779</v>
      </c>
      <c r="E16">
        <v>3763.7893333333341</v>
      </c>
      <c r="F16">
        <v>2653.2669999999998</v>
      </c>
      <c r="G16">
        <v>2317.9343666284731</v>
      </c>
      <c r="H16">
        <v>2053.9178721883209</v>
      </c>
      <c r="I16">
        <v>1841.244964503114</v>
      </c>
      <c r="J16">
        <v>1692.806943814478</v>
      </c>
      <c r="K16">
        <v>1738.8476760207</v>
      </c>
      <c r="L16">
        <v>1756.293963726893</v>
      </c>
      <c r="M16">
        <v>1755.5540200918881</v>
      </c>
      <c r="N16">
        <v>1729.6319796501559</v>
      </c>
      <c r="O16">
        <v>1731.529779708525</v>
      </c>
      <c r="P16">
        <v>1734.478848120219</v>
      </c>
      <c r="Q16">
        <v>1738.1468780413959</v>
      </c>
      <c r="R16">
        <v>1743.874878588342</v>
      </c>
      <c r="S16">
        <v>1761.5240430940889</v>
      </c>
      <c r="T16">
        <v>1778.481616477271</v>
      </c>
      <c r="U16">
        <v>1792.214568108853</v>
      </c>
      <c r="V16">
        <v>1803.970925515257</v>
      </c>
      <c r="W16">
        <v>1845.574035042185</v>
      </c>
      <c r="X16">
        <v>1880.670991984249</v>
      </c>
      <c r="Y16">
        <v>1910.0043752921761</v>
      </c>
      <c r="Z16">
        <v>1932.953941083782</v>
      </c>
      <c r="AA16">
        <v>1945.2974943481329</v>
      </c>
    </row>
    <row r="17" spans="1:28" ht="16" x14ac:dyDescent="0.2">
      <c r="B17" s="86" t="s">
        <v>168</v>
      </c>
      <c r="D17">
        <v>3376.8</v>
      </c>
      <c r="E17">
        <v>3105.7</v>
      </c>
      <c r="F17">
        <v>3267.5</v>
      </c>
      <c r="G17">
        <v>3296.7977798135412</v>
      </c>
      <c r="H17">
        <v>3326.0955596270828</v>
      </c>
      <c r="I17">
        <v>3355.393339440624</v>
      </c>
      <c r="J17">
        <v>3384.6911192541652</v>
      </c>
      <c r="K17">
        <v>3433.258874880511</v>
      </c>
      <c r="L17">
        <v>3481.826630506856</v>
      </c>
      <c r="M17">
        <v>3530.3943861332018</v>
      </c>
      <c r="N17">
        <v>3578.9621417595472</v>
      </c>
      <c r="O17">
        <v>3625.974592463861</v>
      </c>
      <c r="P17">
        <v>3672.9870431681752</v>
      </c>
      <c r="Q17">
        <v>3719.999493872489</v>
      </c>
      <c r="R17">
        <v>3767.0119445768032</v>
      </c>
      <c r="S17">
        <v>3802.5502557421869</v>
      </c>
      <c r="T17">
        <v>3838.0885669075719</v>
      </c>
      <c r="U17">
        <v>3873.626878072957</v>
      </c>
      <c r="V17">
        <v>3909.1651892383402</v>
      </c>
      <c r="W17">
        <v>3948.783587890036</v>
      </c>
      <c r="X17">
        <v>3988.4019865417331</v>
      </c>
      <c r="Y17">
        <v>4028.020385193428</v>
      </c>
      <c r="Z17">
        <v>4067.6387838451251</v>
      </c>
      <c r="AA17">
        <v>4113.6602460036602</v>
      </c>
    </row>
    <row r="18" spans="1:28" ht="16" x14ac:dyDescent="0.2">
      <c r="B18" s="86" t="s">
        <v>169</v>
      </c>
      <c r="D18">
        <v>180.5</v>
      </c>
      <c r="E18">
        <v>171.5</v>
      </c>
      <c r="F18">
        <v>207</v>
      </c>
      <c r="G18">
        <v>217.21555104965049</v>
      </c>
      <c r="H18">
        <v>227.43110209930111</v>
      </c>
      <c r="I18">
        <v>237.64665314895171</v>
      </c>
      <c r="J18">
        <v>247.86220419860231</v>
      </c>
      <c r="K18">
        <v>291.16768911750103</v>
      </c>
      <c r="L18">
        <v>334.47317403639948</v>
      </c>
      <c r="M18">
        <v>377.77865895529823</v>
      </c>
      <c r="N18">
        <v>421.08414387419691</v>
      </c>
      <c r="O18">
        <v>445.90924847641662</v>
      </c>
      <c r="P18">
        <v>470.7343530786365</v>
      </c>
      <c r="Q18">
        <v>495.55945768085638</v>
      </c>
      <c r="R18">
        <v>520.38456228307609</v>
      </c>
      <c r="S18">
        <v>533.70691867803964</v>
      </c>
      <c r="T18">
        <v>547.0292750730033</v>
      </c>
      <c r="U18">
        <v>560.35163146796685</v>
      </c>
      <c r="V18">
        <v>573.6739878629304</v>
      </c>
      <c r="W18">
        <v>586.4598161920718</v>
      </c>
      <c r="X18">
        <v>599.24564452121319</v>
      </c>
      <c r="Y18">
        <v>612.03147285035459</v>
      </c>
      <c r="Z18">
        <v>624.81730117949598</v>
      </c>
      <c r="AA18">
        <v>627.04256599622272</v>
      </c>
    </row>
    <row r="19" spans="1:28" ht="16" x14ac:dyDescent="0.2">
      <c r="B19" s="86" t="s">
        <v>170</v>
      </c>
      <c r="D19">
        <v>74.5</v>
      </c>
      <c r="E19">
        <v>1085.9000000000001</v>
      </c>
      <c r="F19">
        <v>1212.9000000000001</v>
      </c>
      <c r="G19">
        <v>1216.8721393835281</v>
      </c>
      <c r="H19">
        <v>1220.995358553434</v>
      </c>
      <c r="I19">
        <v>1225.4081473138981</v>
      </c>
      <c r="J19">
        <v>1230.1734555759119</v>
      </c>
      <c r="K19">
        <v>1235.310168312772</v>
      </c>
      <c r="L19">
        <v>1240.6420257737041</v>
      </c>
      <c r="M19">
        <v>1246.0620131100241</v>
      </c>
      <c r="N19">
        <v>1251.551245348433</v>
      </c>
      <c r="O19">
        <v>1257.109722488932</v>
      </c>
      <c r="P19">
        <v>1262.75003451372</v>
      </c>
      <c r="Q19">
        <v>1268.415526502904</v>
      </c>
      <c r="R19">
        <v>1274.162853376376</v>
      </c>
      <c r="S19">
        <v>1279.992015134136</v>
      </c>
      <c r="T19">
        <v>1285.884126802888</v>
      </c>
      <c r="U19">
        <v>1291.7888284538381</v>
      </c>
      <c r="V19">
        <v>1297.7250050602829</v>
      </c>
      <c r="W19">
        <v>1303.692656622223</v>
      </c>
      <c r="X19">
        <v>1309.6728981663621</v>
      </c>
      <c r="Y19">
        <v>1315.621664755005</v>
      </c>
      <c r="Z19">
        <v>1321.5767263347479</v>
      </c>
      <c r="AA19">
        <v>1327.53178791449</v>
      </c>
    </row>
    <row r="20" spans="1:28" x14ac:dyDescent="0.2">
      <c r="B20" t="s">
        <v>196</v>
      </c>
      <c r="D20">
        <v>204.37100000000001</v>
      </c>
      <c r="E20">
        <v>279.25</v>
      </c>
      <c r="F20">
        <v>242.12799999999999</v>
      </c>
      <c r="G20">
        <v>229.13072093917029</v>
      </c>
      <c r="H20">
        <v>213.52634779891321</v>
      </c>
      <c r="I20">
        <v>198.35649033856069</v>
      </c>
      <c r="J20">
        <v>183.7659871180808</v>
      </c>
      <c r="K20">
        <v>195.0533202337098</v>
      </c>
      <c r="L20">
        <v>207.1344126604987</v>
      </c>
      <c r="M20">
        <v>219.29731729779769</v>
      </c>
      <c r="N20">
        <v>232.19049133666189</v>
      </c>
      <c r="O20">
        <v>244.44401815535349</v>
      </c>
      <c r="P20">
        <v>257.44254207870313</v>
      </c>
      <c r="Q20">
        <v>269.82423671275279</v>
      </c>
      <c r="R20">
        <v>282.95791896096779</v>
      </c>
      <c r="S20">
        <v>284.8440859079293</v>
      </c>
      <c r="T20">
        <v>286.80674890787742</v>
      </c>
      <c r="U20">
        <v>288.81461243301999</v>
      </c>
      <c r="V20">
        <v>290.87981453136018</v>
      </c>
      <c r="W20">
        <v>291.45189402230841</v>
      </c>
      <c r="X20">
        <v>292.75943461625042</v>
      </c>
      <c r="Y20">
        <v>293.39788070893411</v>
      </c>
      <c r="Z20">
        <v>294.07800076689921</v>
      </c>
      <c r="AA20">
        <v>294.49680065914453</v>
      </c>
    </row>
    <row r="22" spans="1:28" x14ac:dyDescent="0.2">
      <c r="E22" s="95"/>
      <c r="F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9" x14ac:dyDescent="0.25">
      <c r="A23" s="110" t="s">
        <v>185</v>
      </c>
      <c r="B23" s="110"/>
      <c r="E23" s="95"/>
      <c r="F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2">
      <c r="B24" t="s">
        <v>185</v>
      </c>
      <c r="D24" s="102">
        <f>main!L106/1000</f>
        <v>156.18299999999999</v>
      </c>
      <c r="E24" s="104">
        <f>main!M106/1000</f>
        <v>197.631</v>
      </c>
      <c r="F24" s="104">
        <f>main!N106/1000</f>
        <v>180.96849738041689</v>
      </c>
      <c r="G24" s="149">
        <f>main!O106/1000</f>
        <v>184.23202564747211</v>
      </c>
      <c r="H24" s="104">
        <f>main!P106/1000</f>
        <v>186.07045989832829</v>
      </c>
      <c r="I24" s="104">
        <f>main!Q106/1000</f>
        <v>186.07045989832829</v>
      </c>
      <c r="J24" s="104">
        <f>main!R106/1000</f>
        <v>186.07045989832829</v>
      </c>
      <c r="K24" s="149">
        <f>main!S106/1000</f>
        <v>186.07045989832829</v>
      </c>
      <c r="L24" s="104">
        <f>main!T106/1000</f>
        <v>229.0097967979425</v>
      </c>
      <c r="M24" s="232">
        <f>main!U106/1000</f>
        <v>229.0097967979425</v>
      </c>
      <c r="N24" s="104">
        <f>M24*(1+N26)</f>
        <v>226.66014661273934</v>
      </c>
      <c r="O24" s="149">
        <f t="shared" ref="O24:AA24" si="0">N24*(1+O26)</f>
        <v>224.33355697522467</v>
      </c>
      <c r="P24" s="104">
        <f t="shared" si="0"/>
        <v>222.00696733771011</v>
      </c>
      <c r="Q24" s="104">
        <f t="shared" si="0"/>
        <v>219.68037770019544</v>
      </c>
      <c r="R24" s="104">
        <f t="shared" si="0"/>
        <v>217.35378806268088</v>
      </c>
      <c r="S24" s="149">
        <f t="shared" si="0"/>
        <v>219.80303785147242</v>
      </c>
      <c r="T24" s="104">
        <f t="shared" si="0"/>
        <v>222.25228764026386</v>
      </c>
      <c r="U24" s="104">
        <f t="shared" si="0"/>
        <v>224.70153742905541</v>
      </c>
      <c r="V24" s="104">
        <f t="shared" si="0"/>
        <v>227.15078721784704</v>
      </c>
      <c r="W24" s="149">
        <f t="shared" si="0"/>
        <v>230.25341919114848</v>
      </c>
      <c r="X24" s="104">
        <f t="shared" si="0"/>
        <v>233.35605116444989</v>
      </c>
      <c r="Y24" s="104">
        <f t="shared" si="0"/>
        <v>236.45868313775142</v>
      </c>
      <c r="Z24" s="104">
        <f t="shared" si="0"/>
        <v>239.56131511105286</v>
      </c>
      <c r="AA24" s="149">
        <f t="shared" si="0"/>
        <v>242.78990159958667</v>
      </c>
      <c r="AB24" s="95"/>
    </row>
    <row r="25" spans="1:28" x14ac:dyDescent="0.2">
      <c r="B25" t="s">
        <v>178</v>
      </c>
      <c r="D25" s="102">
        <f t="shared" ref="D25:AA25" si="1">D10</f>
        <v>200.67099999999999</v>
      </c>
      <c r="E25" s="104">
        <f t="shared" si="1"/>
        <v>156.16</v>
      </c>
      <c r="F25" s="104">
        <f t="shared" si="1"/>
        <v>197.62799999999999</v>
      </c>
      <c r="G25" s="149">
        <f t="shared" si="1"/>
        <v>205.16985704695401</v>
      </c>
      <c r="H25" s="104">
        <f t="shared" si="1"/>
        <v>212.711714093908</v>
      </c>
      <c r="I25" s="104">
        <f t="shared" si="1"/>
        <v>220.25357114086211</v>
      </c>
      <c r="J25" s="104">
        <f t="shared" si="1"/>
        <v>227.79542818781599</v>
      </c>
      <c r="K25" s="149">
        <f t="shared" si="1"/>
        <v>225.52802833065971</v>
      </c>
      <c r="L25" s="104">
        <f t="shared" si="1"/>
        <v>223.2606284735034</v>
      </c>
      <c r="M25" s="232">
        <f t="shared" si="1"/>
        <v>220.99322861634701</v>
      </c>
      <c r="N25" s="104">
        <f t="shared" si="1"/>
        <v>218.7258287591907</v>
      </c>
      <c r="O25" s="149">
        <f t="shared" si="1"/>
        <v>216.4806822071707</v>
      </c>
      <c r="P25" s="104">
        <f t="shared" si="1"/>
        <v>214.23553565515081</v>
      </c>
      <c r="Q25" s="104">
        <f t="shared" si="1"/>
        <v>211.99038910313081</v>
      </c>
      <c r="R25" s="104">
        <f t="shared" si="1"/>
        <v>209.74524255111089</v>
      </c>
      <c r="S25" s="149">
        <f t="shared" si="1"/>
        <v>212.10875549283239</v>
      </c>
      <c r="T25" s="104">
        <f t="shared" si="1"/>
        <v>214.4722684345538</v>
      </c>
      <c r="U25" s="104">
        <f t="shared" si="1"/>
        <v>216.83578137627529</v>
      </c>
      <c r="V25" s="104">
        <f t="shared" si="1"/>
        <v>219.1992943179969</v>
      </c>
      <c r="W25" s="149">
        <f t="shared" si="1"/>
        <v>222.1933175719154</v>
      </c>
      <c r="X25" s="104">
        <f t="shared" si="1"/>
        <v>225.1873408258339</v>
      </c>
      <c r="Y25" s="104">
        <f t="shared" si="1"/>
        <v>228.18136407975251</v>
      </c>
      <c r="Z25" s="104">
        <f t="shared" si="1"/>
        <v>231.17538733367101</v>
      </c>
      <c r="AA25" s="149">
        <f t="shared" si="1"/>
        <v>234.29095602088191</v>
      </c>
      <c r="AB25" s="95"/>
    </row>
    <row r="26" spans="1:28" s="171" customFormat="1" ht="12" x14ac:dyDescent="0.15">
      <c r="B26" s="213" t="s">
        <v>280</v>
      </c>
      <c r="D26" s="237"/>
      <c r="E26" s="252"/>
      <c r="F26" s="252"/>
      <c r="G26" s="238"/>
      <c r="H26" s="252"/>
      <c r="I26" s="252"/>
      <c r="J26" s="252"/>
      <c r="K26" s="256"/>
      <c r="L26" s="239"/>
      <c r="M26" s="239"/>
      <c r="N26" s="239">
        <f t="shared" ref="N26" si="2">(N25/M25)-1</f>
        <v>-1.0260042225513577E-2</v>
      </c>
      <c r="O26" s="256">
        <f t="shared" ref="O26" si="3">(O25/N25)-1</f>
        <v>-1.0264661310264489E-2</v>
      </c>
      <c r="P26" s="239">
        <f t="shared" ref="P26" si="4">(P25/O25)-1</f>
        <v>-1.03711173169313E-2</v>
      </c>
      <c r="Q26" s="239">
        <f t="shared" ref="Q26" si="5">(Q25/P25)-1</f>
        <v>-1.0479804599895837E-2</v>
      </c>
      <c r="R26" s="239">
        <f t="shared" ref="R26" si="6">(R25/Q25)-1</f>
        <v>-1.0590794052119379E-2</v>
      </c>
      <c r="S26" s="256">
        <f t="shared" ref="S26" si="7">(S25/R25)-1</f>
        <v>1.1268493687743852E-2</v>
      </c>
      <c r="T26" s="239">
        <f t="shared" ref="T26" si="8">(T25/S25)-1</f>
        <v>1.1142929655260092E-2</v>
      </c>
      <c r="U26" s="239">
        <f t="shared" ref="U26" si="9">(U25/T25)-1</f>
        <v>1.1020133087475292E-2</v>
      </c>
      <c r="V26" s="239">
        <f t="shared" ref="V26" si="10">(V25/U25)-1</f>
        <v>1.0900013488180704E-2</v>
      </c>
      <c r="W26" s="256">
        <f t="shared" ref="W26" si="11">(W25/V25)-1</f>
        <v>1.3658909182321599E-2</v>
      </c>
      <c r="X26" s="239">
        <f t="shared" ref="X26" si="12">(X25/W25)-1</f>
        <v>1.3474857329808909E-2</v>
      </c>
      <c r="Y26" s="239">
        <f t="shared" ref="Y26" si="13">(Y25/X25)-1</f>
        <v>1.3295699673607553E-2</v>
      </c>
      <c r="Z26" s="239">
        <f t="shared" ref="Z26" si="14">(Z25/Y25)-1</f>
        <v>1.3121243559890639E-2</v>
      </c>
      <c r="AA26" s="256">
        <f t="shared" ref="AA26" si="15">(AA25/Z25)-1</f>
        <v>1.3477077828851991E-2</v>
      </c>
      <c r="AB26" s="253"/>
    </row>
    <row r="27" spans="1:28" s="97" customFormat="1" x14ac:dyDescent="0.2">
      <c r="B27" s="99" t="s">
        <v>179</v>
      </c>
      <c r="D27" s="103"/>
      <c r="E27" s="225"/>
      <c r="F27" s="225">
        <f t="shared" ref="F27" si="16">F24-F25</f>
        <v>-16.659502619583094</v>
      </c>
      <c r="G27" s="150">
        <f t="shared" ref="G27" si="17">G24-G25</f>
        <v>-20.937831399481894</v>
      </c>
      <c r="H27" s="225">
        <f t="shared" ref="H27" si="18">H24-H25</f>
        <v>-26.641254195579705</v>
      </c>
      <c r="I27" s="225">
        <f t="shared" ref="I27" si="19">I24-I25</f>
        <v>-34.183111242533812</v>
      </c>
      <c r="J27" s="225">
        <f t="shared" ref="J27" si="20">J24-J25</f>
        <v>-41.724968289487691</v>
      </c>
      <c r="K27" s="150">
        <f t="shared" ref="K27:AA27" si="21">K24-K25</f>
        <v>-39.457568432331414</v>
      </c>
      <c r="L27" s="225">
        <f t="shared" si="21"/>
        <v>5.749168324439097</v>
      </c>
      <c r="M27" s="249">
        <f t="shared" si="21"/>
        <v>8.0165681815954883</v>
      </c>
      <c r="N27" s="225">
        <f t="shared" si="21"/>
        <v>7.9343178535486345</v>
      </c>
      <c r="O27" s="150">
        <f t="shared" si="21"/>
        <v>7.8528747680539652</v>
      </c>
      <c r="P27" s="225">
        <f t="shared" si="21"/>
        <v>7.771431682559296</v>
      </c>
      <c r="Q27" s="225">
        <f t="shared" si="21"/>
        <v>7.6899885970646267</v>
      </c>
      <c r="R27" s="225">
        <f t="shared" si="21"/>
        <v>7.6085455115699858</v>
      </c>
      <c r="S27" s="150">
        <f t="shared" si="21"/>
        <v>7.694282358640038</v>
      </c>
      <c r="T27" s="225">
        <f t="shared" si="21"/>
        <v>7.7800192057100617</v>
      </c>
      <c r="U27" s="225">
        <f t="shared" si="21"/>
        <v>7.8657560527801138</v>
      </c>
      <c r="V27" s="225">
        <f t="shared" si="21"/>
        <v>7.9514928998501375</v>
      </c>
      <c r="W27" s="150">
        <f t="shared" si="21"/>
        <v>8.0601016192330803</v>
      </c>
      <c r="X27" s="225">
        <f t="shared" si="21"/>
        <v>8.1687103386159947</v>
      </c>
      <c r="Y27" s="225">
        <f t="shared" si="21"/>
        <v>8.2773190579989091</v>
      </c>
      <c r="Z27" s="225">
        <f t="shared" si="21"/>
        <v>8.3859277773818519</v>
      </c>
      <c r="AA27" s="150">
        <f t="shared" si="21"/>
        <v>8.4989455787047632</v>
      </c>
      <c r="AB27" s="254"/>
    </row>
    <row r="28" spans="1:28" x14ac:dyDescent="0.2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2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9" x14ac:dyDescent="0.25">
      <c r="A30" s="110" t="s">
        <v>188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2">
      <c r="B31" t="s">
        <v>188</v>
      </c>
      <c r="D31" s="102"/>
      <c r="E31" s="104">
        <f>main!L107/1000</f>
        <v>392.40166666666676</v>
      </c>
      <c r="F31" s="104">
        <f>main!M107/1000</f>
        <v>330.77699999999999</v>
      </c>
      <c r="G31" s="104">
        <f>main!N107/1000</f>
        <v>229.96728749999997</v>
      </c>
      <c r="H31" s="104">
        <f>main!O107/1000</f>
        <v>203.32470571875001</v>
      </c>
      <c r="I31" s="104">
        <f>main!P107/1000</f>
        <v>187.68301748304685</v>
      </c>
      <c r="J31" s="104">
        <f>main!Q107/1000</f>
        <v>188.40143257046211</v>
      </c>
      <c r="K31" s="104">
        <f>main!R107/1000</f>
        <v>189.48444331474056</v>
      </c>
      <c r="L31" s="104">
        <f>main!S107/1000</f>
        <v>190.9392877478879</v>
      </c>
      <c r="M31" s="104">
        <f>L31*(1 + M33)</f>
        <v>231.01005759196664</v>
      </c>
      <c r="N31" s="104">
        <f t="shared" ref="N31:AA31" si="22">M31*(1 + N33)</f>
        <v>268.96732512240902</v>
      </c>
      <c r="O31" s="104">
        <f t="shared" si="22"/>
        <v>304.45865517210234</v>
      </c>
      <c r="P31" s="104">
        <f t="shared" si="22"/>
        <v>339.35820457397739</v>
      </c>
      <c r="Q31" s="104">
        <f t="shared" si="22"/>
        <v>376.11763601185311</v>
      </c>
      <c r="R31" s="104">
        <f t="shared" si="22"/>
        <v>412.70798726463727</v>
      </c>
      <c r="S31" s="104">
        <f t="shared" si="22"/>
        <v>411.49460192584024</v>
      </c>
      <c r="T31" s="104">
        <f t="shared" si="22"/>
        <v>411.29569769758933</v>
      </c>
      <c r="U31" s="104">
        <f t="shared" si="22"/>
        <v>412.02673448733771</v>
      </c>
      <c r="V31" s="104">
        <f t="shared" si="22"/>
        <v>414.11041275781412</v>
      </c>
      <c r="W31" s="104">
        <f t="shared" si="22"/>
        <v>411.25265348198167</v>
      </c>
      <c r="X31" s="104">
        <f t="shared" si="22"/>
        <v>408.2258140210584</v>
      </c>
      <c r="Y31" s="104">
        <f t="shared" si="22"/>
        <v>405.87529530049824</v>
      </c>
      <c r="Z31" s="104">
        <f t="shared" si="22"/>
        <v>404.28563741284785</v>
      </c>
      <c r="AA31" s="104">
        <f t="shared" si="22"/>
        <v>402.37083281613849</v>
      </c>
      <c r="AB31" s="95"/>
    </row>
    <row r="32" spans="1:28" x14ac:dyDescent="0.2">
      <c r="B32" t="s">
        <v>178</v>
      </c>
      <c r="D32" s="102">
        <f t="shared" ref="D32:AA32" si="23">D11</f>
        <v>186.02099999999999</v>
      </c>
      <c r="E32" s="104">
        <f t="shared" si="23"/>
        <v>370.81066666666698</v>
      </c>
      <c r="F32" s="104">
        <f t="shared" si="23"/>
        <v>143.73299999999989</v>
      </c>
      <c r="G32" s="149">
        <f t="shared" si="23"/>
        <v>119.7103015934359</v>
      </c>
      <c r="H32" s="104">
        <f t="shared" si="23"/>
        <v>95.692774643121879</v>
      </c>
      <c r="I32" s="104">
        <f t="shared" si="23"/>
        <v>71.680432077698356</v>
      </c>
      <c r="J32" s="104">
        <f t="shared" si="23"/>
        <v>49.757422545121358</v>
      </c>
      <c r="K32" s="149">
        <f t="shared" si="23"/>
        <v>63.885229528435843</v>
      </c>
      <c r="L32" s="232">
        <f t="shared" si="23"/>
        <v>80.170429568141572</v>
      </c>
      <c r="M32" s="104">
        <f t="shared" si="23"/>
        <v>96.995101270948112</v>
      </c>
      <c r="N32" s="104">
        <f t="shared" si="23"/>
        <v>112.932368446504</v>
      </c>
      <c r="O32" s="149">
        <f t="shared" si="23"/>
        <v>127.8342527553297</v>
      </c>
      <c r="P32" s="104">
        <f t="shared" si="23"/>
        <v>142.4876637965252</v>
      </c>
      <c r="Q32" s="104">
        <f t="shared" si="23"/>
        <v>157.92199082170151</v>
      </c>
      <c r="R32" s="104">
        <f t="shared" si="23"/>
        <v>173.28532548469749</v>
      </c>
      <c r="S32" s="149">
        <f t="shared" si="23"/>
        <v>172.77585661115961</v>
      </c>
      <c r="T32" s="104">
        <f t="shared" si="23"/>
        <v>172.69234191070231</v>
      </c>
      <c r="U32" s="104">
        <f t="shared" si="23"/>
        <v>172.999285202235</v>
      </c>
      <c r="V32" s="104">
        <f t="shared" si="23"/>
        <v>173.8741673912084</v>
      </c>
      <c r="W32" s="149">
        <f t="shared" si="23"/>
        <v>172.67426876663441</v>
      </c>
      <c r="X32" s="104">
        <f t="shared" si="23"/>
        <v>171.4033777798804</v>
      </c>
      <c r="Y32" s="104">
        <f t="shared" si="23"/>
        <v>170.41645624184639</v>
      </c>
      <c r="Z32" s="104">
        <f t="shared" si="23"/>
        <v>169.74900033362289</v>
      </c>
      <c r="AA32" s="149">
        <f t="shared" si="23"/>
        <v>168.94502379810791</v>
      </c>
      <c r="AB32" s="95"/>
    </row>
    <row r="33" spans="1:28" s="171" customFormat="1" ht="12" x14ac:dyDescent="0.15">
      <c r="B33" s="213" t="s">
        <v>280</v>
      </c>
      <c r="D33" s="237"/>
      <c r="E33" s="252"/>
      <c r="F33" s="252"/>
      <c r="G33" s="238"/>
      <c r="H33" s="252"/>
      <c r="I33" s="252"/>
      <c r="J33" s="252"/>
      <c r="K33" s="256"/>
      <c r="L33" s="239"/>
      <c r="M33" s="239">
        <f t="shared" ref="M33" si="24">(M32/L32)-1</f>
        <v>0.20986131412089115</v>
      </c>
      <c r="N33" s="239">
        <f t="shared" ref="N33" si="25">(N32/M32)-1</f>
        <v>0.16431002150342011</v>
      </c>
      <c r="O33" s="256">
        <f t="shared" ref="O33" si="26">(O32/N32)-1</f>
        <v>0.13195405811297323</v>
      </c>
      <c r="P33" s="239">
        <f t="shared" ref="P33" si="27">(P32/O32)-1</f>
        <v>0.11462820586311562</v>
      </c>
      <c r="Q33" s="239">
        <f t="shared" ref="Q33" si="28">(Q32/P32)-1</f>
        <v>0.10832044412782849</v>
      </c>
      <c r="R33" s="239">
        <f t="shared" ref="R33" si="29">(R32/Q32)-1</f>
        <v>9.7284327426834682E-2</v>
      </c>
      <c r="S33" s="256">
        <f t="shared" ref="S33" si="30">(S32/R32)-1</f>
        <v>-2.940057804161067E-3</v>
      </c>
      <c r="T33" s="239">
        <f t="shared" ref="T33" si="31">(T32/S32)-1</f>
        <v>-4.8337020053246249E-4</v>
      </c>
      <c r="U33" s="239">
        <f t="shared" ref="U33" si="32">(U32/T32)-1</f>
        <v>1.7773995542396115E-3</v>
      </c>
      <c r="V33" s="239">
        <f t="shared" ref="V33" si="33">(V32/U32)-1</f>
        <v>5.0571433746138261E-3</v>
      </c>
      <c r="W33" s="256">
        <f t="shared" ref="W33" si="34">(W32/V32)-1</f>
        <v>-6.9009597145864854E-3</v>
      </c>
      <c r="X33" s="239">
        <f t="shared" ref="X33" si="35">(X32/W32)-1</f>
        <v>-7.3600484648445041E-3</v>
      </c>
      <c r="Y33" s="239">
        <f t="shared" ref="Y33" si="36">(Y32/X32)-1</f>
        <v>-5.7578885014823999E-3</v>
      </c>
      <c r="Z33" s="239">
        <f t="shared" ref="Z33" si="37">(Z32/Y32)-1</f>
        <v>-3.9166165225046345E-3</v>
      </c>
      <c r="AA33" s="256">
        <f t="shared" ref="AA33" si="38">(AA32/Z32)-1</f>
        <v>-4.736266687490609E-3</v>
      </c>
      <c r="AB33" s="253"/>
    </row>
    <row r="34" spans="1:28" s="97" customFormat="1" x14ac:dyDescent="0.2">
      <c r="B34" s="99" t="s">
        <v>179</v>
      </c>
      <c r="D34" s="103"/>
      <c r="E34" s="225"/>
      <c r="F34" s="225">
        <f t="shared" ref="F34" si="39">F31-F32</f>
        <v>187.0440000000001</v>
      </c>
      <c r="G34" s="150">
        <f t="shared" ref="G34" si="40">G31-G32</f>
        <v>110.25698590656407</v>
      </c>
      <c r="H34" s="225">
        <f t="shared" ref="H34" si="41">H31-H32</f>
        <v>107.63193107562813</v>
      </c>
      <c r="I34" s="225">
        <f t="shared" ref="I34" si="42">I31-I32</f>
        <v>116.0025854053485</v>
      </c>
      <c r="J34" s="225">
        <f t="shared" ref="J34" si="43">J31-J32</f>
        <v>138.64401002534075</v>
      </c>
      <c r="K34" s="150">
        <f t="shared" ref="K34:N34" si="44">K31-K32</f>
        <v>125.59921378630472</v>
      </c>
      <c r="L34" s="249">
        <f t="shared" si="44"/>
        <v>110.76885817974633</v>
      </c>
      <c r="M34" s="225">
        <f t="shared" si="44"/>
        <v>134.01495632101853</v>
      </c>
      <c r="N34" s="225">
        <f t="shared" si="44"/>
        <v>156.03495667590502</v>
      </c>
      <c r="O34" s="150">
        <f t="shared" ref="O34:AA34" si="45">O31-O32</f>
        <v>176.62440241677263</v>
      </c>
      <c r="P34" s="150">
        <f t="shared" si="45"/>
        <v>196.87054077745219</v>
      </c>
      <c r="Q34" s="150">
        <f t="shared" si="45"/>
        <v>218.19564519015159</v>
      </c>
      <c r="R34" s="150">
        <f t="shared" si="45"/>
        <v>239.42266177993977</v>
      </c>
      <c r="S34" s="150">
        <f t="shared" si="45"/>
        <v>238.71874531468063</v>
      </c>
      <c r="T34" s="150">
        <f t="shared" si="45"/>
        <v>238.60335578688702</v>
      </c>
      <c r="U34" s="150">
        <f t="shared" si="45"/>
        <v>239.0274492851027</v>
      </c>
      <c r="V34" s="150">
        <f t="shared" si="45"/>
        <v>240.23624536660571</v>
      </c>
      <c r="W34" s="150">
        <f t="shared" si="45"/>
        <v>238.57838471534725</v>
      </c>
      <c r="X34" s="150">
        <f t="shared" si="45"/>
        <v>236.822436241178</v>
      </c>
      <c r="Y34" s="150">
        <f t="shared" si="45"/>
        <v>235.45883905865185</v>
      </c>
      <c r="Z34" s="150">
        <f t="shared" si="45"/>
        <v>234.53663707922496</v>
      </c>
      <c r="AA34" s="150">
        <f t="shared" si="45"/>
        <v>233.42580901803058</v>
      </c>
      <c r="AB34" s="254"/>
    </row>
    <row r="35" spans="1:28" s="97" customFormat="1" x14ac:dyDescent="0.2">
      <c r="B35" s="99"/>
      <c r="D35" s="103"/>
      <c r="E35" s="225"/>
      <c r="F35" s="225"/>
      <c r="G35" s="150"/>
      <c r="H35" s="225"/>
      <c r="I35" s="225"/>
      <c r="J35" s="225"/>
      <c r="K35" s="150"/>
      <c r="L35" s="225"/>
      <c r="M35" s="225"/>
      <c r="N35" s="225"/>
      <c r="O35" s="183"/>
      <c r="P35" s="254"/>
      <c r="Q35" s="254"/>
      <c r="R35" s="254"/>
      <c r="S35" s="183"/>
      <c r="T35" s="254"/>
      <c r="U35" s="254"/>
      <c r="V35" s="254"/>
      <c r="W35" s="183"/>
      <c r="X35" s="254"/>
      <c r="Y35" s="254"/>
      <c r="Z35" s="254"/>
      <c r="AA35" s="183"/>
      <c r="AB35" s="254"/>
    </row>
    <row r="36" spans="1:28" s="97" customFormat="1" x14ac:dyDescent="0.2">
      <c r="B36" s="99"/>
      <c r="D36" s="103"/>
      <c r="E36" s="225"/>
      <c r="F36" s="225"/>
      <c r="G36" s="150"/>
      <c r="H36" s="225"/>
      <c r="I36" s="225"/>
      <c r="J36" s="225"/>
      <c r="K36" s="150"/>
      <c r="L36" s="225"/>
      <c r="M36" s="225"/>
      <c r="N36" s="225"/>
      <c r="O36" s="183"/>
      <c r="P36" s="254"/>
      <c r="Q36" s="254"/>
      <c r="R36" s="254"/>
      <c r="S36" s="183"/>
      <c r="T36" s="254"/>
      <c r="U36" s="254"/>
      <c r="V36" s="254"/>
      <c r="W36" s="183"/>
      <c r="X36" s="254"/>
      <c r="Y36" s="254"/>
      <c r="Z36" s="254"/>
      <c r="AA36" s="183"/>
      <c r="AB36" s="254"/>
    </row>
    <row r="37" spans="1:28" ht="19" x14ac:dyDescent="0.25">
      <c r="A37" s="110" t="s">
        <v>184</v>
      </c>
      <c r="B37" s="110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2">
      <c r="B38" t="s">
        <v>273</v>
      </c>
      <c r="D38" s="102"/>
      <c r="E38" s="104">
        <f>main!L22</f>
        <v>1779.8019999999999</v>
      </c>
      <c r="F38" s="104">
        <f>main!M22</f>
        <v>1871.3489999999999</v>
      </c>
      <c r="G38" s="149">
        <f>main!N22</f>
        <v>1909.1908330926583</v>
      </c>
      <c r="H38" s="104">
        <f>main!O22</f>
        <v>1940.8545978916857</v>
      </c>
      <c r="I38" s="104">
        <f>main!P22</f>
        <v>1971.716984299685</v>
      </c>
      <c r="J38" s="104">
        <f>main!Q22</f>
        <v>2004.7039552792487</v>
      </c>
      <c r="K38" s="149">
        <f>main!R22</f>
        <v>2026.797771152849</v>
      </c>
      <c r="L38" s="104"/>
      <c r="M38" s="104"/>
      <c r="N38" s="104"/>
      <c r="P38" s="95"/>
      <c r="Q38" s="95"/>
      <c r="R38" s="95"/>
      <c r="T38" s="95"/>
      <c r="U38" s="95"/>
      <c r="V38" s="95"/>
      <c r="X38" s="95"/>
      <c r="Y38" s="95"/>
      <c r="Z38" s="95"/>
      <c r="AB38" s="95"/>
    </row>
    <row r="39" spans="1:28" x14ac:dyDescent="0.2">
      <c r="B39" t="s">
        <v>178</v>
      </c>
      <c r="D39" s="102">
        <f t="shared" ref="D39:K39" si="46">D12</f>
        <v>1862.4</v>
      </c>
      <c r="E39" s="104">
        <f t="shared" si="46"/>
        <v>1779.8</v>
      </c>
      <c r="F39" s="104">
        <f t="shared" si="46"/>
        <v>1871.3</v>
      </c>
      <c r="G39" s="149">
        <f t="shared" si="46"/>
        <v>1909.1408422300119</v>
      </c>
      <c r="H39" s="104">
        <f t="shared" si="46"/>
        <v>1940.8037779349081</v>
      </c>
      <c r="I39" s="104">
        <f t="shared" si="46"/>
        <v>1971.6653562323229</v>
      </c>
      <c r="J39" s="104">
        <f t="shared" si="46"/>
        <v>2004.6514634705011</v>
      </c>
      <c r="K39" s="149">
        <f t="shared" si="46"/>
        <v>2026.7447008325701</v>
      </c>
      <c r="L39" s="104"/>
      <c r="M39" s="104"/>
      <c r="N39" s="104"/>
      <c r="P39" s="95"/>
      <c r="Q39" s="95"/>
      <c r="R39" s="95"/>
      <c r="T39" s="95"/>
      <c r="U39" s="95"/>
      <c r="V39" s="95"/>
      <c r="X39" s="95"/>
      <c r="Y39" s="95"/>
      <c r="Z39" s="95"/>
      <c r="AB39" s="95"/>
    </row>
    <row r="40" spans="1:28" s="97" customFormat="1" x14ac:dyDescent="0.2">
      <c r="B40" s="99" t="s">
        <v>179</v>
      </c>
      <c r="D40" s="103"/>
      <c r="E40" s="225"/>
      <c r="F40" s="225">
        <f>F38-F39</f>
        <v>4.8999999999978172E-2</v>
      </c>
      <c r="G40" s="150">
        <f t="shared" ref="G40:K40" si="47">G38-G39</f>
        <v>4.9990862646382084E-2</v>
      </c>
      <c r="H40" s="225">
        <f t="shared" si="47"/>
        <v>5.0819956777559128E-2</v>
      </c>
      <c r="I40" s="225">
        <f t="shared" si="47"/>
        <v>5.1628067362116781E-2</v>
      </c>
      <c r="J40" s="225">
        <f t="shared" si="47"/>
        <v>5.2491808747618052E-2</v>
      </c>
      <c r="K40" s="150">
        <f t="shared" si="47"/>
        <v>5.3070320278948202E-2</v>
      </c>
      <c r="L40" s="225">
        <v>0</v>
      </c>
      <c r="M40" s="225">
        <v>0</v>
      </c>
      <c r="N40" s="225">
        <v>0</v>
      </c>
      <c r="O40" s="150">
        <v>0</v>
      </c>
      <c r="P40" s="225">
        <v>0</v>
      </c>
      <c r="Q40" s="225">
        <v>0</v>
      </c>
      <c r="R40" s="225">
        <v>0</v>
      </c>
      <c r="S40" s="150">
        <v>0</v>
      </c>
      <c r="T40" s="225">
        <v>0</v>
      </c>
      <c r="U40" s="225">
        <v>0</v>
      </c>
      <c r="V40" s="225">
        <v>0</v>
      </c>
      <c r="W40" s="150">
        <v>0</v>
      </c>
      <c r="X40" s="225">
        <v>0</v>
      </c>
      <c r="Y40" s="225">
        <v>0</v>
      </c>
      <c r="Z40" s="225">
        <v>0</v>
      </c>
      <c r="AA40" s="150">
        <v>0</v>
      </c>
      <c r="AB40" s="254"/>
    </row>
    <row r="41" spans="1:28" x14ac:dyDescent="0.2">
      <c r="D41" s="102"/>
      <c r="E41" s="104"/>
      <c r="F41" s="104"/>
      <c r="G41" s="149"/>
      <c r="H41" s="104"/>
      <c r="I41" s="104"/>
      <c r="J41" s="104"/>
      <c r="K41" s="149"/>
      <c r="L41" s="104"/>
      <c r="M41" s="104"/>
      <c r="N41" s="104"/>
      <c r="P41" s="95"/>
      <c r="Q41" s="95"/>
      <c r="R41" s="95"/>
      <c r="T41" s="95"/>
      <c r="U41" s="95"/>
      <c r="V41" s="95"/>
      <c r="X41" s="95"/>
      <c r="Y41" s="95"/>
      <c r="Z41" s="95"/>
      <c r="AB41" s="95"/>
    </row>
    <row r="42" spans="1:28" x14ac:dyDescent="0.2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ht="19" x14ac:dyDescent="0.25">
      <c r="A43" s="110" t="s">
        <v>183</v>
      </c>
      <c r="B43" s="110"/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x14ac:dyDescent="0.2">
      <c r="B44" t="s">
        <v>273</v>
      </c>
      <c r="D44" s="102"/>
      <c r="E44" s="104">
        <f>main!L26</f>
        <v>54.2</v>
      </c>
      <c r="F44" s="104">
        <f>main!M26</f>
        <v>90.2</v>
      </c>
      <c r="G44" s="149">
        <f>main!N26</f>
        <v>92.023996135920015</v>
      </c>
      <c r="H44" s="104">
        <f>main!O26</f>
        <v>93.550206150659264</v>
      </c>
      <c r="I44" s="104">
        <f>main!P26</f>
        <v>95.037789308050833</v>
      </c>
      <c r="J44" s="104">
        <f>main!Q26</f>
        <v>96.627778552364219</v>
      </c>
      <c r="K44" s="149">
        <f>main!R26</f>
        <v>97.692712026450963</v>
      </c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2">
      <c r="B45" t="s">
        <v>178</v>
      </c>
      <c r="D45" s="102">
        <f t="shared" ref="D45:K45" si="48">D13</f>
        <v>62.7</v>
      </c>
      <c r="E45" s="104">
        <f t="shared" si="48"/>
        <v>54.2</v>
      </c>
      <c r="F45" s="104">
        <f t="shared" si="48"/>
        <v>90.2</v>
      </c>
      <c r="G45" s="149">
        <f t="shared" si="48"/>
        <v>92.023996135920015</v>
      </c>
      <c r="H45" s="104">
        <f t="shared" si="48"/>
        <v>93.550206150659292</v>
      </c>
      <c r="I45" s="104">
        <f t="shared" si="48"/>
        <v>95.037789308050847</v>
      </c>
      <c r="J45" s="104">
        <f t="shared" si="48"/>
        <v>96.627778552364276</v>
      </c>
      <c r="K45" s="149">
        <f t="shared" si="48"/>
        <v>97.692712026451019</v>
      </c>
      <c r="L45" s="104"/>
      <c r="M45" s="104"/>
      <c r="N45" s="104"/>
      <c r="O45" s="149"/>
      <c r="P45" s="104"/>
      <c r="Q45" s="104"/>
      <c r="R45" s="104"/>
      <c r="S45" s="149"/>
      <c r="T45" s="95"/>
      <c r="U45" s="95"/>
      <c r="V45" s="95"/>
      <c r="X45" s="95"/>
      <c r="Y45" s="95"/>
      <c r="Z45" s="95"/>
      <c r="AB45" s="95"/>
    </row>
    <row r="46" spans="1:28" s="97" customFormat="1" x14ac:dyDescent="0.2">
      <c r="B46" s="99" t="s">
        <v>179</v>
      </c>
      <c r="D46" s="103"/>
      <c r="E46" s="225"/>
      <c r="F46" s="225">
        <f>F44-F45</f>
        <v>0</v>
      </c>
      <c r="G46" s="150">
        <f t="shared" ref="G46:K46" si="49">G44-G45</f>
        <v>0</v>
      </c>
      <c r="H46" s="225">
        <f t="shared" si="49"/>
        <v>0</v>
      </c>
      <c r="I46" s="225">
        <f t="shared" si="49"/>
        <v>0</v>
      </c>
      <c r="J46" s="225">
        <f t="shared" si="49"/>
        <v>0</v>
      </c>
      <c r="K46" s="150">
        <f t="shared" si="49"/>
        <v>0</v>
      </c>
      <c r="L46" s="225">
        <v>0</v>
      </c>
      <c r="M46" s="225">
        <v>0</v>
      </c>
      <c r="N46" s="225">
        <v>0</v>
      </c>
      <c r="O46" s="150">
        <v>0</v>
      </c>
      <c r="P46" s="225">
        <v>0</v>
      </c>
      <c r="Q46" s="225">
        <v>0</v>
      </c>
      <c r="R46" s="225">
        <v>0</v>
      </c>
      <c r="S46" s="150">
        <v>0</v>
      </c>
      <c r="T46" s="225">
        <v>0</v>
      </c>
      <c r="U46" s="225">
        <v>0</v>
      </c>
      <c r="V46" s="225">
        <v>0</v>
      </c>
      <c r="W46" s="150">
        <v>0</v>
      </c>
      <c r="X46" s="225">
        <v>0</v>
      </c>
      <c r="Y46" s="225">
        <v>0</v>
      </c>
      <c r="Z46" s="225">
        <v>0</v>
      </c>
      <c r="AA46" s="150">
        <v>0</v>
      </c>
      <c r="AB46" s="254"/>
    </row>
    <row r="47" spans="1:28" x14ac:dyDescent="0.2">
      <c r="D47" s="102"/>
      <c r="E47" s="104"/>
      <c r="F47" s="104"/>
      <c r="G47" s="149"/>
      <c r="H47" s="104"/>
      <c r="I47" s="104"/>
      <c r="J47" s="104"/>
      <c r="K47" s="149"/>
      <c r="L47" s="104"/>
      <c r="M47" s="104"/>
      <c r="N47" s="104"/>
      <c r="P47" s="95"/>
      <c r="Q47" s="95"/>
      <c r="R47" s="95"/>
      <c r="T47" s="95"/>
      <c r="U47" s="95"/>
      <c r="V47" s="95"/>
      <c r="X47" s="95"/>
      <c r="Y47" s="95"/>
      <c r="Z47" s="95"/>
      <c r="AB47" s="95"/>
    </row>
    <row r="48" spans="1:28" x14ac:dyDescent="0.2">
      <c r="D48" s="102"/>
      <c r="E48" s="104"/>
      <c r="F48" s="104"/>
      <c r="G48" s="149"/>
      <c r="H48" s="104"/>
      <c r="I48" s="104"/>
      <c r="J48" s="104"/>
      <c r="K48" s="149"/>
      <c r="L48" s="104"/>
      <c r="M48" s="104"/>
      <c r="N48" s="104"/>
      <c r="P48" s="95"/>
      <c r="Q48" s="95"/>
      <c r="R48" s="95"/>
      <c r="T48" s="95"/>
      <c r="U48" s="95"/>
      <c r="V48" s="95"/>
      <c r="X48" s="95"/>
      <c r="Y48" s="95"/>
      <c r="Z48" s="95"/>
      <c r="AB48" s="95"/>
    </row>
    <row r="49" spans="1:28" ht="19" x14ac:dyDescent="0.25">
      <c r="A49" s="105" t="s">
        <v>189</v>
      </c>
      <c r="B49" s="105"/>
      <c r="D49" s="102"/>
      <c r="E49" s="104"/>
      <c r="F49" s="104"/>
      <c r="G49" s="149"/>
      <c r="H49" s="104"/>
      <c r="I49" s="104"/>
      <c r="J49" s="104"/>
      <c r="K49" s="149"/>
      <c r="L49" s="104"/>
      <c r="M49" s="104"/>
      <c r="N49" s="104"/>
      <c r="P49" s="95"/>
      <c r="Q49" s="95"/>
      <c r="R49" s="95"/>
      <c r="T49" s="95"/>
      <c r="U49" s="95"/>
      <c r="V49" s="95"/>
      <c r="X49" s="95"/>
      <c r="Y49" s="95"/>
      <c r="Z49" s="95"/>
      <c r="AB49" s="95"/>
    </row>
    <row r="50" spans="1:28" x14ac:dyDescent="0.2">
      <c r="B50" t="s">
        <v>189</v>
      </c>
      <c r="D50" s="102"/>
      <c r="E50" s="104">
        <f>main!L89/1000</f>
        <v>1336.6980000000001</v>
      </c>
      <c r="F50" s="104">
        <f>main!M89/1000</f>
        <v>1328.8050000000001</v>
      </c>
      <c r="G50" s="149">
        <f>main!N89/1000</f>
        <v>1368.1173718507844</v>
      </c>
      <c r="H50" s="104">
        <f>main!O89/1000</f>
        <v>1399.852444352445</v>
      </c>
      <c r="I50" s="104">
        <f>main!P89/1000</f>
        <v>1427.8063628181037</v>
      </c>
      <c r="J50" s="232">
        <f>main!Q89/1000</f>
        <v>1450.8060635893014</v>
      </c>
      <c r="K50" s="149">
        <f>J50*(1+K52)</f>
        <v>1487.713924862433</v>
      </c>
      <c r="L50" s="104">
        <f t="shared" ref="L50:AA50" si="50">K50*(1+L52)</f>
        <v>1524.6217861355647</v>
      </c>
      <c r="M50" s="104">
        <f t="shared" si="50"/>
        <v>1561.5296474086963</v>
      </c>
      <c r="N50" s="104">
        <f t="shared" si="50"/>
        <v>1598.4375086818279</v>
      </c>
      <c r="O50" s="149">
        <f t="shared" si="50"/>
        <v>1602.9572009631897</v>
      </c>
      <c r="P50" s="104">
        <f t="shared" si="50"/>
        <v>1607.4768932445511</v>
      </c>
      <c r="Q50" s="104">
        <f t="shared" si="50"/>
        <v>1611.9965855259129</v>
      </c>
      <c r="R50" s="104">
        <f t="shared" si="50"/>
        <v>1616.5162778072749</v>
      </c>
      <c r="S50" s="149">
        <f t="shared" si="50"/>
        <v>1628.8263704408703</v>
      </c>
      <c r="T50" s="104">
        <f t="shared" si="50"/>
        <v>1641.1364630744656</v>
      </c>
      <c r="U50" s="104">
        <f t="shared" si="50"/>
        <v>1653.44655570806</v>
      </c>
      <c r="V50" s="104">
        <f t="shared" si="50"/>
        <v>1665.7566483416565</v>
      </c>
      <c r="W50" s="149">
        <f t="shared" si="50"/>
        <v>1705.5391457274475</v>
      </c>
      <c r="X50" s="104">
        <f t="shared" si="50"/>
        <v>1745.3216431132385</v>
      </c>
      <c r="Y50" s="104">
        <f t="shared" si="50"/>
        <v>1785.1041404990306</v>
      </c>
      <c r="Z50" s="104">
        <f t="shared" si="50"/>
        <v>1824.8866378848215</v>
      </c>
      <c r="AA50" s="149">
        <f t="shared" si="50"/>
        <v>1854.6002781376694</v>
      </c>
      <c r="AB50" s="95"/>
    </row>
    <row r="51" spans="1:28" x14ac:dyDescent="0.2">
      <c r="B51" t="s">
        <v>178</v>
      </c>
      <c r="D51" s="102">
        <f t="shared" ref="D51:AA51" si="51">D15</f>
        <v>1228.1289999999999</v>
      </c>
      <c r="E51" s="104">
        <f t="shared" si="51"/>
        <v>1336.74</v>
      </c>
      <c r="F51" s="104">
        <f t="shared" si="51"/>
        <v>1328.7719999999999</v>
      </c>
      <c r="G51" s="149">
        <f t="shared" si="51"/>
        <v>1334.5316252300349</v>
      </c>
      <c r="H51" s="104">
        <f t="shared" si="51"/>
        <v>1340.2912504600711</v>
      </c>
      <c r="I51" s="104">
        <f t="shared" si="51"/>
        <v>1346.050875690107</v>
      </c>
      <c r="J51" s="232">
        <f t="shared" si="51"/>
        <v>1351.810500920142</v>
      </c>
      <c r="K51" s="149">
        <f t="shared" si="51"/>
        <v>1386.199959089409</v>
      </c>
      <c r="L51" s="104">
        <f t="shared" si="51"/>
        <v>1420.5894172586759</v>
      </c>
      <c r="M51" s="104">
        <f t="shared" si="51"/>
        <v>1454.978875427943</v>
      </c>
      <c r="N51" s="104">
        <f t="shared" si="51"/>
        <v>1489.36833359721</v>
      </c>
      <c r="O51" s="149">
        <f t="shared" si="51"/>
        <v>1493.5796252647931</v>
      </c>
      <c r="P51" s="104">
        <f t="shared" si="51"/>
        <v>1497.7909169323759</v>
      </c>
      <c r="Q51" s="104">
        <f t="shared" si="51"/>
        <v>1502.002208599959</v>
      </c>
      <c r="R51" s="104">
        <f t="shared" si="51"/>
        <v>1506.213500267542</v>
      </c>
      <c r="S51" s="149">
        <f t="shared" si="51"/>
        <v>1517.6836153346269</v>
      </c>
      <c r="T51" s="104">
        <f t="shared" si="51"/>
        <v>1529.153730401712</v>
      </c>
      <c r="U51" s="104">
        <f t="shared" si="51"/>
        <v>1540.6238454687959</v>
      </c>
      <c r="V51" s="104">
        <f t="shared" si="51"/>
        <v>1552.0939605358819</v>
      </c>
      <c r="W51" s="149">
        <f t="shared" si="51"/>
        <v>1589.1619043973051</v>
      </c>
      <c r="X51" s="104">
        <f t="shared" si="51"/>
        <v>1626.229848258728</v>
      </c>
      <c r="Y51" s="104">
        <f t="shared" si="51"/>
        <v>1663.2977921201521</v>
      </c>
      <c r="Z51" s="104">
        <f t="shared" si="51"/>
        <v>1700.365735981575</v>
      </c>
      <c r="AA51" s="149">
        <f t="shared" si="51"/>
        <v>1728.0518698642729</v>
      </c>
      <c r="AB51" s="95"/>
    </row>
    <row r="52" spans="1:28" s="171" customFormat="1" ht="12" x14ac:dyDescent="0.15">
      <c r="B52" s="213" t="s">
        <v>280</v>
      </c>
      <c r="D52" s="237"/>
      <c r="E52" s="252"/>
      <c r="F52" s="252"/>
      <c r="G52" s="238"/>
      <c r="H52" s="252"/>
      <c r="I52" s="252"/>
      <c r="J52" s="252"/>
      <c r="K52" s="256">
        <f t="shared" ref="K52" si="52">(K51/J51)-1</f>
        <v>2.5439555430187166E-2</v>
      </c>
      <c r="L52" s="239">
        <f t="shared" ref="L52" si="53">(L51/K51)-1</f>
        <v>2.4808439751980105E-2</v>
      </c>
      <c r="M52" s="239">
        <f t="shared" ref="M52" si="54">(M51/L51)-1</f>
        <v>2.4207880019005534E-2</v>
      </c>
      <c r="N52" s="239">
        <f t="shared" ref="N52" si="55">(N51/M51)-1</f>
        <v>2.3635709596919297E-2</v>
      </c>
      <c r="O52" s="256">
        <f t="shared" ref="O52" si="56">(O51/N51)-1</f>
        <v>2.8275689583192598E-3</v>
      </c>
      <c r="P52" s="239">
        <f t="shared" ref="P52" si="57">(P51/O51)-1</f>
        <v>2.8195963551900238E-3</v>
      </c>
      <c r="Q52" s="239">
        <f t="shared" ref="Q52" si="58">(Q51/P51)-1</f>
        <v>2.8116685846968359E-3</v>
      </c>
      <c r="R52" s="239">
        <f t="shared" ref="R52" si="59">(R51/Q51)-1</f>
        <v>2.8037852697357923E-3</v>
      </c>
      <c r="S52" s="256">
        <f t="shared" ref="S52" si="60">(S51/R51)-1</f>
        <v>7.6151986853441045E-3</v>
      </c>
      <c r="T52" s="239">
        <f t="shared" ref="T52" si="61">(T51/S51)-1</f>
        <v>7.5576457116564022E-3</v>
      </c>
      <c r="U52" s="239">
        <f t="shared" ref="U52" si="62">(U51/T51)-1</f>
        <v>7.5009561426311322E-3</v>
      </c>
      <c r="V52" s="239">
        <f t="shared" ref="V52" si="63">(V51/U51)-1</f>
        <v>7.4451106938409062E-3</v>
      </c>
      <c r="W52" s="256">
        <f t="shared" ref="W52" si="64">(W51/V51)-1</f>
        <v>2.3882538560117128E-2</v>
      </c>
      <c r="X52" s="239">
        <f t="shared" ref="X52" si="65">(X51/W51)-1</f>
        <v>2.3325467190506988E-2</v>
      </c>
      <c r="Y52" s="239">
        <f t="shared" ref="Y52" si="66">(Y51/X51)-1</f>
        <v>2.2793791358038495E-2</v>
      </c>
      <c r="Z52" s="239">
        <f t="shared" ref="Z52" si="67">(Z51/Y51)-1</f>
        <v>2.2285813182120418E-2</v>
      </c>
      <c r="AA52" s="256">
        <f t="shared" ref="AA52" si="68">(AA51/Z51)-1</f>
        <v>1.6282458118761944E-2</v>
      </c>
      <c r="AB52" s="253"/>
    </row>
    <row r="53" spans="1:28" s="97" customFormat="1" x14ac:dyDescent="0.2">
      <c r="B53" s="99" t="s">
        <v>179</v>
      </c>
      <c r="D53" s="103"/>
      <c r="E53" s="225"/>
      <c r="F53" s="225">
        <f t="shared" ref="F53" si="69">F50-F51</f>
        <v>3.3000000000129148E-2</v>
      </c>
      <c r="G53" s="150">
        <f t="shared" ref="G53" si="70">G50-G51</f>
        <v>33.585746620749433</v>
      </c>
      <c r="H53" s="225">
        <f t="shared" ref="H53" si="71">H50-H51</f>
        <v>59.561193892373922</v>
      </c>
      <c r="I53" s="225">
        <f t="shared" ref="I53" si="72">I50-I51</f>
        <v>81.75548712799673</v>
      </c>
      <c r="J53" s="249">
        <f t="shared" ref="J53" si="73">J50-J51</f>
        <v>98.995562669159426</v>
      </c>
      <c r="K53" s="150">
        <f t="shared" ref="K53:AA53" si="74">K50-K51</f>
        <v>101.51396577302398</v>
      </c>
      <c r="L53" s="225">
        <f t="shared" si="74"/>
        <v>104.03236887688877</v>
      </c>
      <c r="M53" s="225">
        <f t="shared" si="74"/>
        <v>106.55077198075332</v>
      </c>
      <c r="N53" s="225">
        <f t="shared" si="74"/>
        <v>109.06917508461788</v>
      </c>
      <c r="O53" s="150">
        <f t="shared" si="74"/>
        <v>109.37757569839664</v>
      </c>
      <c r="P53" s="225">
        <f t="shared" si="74"/>
        <v>109.68597631217517</v>
      </c>
      <c r="Q53" s="225">
        <f t="shared" si="74"/>
        <v>109.99437692595393</v>
      </c>
      <c r="R53" s="225">
        <f t="shared" si="74"/>
        <v>110.30277753973292</v>
      </c>
      <c r="S53" s="150">
        <f t="shared" si="74"/>
        <v>111.14275510624338</v>
      </c>
      <c r="T53" s="225">
        <f t="shared" si="74"/>
        <v>111.98273267275363</v>
      </c>
      <c r="U53" s="225">
        <f t="shared" si="74"/>
        <v>112.8227102392641</v>
      </c>
      <c r="V53" s="225">
        <f t="shared" si="74"/>
        <v>113.66268780577457</v>
      </c>
      <c r="W53" s="150">
        <f t="shared" si="74"/>
        <v>116.3772413301424</v>
      </c>
      <c r="X53" s="225">
        <f t="shared" si="74"/>
        <v>119.09179485451045</v>
      </c>
      <c r="Y53" s="225">
        <f t="shared" si="74"/>
        <v>121.80634837887851</v>
      </c>
      <c r="Z53" s="225">
        <f t="shared" si="74"/>
        <v>124.52090190324657</v>
      </c>
      <c r="AA53" s="150">
        <f t="shared" si="74"/>
        <v>126.54840827339649</v>
      </c>
      <c r="AB53" s="254"/>
    </row>
    <row r="54" spans="1:28" x14ac:dyDescent="0.2">
      <c r="D54" s="102"/>
      <c r="E54" s="104"/>
      <c r="F54" s="104"/>
      <c r="G54" s="149"/>
      <c r="H54" s="104"/>
      <c r="I54" s="104"/>
      <c r="J54" s="104"/>
      <c r="K54" s="149"/>
      <c r="L54" s="104"/>
      <c r="M54" s="104"/>
      <c r="N54" s="104"/>
      <c r="P54" s="95"/>
      <c r="Q54" s="95"/>
      <c r="R54" s="95"/>
      <c r="T54" s="95"/>
      <c r="U54" s="95"/>
      <c r="V54" s="95"/>
      <c r="X54" s="95"/>
      <c r="Y54" s="95"/>
      <c r="Z54" s="95"/>
      <c r="AB54" s="95"/>
    </row>
    <row r="55" spans="1:28" x14ac:dyDescent="0.2">
      <c r="D55" s="102"/>
      <c r="E55" s="104"/>
      <c r="F55" s="104"/>
      <c r="G55" s="149"/>
      <c r="H55" s="104"/>
      <c r="I55" s="104"/>
      <c r="J55" s="104"/>
      <c r="K55" s="149"/>
      <c r="L55" s="104"/>
      <c r="M55" s="104"/>
      <c r="N55" s="104"/>
      <c r="P55" s="95"/>
      <c r="Q55" s="95"/>
      <c r="R55" s="95"/>
      <c r="T55" s="95"/>
      <c r="U55" s="95"/>
      <c r="V55" s="95"/>
      <c r="X55" s="95"/>
      <c r="Y55" s="95"/>
      <c r="Z55" s="95"/>
      <c r="AB55" s="95"/>
    </row>
    <row r="56" spans="1:28" ht="19" x14ac:dyDescent="0.25">
      <c r="A56" s="105" t="s">
        <v>190</v>
      </c>
      <c r="B56" s="105"/>
      <c r="D56" s="102"/>
      <c r="E56" s="104"/>
      <c r="F56" s="104"/>
      <c r="G56" s="149"/>
      <c r="H56" s="104"/>
      <c r="I56" s="104"/>
      <c r="J56" s="104"/>
      <c r="K56" s="149"/>
      <c r="L56" s="104"/>
      <c r="M56" s="104"/>
      <c r="N56" s="104"/>
      <c r="P56" s="95"/>
      <c r="Q56" s="95"/>
      <c r="R56" s="95"/>
      <c r="T56" s="95"/>
      <c r="U56" s="95"/>
      <c r="V56" s="95"/>
      <c r="X56" s="95"/>
      <c r="Y56" s="95"/>
      <c r="Z56" s="95"/>
      <c r="AB56" s="95"/>
    </row>
    <row r="57" spans="1:28" ht="16" x14ac:dyDescent="0.2">
      <c r="B57" s="86" t="s">
        <v>190</v>
      </c>
      <c r="D57" s="102">
        <f>main!K88/1000</f>
        <v>1574.462</v>
      </c>
      <c r="E57" s="104">
        <f>main!L88/1000</f>
        <v>3741.5573333333332</v>
      </c>
      <c r="F57" s="104">
        <f>main!M88/1000</f>
        <v>2466.0010000000002</v>
      </c>
      <c r="G57" s="149">
        <f>main!N88/1000</f>
        <v>1966.8823341534182</v>
      </c>
      <c r="H57" s="104">
        <f>main!O88/1000</f>
        <v>3089.2255068547402</v>
      </c>
      <c r="I57" s="104">
        <f>main!P88/1000</f>
        <v>1856.5115519714532</v>
      </c>
      <c r="J57" s="104">
        <f>main!Q88/1000</f>
        <v>1668.2677153316674</v>
      </c>
      <c r="K57" s="274">
        <f>main!R88/1000</f>
        <v>1664.5717310616424</v>
      </c>
      <c r="L57" s="104">
        <f>K57*(1+L59)</f>
        <v>1681.2727898882304</v>
      </c>
      <c r="M57" s="104">
        <f t="shared" ref="M57:AA57" si="75">L57*(1+M59)</f>
        <v>1680.5644533994202</v>
      </c>
      <c r="N57" s="104">
        <f t="shared" si="75"/>
        <v>1655.7496888137784</v>
      </c>
      <c r="O57" s="104">
        <f t="shared" si="75"/>
        <v>1657.566423178687</v>
      </c>
      <c r="P57" s="104">
        <f t="shared" si="75"/>
        <v>1660.3895203244397</v>
      </c>
      <c r="Q57" s="104">
        <f t="shared" si="75"/>
        <v>1663.9008680978411</v>
      </c>
      <c r="R57" s="104">
        <f t="shared" si="75"/>
        <v>1669.3841935883013</v>
      </c>
      <c r="S57" s="104">
        <f t="shared" si="75"/>
        <v>1686.2794632075206</v>
      </c>
      <c r="T57" s="104">
        <f t="shared" si="75"/>
        <v>1702.5126834431453</v>
      </c>
      <c r="U57" s="104">
        <f t="shared" si="75"/>
        <v>1715.659023623029</v>
      </c>
      <c r="V57" s="104">
        <f t="shared" si="75"/>
        <v>1726.9132010123569</v>
      </c>
      <c r="W57" s="104">
        <f t="shared" si="75"/>
        <v>1766.739208199637</v>
      </c>
      <c r="X57" s="104">
        <f t="shared" si="75"/>
        <v>1800.3369771000982</v>
      </c>
      <c r="Y57" s="104">
        <f t="shared" si="75"/>
        <v>1828.4173669491454</v>
      </c>
      <c r="Z57" s="104">
        <f t="shared" si="75"/>
        <v>1850.3866279624326</v>
      </c>
      <c r="AA57" s="104">
        <f t="shared" si="75"/>
        <v>1862.2029187784933</v>
      </c>
      <c r="AB57" s="95"/>
    </row>
    <row r="58" spans="1:28" x14ac:dyDescent="0.2">
      <c r="B58" t="s">
        <v>178</v>
      </c>
      <c r="D58" s="102">
        <f t="shared" ref="D58:AA58" si="76">D16</f>
        <v>1574.779</v>
      </c>
      <c r="E58" s="104">
        <f t="shared" si="76"/>
        <v>3763.7893333333341</v>
      </c>
      <c r="F58" s="104">
        <f t="shared" si="76"/>
        <v>2653.2669999999998</v>
      </c>
      <c r="G58" s="149">
        <f t="shared" si="76"/>
        <v>2317.9343666284731</v>
      </c>
      <c r="H58" s="104">
        <f t="shared" si="76"/>
        <v>2053.9178721883209</v>
      </c>
      <c r="I58" s="104">
        <f t="shared" si="76"/>
        <v>1841.244964503114</v>
      </c>
      <c r="J58" s="104">
        <f t="shared" si="76"/>
        <v>1692.806943814478</v>
      </c>
      <c r="K58" s="274">
        <f t="shared" si="76"/>
        <v>1738.8476760207</v>
      </c>
      <c r="L58" s="104">
        <f t="shared" si="76"/>
        <v>1756.293963726893</v>
      </c>
      <c r="M58" s="104">
        <f t="shared" si="76"/>
        <v>1755.5540200918881</v>
      </c>
      <c r="N58" s="104">
        <f t="shared" si="76"/>
        <v>1729.6319796501559</v>
      </c>
      <c r="O58" s="149">
        <f t="shared" si="76"/>
        <v>1731.529779708525</v>
      </c>
      <c r="P58" s="104">
        <f t="shared" si="76"/>
        <v>1734.478848120219</v>
      </c>
      <c r="Q58" s="104">
        <f t="shared" si="76"/>
        <v>1738.1468780413959</v>
      </c>
      <c r="R58" s="104">
        <f t="shared" si="76"/>
        <v>1743.874878588342</v>
      </c>
      <c r="S58" s="149">
        <f t="shared" si="76"/>
        <v>1761.5240430940889</v>
      </c>
      <c r="T58" s="104">
        <f t="shared" si="76"/>
        <v>1778.481616477271</v>
      </c>
      <c r="U58" s="104">
        <f t="shared" si="76"/>
        <v>1792.214568108853</v>
      </c>
      <c r="V58" s="104">
        <f t="shared" si="76"/>
        <v>1803.970925515257</v>
      </c>
      <c r="W58" s="149">
        <f t="shared" si="76"/>
        <v>1845.574035042185</v>
      </c>
      <c r="X58" s="104">
        <f t="shared" si="76"/>
        <v>1880.670991984249</v>
      </c>
      <c r="Y58" s="104">
        <f t="shared" si="76"/>
        <v>1910.0043752921761</v>
      </c>
      <c r="Z58" s="104">
        <f t="shared" si="76"/>
        <v>1932.953941083782</v>
      </c>
      <c r="AA58" s="149">
        <f t="shared" si="76"/>
        <v>1945.2974943481329</v>
      </c>
      <c r="AB58" s="95"/>
    </row>
    <row r="59" spans="1:28" s="171" customFormat="1" ht="12" x14ac:dyDescent="0.15">
      <c r="B59" s="213" t="s">
        <v>280</v>
      </c>
      <c r="D59" s="237"/>
      <c r="E59" s="252"/>
      <c r="F59" s="252"/>
      <c r="G59" s="238"/>
      <c r="H59" s="252"/>
      <c r="I59" s="252"/>
      <c r="J59" s="252"/>
      <c r="K59" s="256"/>
      <c r="L59" s="239">
        <f t="shared" ref="L59" si="77">(L58/K58)-1</f>
        <v>1.0033246699399534E-2</v>
      </c>
      <c r="M59" s="239">
        <f t="shared" ref="M59" si="78">(M58/L58)-1</f>
        <v>-4.2130967268982911E-4</v>
      </c>
      <c r="N59" s="239">
        <f t="shared" ref="N59" si="79">(N58/M58)-1</f>
        <v>-1.4765732153531497E-2</v>
      </c>
      <c r="O59" s="256">
        <f t="shared" ref="O59" si="80">(O58/N58)-1</f>
        <v>1.0972276650162982E-3</v>
      </c>
      <c r="P59" s="239">
        <f t="shared" ref="P59" si="81">(P58/O58)-1</f>
        <v>1.7031577777371076E-3</v>
      </c>
      <c r="Q59" s="239">
        <f t="shared" ref="Q59" si="82">(Q58/P58)-1</f>
        <v>2.114773509721557E-3</v>
      </c>
      <c r="R59" s="239">
        <f t="shared" ref="R59" si="83">(R58/Q58)-1</f>
        <v>3.2954640481248632E-3</v>
      </c>
      <c r="S59" s="256">
        <f t="shared" ref="S59" si="84">(S58/R58)-1</f>
        <v>1.0120659872131288E-2</v>
      </c>
      <c r="T59" s="239">
        <f t="shared" ref="T59" si="85">(T58/S58)-1</f>
        <v>9.626648838352736E-3</v>
      </c>
      <c r="U59" s="239">
        <f t="shared" ref="U59" si="86">(U58/T58)-1</f>
        <v>7.7217281890062939E-3</v>
      </c>
      <c r="V59" s="239">
        <f t="shared" ref="V59" si="87">(V58/U58)-1</f>
        <v>6.5596818682316371E-3</v>
      </c>
      <c r="W59" s="256">
        <f t="shared" ref="W59" si="88">(W58/V58)-1</f>
        <v>2.3061962329046448E-2</v>
      </c>
      <c r="X59" s="239">
        <f t="shared" ref="X59" si="89">(X58/W58)-1</f>
        <v>1.9016824183518466E-2</v>
      </c>
      <c r="Y59" s="239">
        <f t="shared" ref="Y59" si="90">(Y58/X58)-1</f>
        <v>1.5597296620701417E-2</v>
      </c>
      <c r="Z59" s="239">
        <f t="shared" ref="Z59" si="91">(Z58/Y58)-1</f>
        <v>1.20154519479021E-2</v>
      </c>
      <c r="AA59" s="256">
        <f t="shared" ref="AA59" si="92">(AA58/Z58)-1</f>
        <v>6.3858496583886204E-3</v>
      </c>
      <c r="AB59" s="253"/>
    </row>
    <row r="60" spans="1:28" s="97" customFormat="1" x14ac:dyDescent="0.2">
      <c r="B60" s="99" t="s">
        <v>179</v>
      </c>
      <c r="D60" s="103"/>
      <c r="E60" s="225"/>
      <c r="F60" s="225">
        <f t="shared" ref="F60" si="93">F57-F58</f>
        <v>-187.26599999999962</v>
      </c>
      <c r="G60" s="150">
        <f t="shared" ref="G60" si="94">G57-G58</f>
        <v>-351.05203247505483</v>
      </c>
      <c r="H60" s="225">
        <f t="shared" ref="H60" si="95">H57-H58</f>
        <v>1035.3076346664193</v>
      </c>
      <c r="I60" s="225">
        <f t="shared" ref="I60" si="96">I57-I58</f>
        <v>15.266587468339139</v>
      </c>
      <c r="J60" s="225">
        <f t="shared" ref="J60" si="97">J57-J58</f>
        <v>-24.539228482810586</v>
      </c>
      <c r="K60" s="275">
        <f t="shared" ref="K60" si="98">K57-K58</f>
        <v>-74.275944959057597</v>
      </c>
      <c r="L60" s="225">
        <f t="shared" ref="L60:AA60" si="99">L57-L58</f>
        <v>-75.021173838662662</v>
      </c>
      <c r="M60" s="225">
        <f t="shared" si="99"/>
        <v>-74.989566692467861</v>
      </c>
      <c r="N60" s="225">
        <f t="shared" si="99"/>
        <v>-73.882290836377479</v>
      </c>
      <c r="O60" s="150">
        <f t="shared" si="99"/>
        <v>-73.963356529837938</v>
      </c>
      <c r="P60" s="225">
        <f t="shared" si="99"/>
        <v>-74.089327795779354</v>
      </c>
      <c r="Q60" s="225">
        <f t="shared" si="99"/>
        <v>-74.246009943554782</v>
      </c>
      <c r="R60" s="225">
        <f t="shared" si="99"/>
        <v>-74.490685000040685</v>
      </c>
      <c r="S60" s="150">
        <f t="shared" si="99"/>
        <v>-75.244579886568317</v>
      </c>
      <c r="T60" s="225">
        <f t="shared" si="99"/>
        <v>-75.968933034125712</v>
      </c>
      <c r="U60" s="225">
        <f t="shared" si="99"/>
        <v>-76.55554448582393</v>
      </c>
      <c r="V60" s="225">
        <f t="shared" si="99"/>
        <v>-77.057724502900101</v>
      </c>
      <c r="W60" s="150">
        <f t="shared" si="99"/>
        <v>-78.834826842547955</v>
      </c>
      <c r="X60" s="225">
        <f t="shared" si="99"/>
        <v>-80.334014884150747</v>
      </c>
      <c r="Y60" s="225">
        <f t="shared" si="99"/>
        <v>-81.587008343030675</v>
      </c>
      <c r="Z60" s="225">
        <f t="shared" si="99"/>
        <v>-82.567313121349343</v>
      </c>
      <c r="AA60" s="150">
        <f t="shared" si="99"/>
        <v>-83.094575569639574</v>
      </c>
      <c r="AB60" s="254"/>
    </row>
    <row r="61" spans="1:28" s="97" customFormat="1" x14ac:dyDescent="0.2">
      <c r="B61" s="99"/>
      <c r="D61" s="103"/>
      <c r="E61" s="225"/>
      <c r="F61" s="225"/>
      <c r="G61" s="150"/>
      <c r="H61" s="225"/>
      <c r="I61" s="225"/>
      <c r="J61" s="225"/>
      <c r="K61" s="150"/>
      <c r="L61" s="225"/>
      <c r="M61" s="225"/>
      <c r="N61" s="225"/>
      <c r="O61" s="183"/>
      <c r="P61" s="254"/>
      <c r="Q61" s="254"/>
      <c r="R61" s="254"/>
      <c r="S61" s="183"/>
      <c r="T61" s="254"/>
      <c r="U61" s="254"/>
      <c r="V61" s="254"/>
      <c r="W61" s="183"/>
      <c r="X61" s="254"/>
      <c r="Y61" s="254"/>
      <c r="Z61" s="254"/>
      <c r="AA61" s="183"/>
      <c r="AB61" s="254"/>
    </row>
    <row r="62" spans="1:28" s="97" customFormat="1" x14ac:dyDescent="0.2">
      <c r="B62" s="99"/>
      <c r="D62" s="103"/>
      <c r="E62" s="225"/>
      <c r="F62" s="225"/>
      <c r="G62" s="150"/>
      <c r="H62" s="225"/>
      <c r="I62" s="225"/>
      <c r="J62" s="225"/>
      <c r="K62" s="150"/>
      <c r="L62" s="225"/>
      <c r="M62" s="225"/>
      <c r="N62" s="225"/>
      <c r="O62" s="183"/>
      <c r="P62" s="254"/>
      <c r="Q62" s="254"/>
      <c r="R62" s="254"/>
      <c r="S62" s="183"/>
      <c r="T62" s="254"/>
      <c r="U62" s="254"/>
      <c r="V62" s="254"/>
      <c r="W62" s="183"/>
      <c r="X62" s="254"/>
      <c r="Y62" s="254"/>
      <c r="Z62" s="254"/>
      <c r="AA62" s="183"/>
      <c r="AB62" s="254"/>
    </row>
    <row r="63" spans="1:28" ht="19" x14ac:dyDescent="0.25">
      <c r="A63" s="105" t="s">
        <v>191</v>
      </c>
      <c r="B63" s="105"/>
      <c r="D63" s="102"/>
      <c r="E63" s="104"/>
      <c r="F63" s="104"/>
      <c r="G63" s="149"/>
      <c r="H63" s="104"/>
      <c r="I63" s="104"/>
      <c r="J63" s="104"/>
      <c r="K63" s="149"/>
      <c r="L63" s="104"/>
      <c r="M63" s="104"/>
      <c r="N63" s="104"/>
      <c r="P63" s="95"/>
      <c r="Q63" s="95"/>
      <c r="R63" s="95"/>
      <c r="T63" s="95"/>
      <c r="U63" s="95"/>
      <c r="V63" s="95"/>
      <c r="X63" s="95"/>
      <c r="Y63" s="95"/>
      <c r="Z63" s="95"/>
      <c r="AB63" s="95"/>
    </row>
    <row r="64" spans="1:28" x14ac:dyDescent="0.2">
      <c r="B64" t="s">
        <v>212</v>
      </c>
      <c r="D64" s="100"/>
      <c r="E64" s="104">
        <f>main!L50/1000</f>
        <v>1086.548</v>
      </c>
      <c r="F64" s="104">
        <f>main!M50/1000</f>
        <v>1213.48</v>
      </c>
      <c r="G64" s="149">
        <f>main!N50/1000</f>
        <v>382.93200834658188</v>
      </c>
      <c r="H64" s="104">
        <f>main!O50/1000</f>
        <v>794.08358333333342</v>
      </c>
      <c r="I64" s="104">
        <f>main!P50/1000</f>
        <v>794.08358333333342</v>
      </c>
      <c r="J64" s="104">
        <f>main!Q50/1000</f>
        <v>144.08358333333331</v>
      </c>
      <c r="K64" s="149">
        <f>main!R50/1000</f>
        <v>122.75024999999999</v>
      </c>
      <c r="L64" s="232">
        <f>main!S50/1000</f>
        <v>77.330250000000007</v>
      </c>
      <c r="M64" s="240">
        <f>L64*(1+M66)</f>
        <v>77.668082321497494</v>
      </c>
      <c r="N64" s="240">
        <f>M64*(1+N66)</f>
        <v>78.010230735371749</v>
      </c>
      <c r="O64" s="257">
        <f>N64*(1+O66)</f>
        <v>78.356695241622859</v>
      </c>
      <c r="P64" s="240">
        <f>O64*(1+P66)</f>
        <v>78.70826058431939</v>
      </c>
      <c r="Q64" s="240">
        <f t="shared" ref="Q64:AA64" si="100">P64*(1+Q66)</f>
        <v>79.061395415152944</v>
      </c>
      <c r="R64" s="240">
        <f t="shared" si="100"/>
        <v>79.419631082431863</v>
      </c>
      <c r="S64" s="257">
        <f t="shared" si="100"/>
        <v>79.782967586156147</v>
      </c>
      <c r="T64" s="240">
        <f t="shared" si="100"/>
        <v>80.150227810223072</v>
      </c>
      <c r="U64" s="240">
        <f t="shared" si="100"/>
        <v>80.518272778358522</v>
      </c>
      <c r="V64" s="240">
        <f t="shared" si="100"/>
        <v>80.888279606665222</v>
      </c>
      <c r="W64" s="257">
        <f t="shared" si="100"/>
        <v>81.260248295143214</v>
      </c>
      <c r="X64" s="240">
        <f t="shared" si="100"/>
        <v>81.633001727689773</v>
      </c>
      <c r="Y64" s="240">
        <f t="shared" si="100"/>
        <v>82.003793300064999</v>
      </c>
      <c r="Z64" s="240">
        <f t="shared" si="100"/>
        <v>82.374977244474536</v>
      </c>
      <c r="AA64" s="257">
        <f t="shared" si="100"/>
        <v>82.746161188884003</v>
      </c>
      <c r="AB64" s="95"/>
    </row>
    <row r="65" spans="1:32" x14ac:dyDescent="0.2">
      <c r="B65" t="s">
        <v>178</v>
      </c>
      <c r="D65" s="102">
        <f t="shared" ref="D65:AA65" si="101">D19</f>
        <v>74.5</v>
      </c>
      <c r="E65" s="104">
        <f t="shared" si="101"/>
        <v>1085.9000000000001</v>
      </c>
      <c r="F65" s="104">
        <f t="shared" si="101"/>
        <v>1212.9000000000001</v>
      </c>
      <c r="G65" s="149">
        <f t="shared" si="101"/>
        <v>1216.8721393835281</v>
      </c>
      <c r="H65" s="104">
        <f t="shared" si="101"/>
        <v>1220.995358553434</v>
      </c>
      <c r="I65" s="104">
        <f t="shared" si="101"/>
        <v>1225.4081473138981</v>
      </c>
      <c r="J65" s="104">
        <f t="shared" si="101"/>
        <v>1230.1734555759119</v>
      </c>
      <c r="K65" s="149">
        <f t="shared" si="101"/>
        <v>1235.310168312772</v>
      </c>
      <c r="L65" s="232">
        <f t="shared" si="101"/>
        <v>1240.6420257737041</v>
      </c>
      <c r="M65" s="104">
        <f t="shared" si="101"/>
        <v>1246.0620131100241</v>
      </c>
      <c r="N65" s="104">
        <f t="shared" si="101"/>
        <v>1251.551245348433</v>
      </c>
      <c r="O65" s="149">
        <f t="shared" si="101"/>
        <v>1257.109722488932</v>
      </c>
      <c r="P65" s="104">
        <f t="shared" si="101"/>
        <v>1262.75003451372</v>
      </c>
      <c r="Q65" s="104">
        <f t="shared" si="101"/>
        <v>1268.415526502904</v>
      </c>
      <c r="R65" s="104">
        <f t="shared" si="101"/>
        <v>1274.162853376376</v>
      </c>
      <c r="S65" s="149">
        <f t="shared" si="101"/>
        <v>1279.992015134136</v>
      </c>
      <c r="T65" s="104">
        <f t="shared" si="101"/>
        <v>1285.884126802888</v>
      </c>
      <c r="U65" s="104">
        <f t="shared" si="101"/>
        <v>1291.7888284538381</v>
      </c>
      <c r="V65" s="104">
        <f t="shared" si="101"/>
        <v>1297.7250050602829</v>
      </c>
      <c r="W65" s="149">
        <f t="shared" si="101"/>
        <v>1303.692656622223</v>
      </c>
      <c r="X65" s="104">
        <f t="shared" si="101"/>
        <v>1309.6728981663621</v>
      </c>
      <c r="Y65" s="104">
        <f t="shared" si="101"/>
        <v>1315.621664755005</v>
      </c>
      <c r="Z65" s="104">
        <f t="shared" si="101"/>
        <v>1321.5767263347479</v>
      </c>
      <c r="AA65" s="149">
        <f t="shared" si="101"/>
        <v>1327.53178791449</v>
      </c>
      <c r="AB65" s="95"/>
    </row>
    <row r="66" spans="1:32" s="171" customFormat="1" ht="12" x14ac:dyDescent="0.15">
      <c r="B66" s="213" t="s">
        <v>280</v>
      </c>
      <c r="D66" s="237"/>
      <c r="E66" s="252"/>
      <c r="F66" s="252"/>
      <c r="G66" s="238"/>
      <c r="H66" s="252"/>
      <c r="I66" s="252"/>
      <c r="J66" s="252"/>
      <c r="K66" s="238"/>
      <c r="L66" s="239"/>
      <c r="M66" s="239">
        <f t="shared" ref="M66:AA66" si="102">(M65/L65)-1</f>
        <v>4.3686955815800399E-3</v>
      </c>
      <c r="N66" s="239">
        <f t="shared" si="102"/>
        <v>4.4052640885090533E-3</v>
      </c>
      <c r="O66" s="256">
        <f t="shared" si="102"/>
        <v>4.4412701127163334E-3</v>
      </c>
      <c r="P66" s="239">
        <f t="shared" si="102"/>
        <v>4.4867300951429989E-3</v>
      </c>
      <c r="Q66" s="239">
        <f t="shared" si="102"/>
        <v>4.486629843067691E-3</v>
      </c>
      <c r="R66" s="239">
        <f t="shared" si="102"/>
        <v>4.5311073172666916E-3</v>
      </c>
      <c r="S66" s="256">
        <f t="shared" si="102"/>
        <v>4.5748953850863749E-3</v>
      </c>
      <c r="T66" s="239">
        <f t="shared" si="102"/>
        <v>4.6032409570417876E-3</v>
      </c>
      <c r="U66" s="239">
        <f t="shared" si="102"/>
        <v>4.5919391396727072E-3</v>
      </c>
      <c r="V66" s="239">
        <f t="shared" si="102"/>
        <v>4.5953150202961979E-3</v>
      </c>
      <c r="W66" s="256">
        <f t="shared" si="102"/>
        <v>4.5985486437190026E-3</v>
      </c>
      <c r="X66" s="239">
        <f t="shared" si="102"/>
        <v>4.5871559633030579E-3</v>
      </c>
      <c r="Y66" s="239">
        <f t="shared" si="102"/>
        <v>4.5421773612110972E-3</v>
      </c>
      <c r="Z66" s="239">
        <f t="shared" si="102"/>
        <v>4.5264240771316633E-3</v>
      </c>
      <c r="AA66" s="256">
        <f t="shared" si="102"/>
        <v>4.5060278840243218E-3</v>
      </c>
      <c r="AB66" s="253"/>
    </row>
    <row r="67" spans="1:32" s="97" customFormat="1" x14ac:dyDescent="0.2">
      <c r="B67" s="99" t="s">
        <v>179</v>
      </c>
      <c r="D67" s="103"/>
      <c r="E67" s="225"/>
      <c r="F67" s="225">
        <f>F64-F65</f>
        <v>0.57999999999992724</v>
      </c>
      <c r="G67" s="150">
        <f t="shared" ref="G67:AA67" si="103">G64-G65</f>
        <v>-833.94013103694624</v>
      </c>
      <c r="H67" s="225">
        <f t="shared" si="103"/>
        <v>-426.91177522010059</v>
      </c>
      <c r="I67" s="225">
        <f t="shared" si="103"/>
        <v>-431.32456398056468</v>
      </c>
      <c r="J67" s="225">
        <f t="shared" si="103"/>
        <v>-1086.0898722425786</v>
      </c>
      <c r="K67" s="150">
        <f t="shared" si="103"/>
        <v>-1112.559918312772</v>
      </c>
      <c r="L67" s="225">
        <f t="shared" si="103"/>
        <v>-1163.3117757737041</v>
      </c>
      <c r="M67" s="225">
        <f t="shared" si="103"/>
        <v>-1168.3939307885266</v>
      </c>
      <c r="N67" s="225">
        <f t="shared" si="103"/>
        <v>-1173.5410146130612</v>
      </c>
      <c r="O67" s="150">
        <f t="shared" si="103"/>
        <v>-1178.7530272473091</v>
      </c>
      <c r="P67" s="225">
        <f t="shared" si="103"/>
        <v>-1184.0417739294007</v>
      </c>
      <c r="Q67" s="225">
        <f t="shared" si="103"/>
        <v>-1189.3541310877511</v>
      </c>
      <c r="R67" s="225">
        <f t="shared" si="103"/>
        <v>-1194.7432222939442</v>
      </c>
      <c r="S67" s="150">
        <f t="shared" si="103"/>
        <v>-1200.2090475479797</v>
      </c>
      <c r="T67" s="225">
        <f t="shared" si="103"/>
        <v>-1205.733898992665</v>
      </c>
      <c r="U67" s="225">
        <f t="shared" si="103"/>
        <v>-1211.2705556754795</v>
      </c>
      <c r="V67" s="225">
        <f t="shared" si="103"/>
        <v>-1216.8367254536176</v>
      </c>
      <c r="W67" s="150">
        <f t="shared" si="103"/>
        <v>-1222.4324083270799</v>
      </c>
      <c r="X67" s="225">
        <f t="shared" si="103"/>
        <v>-1228.0398964386723</v>
      </c>
      <c r="Y67" s="225">
        <f t="shared" si="103"/>
        <v>-1233.6178714549401</v>
      </c>
      <c r="Z67" s="225">
        <f t="shared" si="103"/>
        <v>-1239.2017490902733</v>
      </c>
      <c r="AA67" s="150">
        <f t="shared" si="103"/>
        <v>-1244.7856267256061</v>
      </c>
      <c r="AB67" s="225"/>
      <c r="AC67" s="225"/>
      <c r="AD67" s="150"/>
      <c r="AE67" s="150"/>
      <c r="AF67" s="150"/>
    </row>
    <row r="68" spans="1:32" x14ac:dyDescent="0.2">
      <c r="D68" s="102"/>
      <c r="E68" s="104"/>
      <c r="F68" s="104"/>
      <c r="G68" s="149"/>
      <c r="H68" s="104"/>
      <c r="I68" s="104"/>
      <c r="J68" s="104"/>
      <c r="K68" s="149"/>
      <c r="L68" s="104"/>
      <c r="M68" s="104"/>
      <c r="N68" s="104"/>
      <c r="P68" s="95"/>
      <c r="Q68" s="95"/>
      <c r="R68" s="95"/>
      <c r="T68" s="95"/>
      <c r="U68" s="95"/>
      <c r="V68" s="95"/>
      <c r="X68" s="95"/>
      <c r="Y68" s="95"/>
      <c r="Z68" s="95"/>
      <c r="AB68" s="95"/>
    </row>
    <row r="69" spans="1:32" x14ac:dyDescent="0.2">
      <c r="D69" s="102"/>
      <c r="E69" s="104"/>
      <c r="F69" s="104"/>
      <c r="G69" s="149"/>
      <c r="H69" s="104"/>
      <c r="I69" s="104"/>
      <c r="J69" s="104"/>
      <c r="K69" s="149"/>
      <c r="L69" s="104"/>
      <c r="M69" s="104"/>
      <c r="N69" s="104"/>
      <c r="P69" s="95"/>
      <c r="Q69" s="95"/>
      <c r="R69" s="95"/>
      <c r="T69" s="95"/>
      <c r="U69" s="95"/>
      <c r="V69" s="95"/>
      <c r="X69" s="95"/>
      <c r="Y69" s="95"/>
      <c r="Z69" s="95"/>
      <c r="AB69" s="95"/>
    </row>
    <row r="70" spans="1:32" ht="19" x14ac:dyDescent="0.25">
      <c r="A70" s="105" t="s">
        <v>197</v>
      </c>
      <c r="B70" s="105"/>
      <c r="D70" s="102"/>
      <c r="E70" s="104"/>
      <c r="F70" s="104"/>
      <c r="G70" s="149"/>
      <c r="H70" s="104"/>
      <c r="I70" s="104"/>
      <c r="J70" s="104"/>
      <c r="K70" s="149"/>
      <c r="L70" s="104"/>
      <c r="M70" s="104"/>
      <c r="N70" s="104"/>
      <c r="P70" s="95"/>
      <c r="Q70" s="95"/>
      <c r="R70" s="95"/>
      <c r="T70" s="95"/>
      <c r="U70" s="95"/>
      <c r="V70" s="95"/>
      <c r="X70" s="95"/>
      <c r="Y70" s="95"/>
      <c r="Z70" s="95"/>
      <c r="AB70" s="95"/>
    </row>
    <row r="71" spans="1:32" x14ac:dyDescent="0.2">
      <c r="B71" t="s">
        <v>209</v>
      </c>
      <c r="D71" s="100"/>
      <c r="E71" s="226">
        <f>main!L78/1000</f>
        <v>279.25</v>
      </c>
      <c r="F71" s="226">
        <f>main!M78/1000</f>
        <v>286.98038194444445</v>
      </c>
      <c r="G71" s="151">
        <f>main!N78/1000</f>
        <v>298.42437754843183</v>
      </c>
      <c r="H71" s="226">
        <f>main!O78/1000</f>
        <v>341.19269489482321</v>
      </c>
      <c r="I71" s="226">
        <f>main!P78/1000</f>
        <v>314.07437053822298</v>
      </c>
      <c r="J71" s="226">
        <f>main!Q78/1000</f>
        <v>315.10719057763401</v>
      </c>
      <c r="K71" s="151">
        <f>main!R78/1000</f>
        <v>310.59699489026309</v>
      </c>
      <c r="L71" s="226">
        <f>main!S78/1000</f>
        <v>306.29387850499586</v>
      </c>
      <c r="M71" s="226">
        <f>main!T78/1000</f>
        <v>308.01210563686004</v>
      </c>
      <c r="N71" s="226">
        <f>main!U78/1000</f>
        <v>309.9208485534183</v>
      </c>
      <c r="O71" s="151">
        <f>main!V78/1000</f>
        <v>311.67699647715051</v>
      </c>
      <c r="P71" s="258">
        <f>main!W78/1000</f>
        <v>313.62750241134353</v>
      </c>
      <c r="Q71" s="258">
        <v>330.50545802602733</v>
      </c>
      <c r="R71" s="258">
        <v>330.50545802602733</v>
      </c>
      <c r="S71" s="255">
        <v>330.50545802602733</v>
      </c>
      <c r="T71" s="258">
        <f t="shared" ref="T71:AA71" si="104">S71*(1+T73)</f>
        <v>332.78274186599538</v>
      </c>
      <c r="U71" s="258">
        <f t="shared" si="104"/>
        <v>335.11247201263251</v>
      </c>
      <c r="V71" s="258">
        <f t="shared" si="104"/>
        <v>337.50873227990326</v>
      </c>
      <c r="W71" s="259">
        <f t="shared" si="104"/>
        <v>338.17251785080771</v>
      </c>
      <c r="X71" s="258">
        <f t="shared" si="104"/>
        <v>339.68966117330632</v>
      </c>
      <c r="Y71" s="258">
        <f t="shared" si="104"/>
        <v>340.43045211377739</v>
      </c>
      <c r="Z71" s="258">
        <f t="shared" si="104"/>
        <v>341.21959748273935</v>
      </c>
      <c r="AA71" s="259">
        <f t="shared" si="104"/>
        <v>341.70553226971799</v>
      </c>
      <c r="AB71" s="95"/>
    </row>
    <row r="72" spans="1:32" x14ac:dyDescent="0.2">
      <c r="B72" t="s">
        <v>178</v>
      </c>
      <c r="D72" s="102">
        <f t="shared" ref="D72:O72" si="105">D20</f>
        <v>204.37100000000001</v>
      </c>
      <c r="E72" s="104">
        <f t="shared" si="105"/>
        <v>279.25</v>
      </c>
      <c r="F72" s="104">
        <f t="shared" si="105"/>
        <v>242.12799999999999</v>
      </c>
      <c r="G72" s="149">
        <f t="shared" si="105"/>
        <v>229.13072093917029</v>
      </c>
      <c r="H72" s="104">
        <f t="shared" si="105"/>
        <v>213.52634779891321</v>
      </c>
      <c r="I72" s="104">
        <f t="shared" si="105"/>
        <v>198.35649033856069</v>
      </c>
      <c r="J72" s="104">
        <f t="shared" si="105"/>
        <v>183.7659871180808</v>
      </c>
      <c r="K72" s="149">
        <f t="shared" si="105"/>
        <v>195.0533202337098</v>
      </c>
      <c r="L72" s="104">
        <f t="shared" si="105"/>
        <v>207.1344126604987</v>
      </c>
      <c r="M72" s="104">
        <f t="shared" si="105"/>
        <v>219.29731729779769</v>
      </c>
      <c r="N72" s="104">
        <f t="shared" si="105"/>
        <v>232.19049133666189</v>
      </c>
      <c r="O72" s="149">
        <f t="shared" si="105"/>
        <v>244.44401815535349</v>
      </c>
      <c r="P72" s="240">
        <f t="shared" ref="P72:AA72" si="106">P20</f>
        <v>257.44254207870313</v>
      </c>
      <c r="Q72" s="240">
        <f t="shared" si="106"/>
        <v>269.82423671275279</v>
      </c>
      <c r="R72" s="240">
        <f t="shared" si="106"/>
        <v>282.95791896096779</v>
      </c>
      <c r="S72" s="255">
        <f t="shared" si="106"/>
        <v>284.8440859079293</v>
      </c>
      <c r="T72" s="240">
        <f t="shared" si="106"/>
        <v>286.80674890787742</v>
      </c>
      <c r="U72" s="240">
        <f t="shared" si="106"/>
        <v>288.81461243301999</v>
      </c>
      <c r="V72" s="240">
        <f t="shared" si="106"/>
        <v>290.87981453136018</v>
      </c>
      <c r="W72" s="257">
        <f t="shared" si="106"/>
        <v>291.45189402230841</v>
      </c>
      <c r="X72" s="240">
        <f t="shared" si="106"/>
        <v>292.75943461625042</v>
      </c>
      <c r="Y72" s="240">
        <f t="shared" si="106"/>
        <v>293.39788070893411</v>
      </c>
      <c r="Z72" s="240">
        <f t="shared" si="106"/>
        <v>294.07800076689921</v>
      </c>
      <c r="AA72" s="257">
        <f t="shared" si="106"/>
        <v>294.49680065914453</v>
      </c>
      <c r="AB72" s="95"/>
    </row>
    <row r="73" spans="1:32" s="171" customFormat="1" ht="12" x14ac:dyDescent="0.15">
      <c r="B73" s="213" t="s">
        <v>280</v>
      </c>
      <c r="D73" s="237"/>
      <c r="E73" s="252"/>
      <c r="F73" s="252"/>
      <c r="G73" s="238"/>
      <c r="H73" s="252"/>
      <c r="I73" s="252"/>
      <c r="J73" s="252"/>
      <c r="K73" s="238"/>
      <c r="L73" s="239"/>
      <c r="M73" s="239"/>
      <c r="N73" s="239"/>
      <c r="O73" s="256"/>
      <c r="P73" s="239"/>
      <c r="Q73" s="239">
        <f t="shared" ref="Q73" si="107">(Q72/P72)-1</f>
        <v>4.8094982803053687E-2</v>
      </c>
      <c r="R73" s="239">
        <f t="shared" ref="R73" si="108">(R72/Q72)-1</f>
        <v>4.867495377072717E-2</v>
      </c>
      <c r="S73" s="256">
        <f t="shared" ref="S73" si="109">(S72/R72)-1</f>
        <v>6.6658920658153598E-3</v>
      </c>
      <c r="T73" s="239">
        <f t="shared" ref="T73" si="110">(T72/S72)-1</f>
        <v>6.8903063010496979E-3</v>
      </c>
      <c r="U73" s="239">
        <f t="shared" ref="U73" si="111">(U72/T72)-1</f>
        <v>7.0007541063390466E-3</v>
      </c>
      <c r="V73" s="239">
        <f t="shared" ref="V73" si="112">(V72/U72)-1</f>
        <v>7.1506149946589659E-3</v>
      </c>
      <c r="W73" s="256">
        <f t="shared" ref="W73" si="113">(W72/V72)-1</f>
        <v>1.96672117613228E-3</v>
      </c>
      <c r="X73" s="239">
        <f t="shared" ref="X73" si="114">(X72/W72)-1</f>
        <v>4.4862998688968148E-3</v>
      </c>
      <c r="Y73" s="239">
        <f t="shared" ref="Y73" si="115">(Y72/X72)-1</f>
        <v>2.1807874220025614E-3</v>
      </c>
      <c r="Z73" s="239">
        <f t="shared" ref="Z73" si="116">(Z72/Y72)-1</f>
        <v>2.3180810179055378E-3</v>
      </c>
      <c r="AA73" s="256">
        <f t="shared" ref="AA73" si="117">(AA72/Z72)-1</f>
        <v>1.4241116001645349E-3</v>
      </c>
      <c r="AB73" s="253"/>
    </row>
    <row r="74" spans="1:32" s="97" customFormat="1" x14ac:dyDescent="0.2">
      <c r="B74" s="99" t="s">
        <v>179</v>
      </c>
      <c r="D74" s="103"/>
      <c r="E74" s="225"/>
      <c r="F74" s="225">
        <f>F71-F72</f>
        <v>44.85238194444446</v>
      </c>
      <c r="G74" s="150">
        <f t="shared" ref="G74:K74" si="118">G71-G72</f>
        <v>69.293656609261546</v>
      </c>
      <c r="H74" s="225">
        <f t="shared" si="118"/>
        <v>127.66634709591</v>
      </c>
      <c r="I74" s="225">
        <f t="shared" si="118"/>
        <v>115.71788019966229</v>
      </c>
      <c r="J74" s="225">
        <f t="shared" si="118"/>
        <v>131.34120345955321</v>
      </c>
      <c r="K74" s="150">
        <f t="shared" si="118"/>
        <v>115.54367465655329</v>
      </c>
      <c r="L74" s="225">
        <f t="shared" ref="L74:N74" si="119">L71-L72</f>
        <v>99.159465844497163</v>
      </c>
      <c r="M74" s="225">
        <f t="shared" si="119"/>
        <v>88.714788339062352</v>
      </c>
      <c r="N74" s="225">
        <f t="shared" si="119"/>
        <v>77.730357216756403</v>
      </c>
      <c r="O74" s="150">
        <f t="shared" ref="O74:AA74" si="120">O71-O72</f>
        <v>67.23297832179702</v>
      </c>
      <c r="P74" s="260">
        <f t="shared" si="120"/>
        <v>56.184960332640401</v>
      </c>
      <c r="Q74" s="260">
        <f t="shared" si="120"/>
        <v>60.681221313274534</v>
      </c>
      <c r="R74" s="260">
        <f t="shared" si="120"/>
        <v>47.547539065059539</v>
      </c>
      <c r="S74" s="249">
        <f t="shared" si="120"/>
        <v>45.661372118098029</v>
      </c>
      <c r="T74" s="260">
        <f t="shared" si="120"/>
        <v>45.975992958117956</v>
      </c>
      <c r="U74" s="260">
        <f t="shared" si="120"/>
        <v>46.297859579612521</v>
      </c>
      <c r="V74" s="260">
        <f t="shared" si="120"/>
        <v>46.628917748543074</v>
      </c>
      <c r="W74" s="261">
        <f t="shared" si="120"/>
        <v>46.720623828499299</v>
      </c>
      <c r="X74" s="260">
        <f t="shared" si="120"/>
        <v>46.930226557055903</v>
      </c>
      <c r="Y74" s="260">
        <f t="shared" si="120"/>
        <v>47.032571404843281</v>
      </c>
      <c r="Z74" s="260">
        <f t="shared" si="120"/>
        <v>47.141596715840137</v>
      </c>
      <c r="AA74" s="261">
        <f t="shared" si="120"/>
        <v>47.208731610573466</v>
      </c>
      <c r="AB74" s="254"/>
    </row>
    <row r="75" spans="1:32" x14ac:dyDescent="0.2">
      <c r="E75" s="95"/>
      <c r="F75" s="95"/>
      <c r="L75" s="95"/>
      <c r="M75" s="95"/>
      <c r="N75" s="95"/>
      <c r="P75" s="95"/>
      <c r="Q75" s="95"/>
      <c r="R75" s="95"/>
      <c r="T75" s="95"/>
      <c r="U75" s="95"/>
      <c r="V75" s="95"/>
      <c r="X75" s="95"/>
      <c r="Y75" s="95"/>
      <c r="Z75" s="95"/>
      <c r="AB75" s="95"/>
    </row>
    <row r="76" spans="1:32" x14ac:dyDescent="0.2">
      <c r="E76" s="95"/>
      <c r="F76" s="95"/>
      <c r="L76" s="95"/>
      <c r="M76" s="95"/>
      <c r="N76" s="95"/>
      <c r="P76" s="95"/>
      <c r="Q76" s="95"/>
      <c r="R76" s="95"/>
      <c r="T76" s="95"/>
      <c r="U76" s="95"/>
      <c r="V76" s="95"/>
      <c r="X76" s="95"/>
      <c r="Y76" s="95"/>
      <c r="Z76" s="95"/>
      <c r="AB76" s="95"/>
    </row>
  </sheetData>
  <mergeCells count="10">
    <mergeCell ref="V1:Y1"/>
    <mergeCell ref="A1:B1"/>
    <mergeCell ref="A2:A5"/>
    <mergeCell ref="C7:F7"/>
    <mergeCell ref="G7:J7"/>
    <mergeCell ref="K7:N7"/>
    <mergeCell ref="O7:R7"/>
    <mergeCell ref="S7:V7"/>
    <mergeCell ref="W7:Z7"/>
    <mergeCell ref="J1:J3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P24"/>
  <sheetViews>
    <sheetView tabSelected="1" zoomScale="120" zoomScaleNormal="120" workbookViewId="0">
      <pane xSplit="1" topLeftCell="F1" activePane="topRight" state="frozen"/>
      <selection pane="topRight" activeCell="K3" sqref="K3"/>
    </sheetView>
  </sheetViews>
  <sheetFormatPr baseColWidth="10" defaultColWidth="20.5" defaultRowHeight="15" x14ac:dyDescent="0.2"/>
  <cols>
    <col min="1" max="1" width="10.6640625" bestFit="1" customWidth="1"/>
    <col min="2" max="2" width="23.1640625" bestFit="1" customWidth="1"/>
  </cols>
  <sheetData>
    <row r="1" spans="1:16" x14ac:dyDescent="0.2">
      <c r="A1" t="s">
        <v>257</v>
      </c>
      <c r="B1" t="s">
        <v>250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289</v>
      </c>
      <c r="J1" t="s">
        <v>275</v>
      </c>
      <c r="K1" t="s">
        <v>291</v>
      </c>
      <c r="L1" t="s">
        <v>292</v>
      </c>
      <c r="M1" t="s">
        <v>293</v>
      </c>
      <c r="N1" t="s">
        <v>348</v>
      </c>
      <c r="O1" t="s">
        <v>362</v>
      </c>
      <c r="P1" t="s">
        <v>374</v>
      </c>
    </row>
    <row r="2" spans="1:16" x14ac:dyDescent="0.2">
      <c r="A2" s="190">
        <v>44012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02">
        <f>'add-ons calculations'!E71</f>
        <v>279.25</v>
      </c>
      <c r="K2" s="102"/>
      <c r="L2" cm="1">
        <f t="array" ref="L2:L6">TRANSPOSE(main!L38:P38)/1000</f>
        <v>834.93333333333328</v>
      </c>
      <c r="M2" cm="1">
        <f t="array" ref="M2:M12">TRANSPOSE(main!L42:V42)/1000</f>
        <v>249.06666666666672</v>
      </c>
      <c r="N2">
        <f t="array" ref="N2:N16">TRANSPOSE(main!L73:Z73/1000)</f>
        <v>0</v>
      </c>
      <c r="O2">
        <f t="array" ref="O2:O16">TRANSPOSE(main!L83:Z83/1000)</f>
        <v>0</v>
      </c>
      <c r="P2">
        <v>0</v>
      </c>
    </row>
    <row r="3" spans="1:16" x14ac:dyDescent="0.2">
      <c r="A3" s="190">
        <v>44104</v>
      </c>
      <c r="B3" s="102">
        <f t="array" ref="B3:B24">TRANSPOSE('add-ons calculations'!F27:AA27)</f>
        <v>-16.659502619583094</v>
      </c>
      <c r="C3">
        <f t="array" ref="C3:C24">TRANSPOSE('add-ons calculations'!F34:AA34)</f>
        <v>187.0440000000001</v>
      </c>
      <c r="D3">
        <f t="array" ref="D3:D24">TRANSPOSE('add-ons calculations'!F40:AA40)</f>
        <v>4.8999999999978172E-2</v>
      </c>
      <c r="E3">
        <f t="array" ref="E3:E24">TRANSPOSE('add-ons calculations'!F46:AA46)</f>
        <v>0</v>
      </c>
      <c r="F3">
        <f t="array" ref="F3:F24">TRANSPOSE('add-ons calculations'!F53:AA53)</f>
        <v>3.3000000000129148E-2</v>
      </c>
      <c r="G3">
        <f t="array" ref="G3:G24">TRANSPOSE('add-ons calculations'!F60:AA60)</f>
        <v>-187.26599999999962</v>
      </c>
      <c r="H3">
        <f t="array" ref="H3:H24">TRANSPOSE('add-ons calculations'!F67:AA67)</f>
        <v>0.57999999999992724</v>
      </c>
      <c r="I3">
        <f t="array" ref="I3:I24">TRANSPOSE('add-ons calculations'!F74:AA74)</f>
        <v>44.85238194444446</v>
      </c>
      <c r="J3" s="102">
        <f>'add-ons calculations'!F71</f>
        <v>286.98038194444445</v>
      </c>
      <c r="K3" s="102" cm="1">
        <f t="array" ref="K3:K12">TRANSPOSE(main!M36:V36)/1000</f>
        <v>881.35400000000004</v>
      </c>
      <c r="L3">
        <v>695.2</v>
      </c>
      <c r="M3">
        <v>186</v>
      </c>
      <c r="N3">
        <v>0</v>
      </c>
      <c r="O3">
        <v>0</v>
      </c>
      <c r="P3">
        <v>0</v>
      </c>
    </row>
    <row r="4" spans="1:16" x14ac:dyDescent="0.2">
      <c r="A4" s="190">
        <v>44196</v>
      </c>
      <c r="B4">
        <v>-20.937831399481894</v>
      </c>
      <c r="C4">
        <v>110.25698590656407</v>
      </c>
      <c r="D4">
        <v>4.9990862646382084E-2</v>
      </c>
      <c r="E4">
        <v>0</v>
      </c>
      <c r="F4">
        <v>33.585746620749433</v>
      </c>
      <c r="G4">
        <v>-351.05203247505483</v>
      </c>
      <c r="H4">
        <v>-833.94013103694624</v>
      </c>
      <c r="I4">
        <v>69.293656609261546</v>
      </c>
      <c r="J4" s="102"/>
      <c r="K4" s="102">
        <v>344.8</v>
      </c>
      <c r="L4">
        <v>257.8</v>
      </c>
      <c r="M4">
        <v>87</v>
      </c>
      <c r="N4">
        <v>0</v>
      </c>
      <c r="O4">
        <v>0</v>
      </c>
      <c r="P4">
        <v>0</v>
      </c>
    </row>
    <row r="5" spans="1:16" x14ac:dyDescent="0.2">
      <c r="A5" s="190">
        <v>44286</v>
      </c>
      <c r="B5">
        <v>-26.641254195579705</v>
      </c>
      <c r="C5">
        <v>107.63193107562813</v>
      </c>
      <c r="D5">
        <v>5.0819956777559128E-2</v>
      </c>
      <c r="E5">
        <v>0</v>
      </c>
      <c r="F5">
        <v>59.561193892373922</v>
      </c>
      <c r="G5">
        <v>1035.3076346664193</v>
      </c>
      <c r="H5">
        <v>-426.91177522010059</v>
      </c>
      <c r="I5">
        <v>127.66634709591</v>
      </c>
      <c r="K5">
        <v>724</v>
      </c>
      <c r="L5">
        <v>664</v>
      </c>
      <c r="M5">
        <v>60</v>
      </c>
      <c r="N5">
        <v>59</v>
      </c>
      <c r="O5">
        <v>71.400000000000006</v>
      </c>
      <c r="P5" s="313">
        <f>664000/1000</f>
        <v>664</v>
      </c>
    </row>
    <row r="6" spans="1:16" x14ac:dyDescent="0.2">
      <c r="A6" s="190">
        <v>44377</v>
      </c>
      <c r="B6">
        <v>-34.183111242533812</v>
      </c>
      <c r="C6">
        <v>116.0025854053485</v>
      </c>
      <c r="D6">
        <v>5.1628067362116781E-2</v>
      </c>
      <c r="E6">
        <v>0</v>
      </c>
      <c r="F6">
        <v>81.75548712799673</v>
      </c>
      <c r="G6">
        <v>15.266587468339139</v>
      </c>
      <c r="H6">
        <v>-431.32456398056468</v>
      </c>
      <c r="I6">
        <v>115.71788019966229</v>
      </c>
      <c r="K6">
        <v>152</v>
      </c>
      <c r="L6">
        <v>108</v>
      </c>
      <c r="M6">
        <v>44</v>
      </c>
      <c r="N6">
        <v>59</v>
      </c>
      <c r="O6">
        <v>71.400000000000006</v>
      </c>
      <c r="P6">
        <v>0</v>
      </c>
    </row>
    <row r="7" spans="1:16" x14ac:dyDescent="0.2">
      <c r="A7" s="190">
        <v>44469</v>
      </c>
      <c r="B7">
        <v>-41.724968289487691</v>
      </c>
      <c r="C7">
        <v>138.64401002534075</v>
      </c>
      <c r="D7">
        <v>5.2491808747618052E-2</v>
      </c>
      <c r="E7">
        <v>0</v>
      </c>
      <c r="F7">
        <v>98.995562669159426</v>
      </c>
      <c r="G7">
        <v>-24.539228482810586</v>
      </c>
      <c r="H7">
        <v>-1086.0898722425786</v>
      </c>
      <c r="I7">
        <v>131.34120345955321</v>
      </c>
      <c r="K7">
        <v>44</v>
      </c>
      <c r="L7">
        <v>0</v>
      </c>
      <c r="M7">
        <v>44</v>
      </c>
      <c r="N7">
        <v>59</v>
      </c>
      <c r="O7">
        <v>30.6</v>
      </c>
      <c r="P7">
        <v>0</v>
      </c>
    </row>
    <row r="8" spans="1:16" x14ac:dyDescent="0.2">
      <c r="A8" s="190">
        <v>44561</v>
      </c>
      <c r="B8">
        <v>-39.457568432331414</v>
      </c>
      <c r="C8">
        <v>125.59921378630472</v>
      </c>
      <c r="D8">
        <v>5.3070320278948202E-2</v>
      </c>
      <c r="E8">
        <v>0</v>
      </c>
      <c r="F8">
        <v>101.51396577302398</v>
      </c>
      <c r="G8">
        <v>-74.275944959057597</v>
      </c>
      <c r="H8">
        <v>-1112.559918312772</v>
      </c>
      <c r="I8">
        <v>115.54367465655329</v>
      </c>
      <c r="K8">
        <v>44</v>
      </c>
      <c r="L8">
        <v>0</v>
      </c>
      <c r="M8">
        <v>44</v>
      </c>
      <c r="N8">
        <v>59</v>
      </c>
      <c r="O8">
        <v>30.6</v>
      </c>
      <c r="P8">
        <v>0</v>
      </c>
    </row>
    <row r="9" spans="1:16" x14ac:dyDescent="0.2">
      <c r="A9" s="190">
        <v>44651</v>
      </c>
      <c r="B9">
        <v>5.749168324439097</v>
      </c>
      <c r="C9">
        <v>110.76885817974633</v>
      </c>
      <c r="D9">
        <v>0</v>
      </c>
      <c r="E9">
        <v>0</v>
      </c>
      <c r="F9">
        <v>104.03236887688877</v>
      </c>
      <c r="G9">
        <v>-75.021173838662662</v>
      </c>
      <c r="H9">
        <v>-1163.3117757737041</v>
      </c>
      <c r="I9">
        <v>99.159465844497163</v>
      </c>
      <c r="K9">
        <v>44</v>
      </c>
      <c r="L9">
        <v>0</v>
      </c>
      <c r="M9">
        <v>44</v>
      </c>
      <c r="N9">
        <v>59</v>
      </c>
      <c r="O9">
        <v>0</v>
      </c>
      <c r="P9">
        <v>0</v>
      </c>
    </row>
    <row r="10" spans="1:16" x14ac:dyDescent="0.2">
      <c r="A10" s="190">
        <v>44742</v>
      </c>
      <c r="B10">
        <v>8.0165681815954883</v>
      </c>
      <c r="C10">
        <v>134.01495632101853</v>
      </c>
      <c r="D10">
        <v>0</v>
      </c>
      <c r="E10">
        <v>0</v>
      </c>
      <c r="F10">
        <v>106.55077198075332</v>
      </c>
      <c r="G10">
        <v>-74.989566692467861</v>
      </c>
      <c r="H10">
        <v>-1168.3939307885266</v>
      </c>
      <c r="I10">
        <v>88.714788339062352</v>
      </c>
      <c r="K10">
        <v>44</v>
      </c>
      <c r="L10">
        <v>0</v>
      </c>
      <c r="M10">
        <v>44</v>
      </c>
      <c r="N10">
        <v>59</v>
      </c>
      <c r="O10">
        <v>0</v>
      </c>
      <c r="P10">
        <v>0</v>
      </c>
    </row>
    <row r="11" spans="1:16" x14ac:dyDescent="0.2">
      <c r="A11" s="190">
        <v>44834</v>
      </c>
      <c r="B11">
        <v>7.9343178535486345</v>
      </c>
      <c r="C11">
        <v>156.03495667590502</v>
      </c>
      <c r="D11">
        <v>0</v>
      </c>
      <c r="E11">
        <v>0</v>
      </c>
      <c r="F11">
        <v>109.06917508461788</v>
      </c>
      <c r="G11">
        <v>-73.882290836377479</v>
      </c>
      <c r="H11">
        <v>-1173.5410146130612</v>
      </c>
      <c r="I11">
        <v>77.730357216756403</v>
      </c>
      <c r="K11">
        <v>44</v>
      </c>
      <c r="L11">
        <v>0</v>
      </c>
      <c r="M11">
        <v>44</v>
      </c>
      <c r="N11">
        <v>59</v>
      </c>
      <c r="O11">
        <v>0</v>
      </c>
      <c r="P11">
        <v>0</v>
      </c>
    </row>
    <row r="12" spans="1:16" x14ac:dyDescent="0.2">
      <c r="A12" s="190">
        <v>44926</v>
      </c>
      <c r="B12">
        <v>7.8528747680539652</v>
      </c>
      <c r="C12">
        <v>176.62440241677263</v>
      </c>
      <c r="D12">
        <v>0</v>
      </c>
      <c r="E12">
        <v>0</v>
      </c>
      <c r="F12">
        <v>109.37757569839664</v>
      </c>
      <c r="G12">
        <v>-73.963356529837938</v>
      </c>
      <c r="H12">
        <v>-1178.7530272473091</v>
      </c>
      <c r="I12">
        <v>67.23297832179702</v>
      </c>
      <c r="K12">
        <v>44</v>
      </c>
      <c r="L12">
        <v>0</v>
      </c>
      <c r="M12">
        <v>44</v>
      </c>
      <c r="N12">
        <v>59</v>
      </c>
      <c r="O12">
        <v>0</v>
      </c>
      <c r="P12">
        <v>0</v>
      </c>
    </row>
    <row r="13" spans="1:16" x14ac:dyDescent="0.2">
      <c r="A13" s="190">
        <v>45016</v>
      </c>
      <c r="B13">
        <v>7.771431682559296</v>
      </c>
      <c r="C13">
        <v>196.87054077745219</v>
      </c>
      <c r="D13">
        <v>0</v>
      </c>
      <c r="E13">
        <v>0</v>
      </c>
      <c r="F13">
        <v>109.68597631217517</v>
      </c>
      <c r="G13">
        <v>-74.089327795779354</v>
      </c>
      <c r="H13">
        <v>-1184.0417739294007</v>
      </c>
      <c r="I13">
        <v>56.184960332640401</v>
      </c>
      <c r="K13">
        <v>0</v>
      </c>
      <c r="L13">
        <v>0</v>
      </c>
      <c r="M13">
        <v>0</v>
      </c>
      <c r="N13">
        <v>59</v>
      </c>
      <c r="O13">
        <v>0</v>
      </c>
      <c r="P13">
        <v>0</v>
      </c>
    </row>
    <row r="14" spans="1:16" x14ac:dyDescent="0.2">
      <c r="A14" s="190">
        <v>45107</v>
      </c>
      <c r="B14">
        <v>7.6899885970646267</v>
      </c>
      <c r="C14">
        <v>218.19564519015159</v>
      </c>
      <c r="D14">
        <v>0</v>
      </c>
      <c r="E14">
        <v>0</v>
      </c>
      <c r="F14">
        <v>109.99437692595393</v>
      </c>
      <c r="G14">
        <v>-74.246009943554782</v>
      </c>
      <c r="H14">
        <v>-1189.3541310877511</v>
      </c>
      <c r="I14">
        <v>60.681221313274534</v>
      </c>
      <c r="K14">
        <v>0</v>
      </c>
      <c r="L14">
        <v>0</v>
      </c>
      <c r="M14">
        <v>0</v>
      </c>
      <c r="N14">
        <v>59</v>
      </c>
      <c r="O14">
        <v>0</v>
      </c>
      <c r="P14">
        <v>0</v>
      </c>
    </row>
    <row r="15" spans="1:16" x14ac:dyDescent="0.2">
      <c r="A15" s="190">
        <v>45199</v>
      </c>
      <c r="B15">
        <v>7.6085455115699858</v>
      </c>
      <c r="C15">
        <v>239.42266177993977</v>
      </c>
      <c r="D15">
        <v>0</v>
      </c>
      <c r="E15">
        <v>0</v>
      </c>
      <c r="F15">
        <v>110.30277753973292</v>
      </c>
      <c r="G15">
        <v>-74.490685000040685</v>
      </c>
      <c r="H15">
        <v>-1194.7432222939442</v>
      </c>
      <c r="I15">
        <v>47.547539065059539</v>
      </c>
      <c r="K15">
        <v>0</v>
      </c>
      <c r="L15">
        <v>0</v>
      </c>
      <c r="M15">
        <v>0</v>
      </c>
      <c r="N15">
        <v>59</v>
      </c>
      <c r="O15">
        <v>0</v>
      </c>
      <c r="P15">
        <v>0</v>
      </c>
    </row>
    <row r="16" spans="1:16" x14ac:dyDescent="0.2">
      <c r="A16" s="190">
        <v>45291</v>
      </c>
      <c r="B16">
        <v>7.694282358640038</v>
      </c>
      <c r="C16">
        <v>238.71874531468063</v>
      </c>
      <c r="D16">
        <v>0</v>
      </c>
      <c r="E16">
        <v>0</v>
      </c>
      <c r="F16">
        <v>111.14275510624338</v>
      </c>
      <c r="G16">
        <v>-75.244579886568317</v>
      </c>
      <c r="H16">
        <v>-1200.2090475479797</v>
      </c>
      <c r="I16">
        <v>45.661372118098029</v>
      </c>
      <c r="K16">
        <v>0</v>
      </c>
      <c r="L16">
        <v>0</v>
      </c>
      <c r="M16">
        <v>0</v>
      </c>
      <c r="N16">
        <v>59</v>
      </c>
      <c r="O16">
        <v>0</v>
      </c>
      <c r="P16">
        <v>0</v>
      </c>
    </row>
    <row r="17" spans="1:16" x14ac:dyDescent="0.2">
      <c r="A17" s="190">
        <v>45382</v>
      </c>
      <c r="B17">
        <v>7.7800192057100617</v>
      </c>
      <c r="C17">
        <v>238.60335578688702</v>
      </c>
      <c r="D17">
        <v>0</v>
      </c>
      <c r="E17">
        <v>0</v>
      </c>
      <c r="F17">
        <v>111.98273267275363</v>
      </c>
      <c r="G17">
        <v>-75.968933034125712</v>
      </c>
      <c r="H17">
        <v>-1205.733898992665</v>
      </c>
      <c r="I17">
        <v>45.975992958117956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">
      <c r="A18" s="190">
        <v>45473</v>
      </c>
      <c r="B18">
        <v>7.8657560527801138</v>
      </c>
      <c r="C18">
        <v>239.0274492851027</v>
      </c>
      <c r="D18">
        <v>0</v>
      </c>
      <c r="E18">
        <v>0</v>
      </c>
      <c r="F18">
        <v>112.8227102392641</v>
      </c>
      <c r="G18">
        <v>-76.55554448582393</v>
      </c>
      <c r="H18">
        <v>-1211.2705556754795</v>
      </c>
      <c r="I18">
        <v>46.297859579612521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">
      <c r="A19" s="190">
        <v>45565</v>
      </c>
      <c r="B19">
        <v>7.9514928998501375</v>
      </c>
      <c r="C19">
        <v>240.23624536660571</v>
      </c>
      <c r="D19">
        <v>0</v>
      </c>
      <c r="E19">
        <v>0</v>
      </c>
      <c r="F19">
        <v>113.66268780577457</v>
      </c>
      <c r="G19">
        <v>-77.057724502900101</v>
      </c>
      <c r="H19">
        <v>-1216.8367254536176</v>
      </c>
      <c r="I19">
        <v>46.628917748543074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">
      <c r="A20" s="190">
        <v>45657</v>
      </c>
      <c r="B20">
        <v>8.0601016192330803</v>
      </c>
      <c r="C20">
        <v>238.57838471534725</v>
      </c>
      <c r="D20">
        <v>0</v>
      </c>
      <c r="E20">
        <v>0</v>
      </c>
      <c r="F20">
        <v>116.3772413301424</v>
      </c>
      <c r="G20">
        <v>-78.834826842547955</v>
      </c>
      <c r="H20">
        <v>-1222.4324083270799</v>
      </c>
      <c r="I20">
        <v>46.720623828499299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">
      <c r="A21" s="190">
        <v>45747</v>
      </c>
      <c r="B21">
        <v>8.1687103386159947</v>
      </c>
      <c r="C21">
        <v>236.822436241178</v>
      </c>
      <c r="D21">
        <v>0</v>
      </c>
      <c r="E21">
        <v>0</v>
      </c>
      <c r="F21">
        <v>119.09179485451045</v>
      </c>
      <c r="G21">
        <v>-80.334014884150747</v>
      </c>
      <c r="H21">
        <v>-1228.0398964386723</v>
      </c>
      <c r="I21">
        <v>46.930226557055903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">
      <c r="A22" s="190">
        <v>45838</v>
      </c>
      <c r="B22">
        <v>8.2773190579989091</v>
      </c>
      <c r="C22">
        <v>235.45883905865185</v>
      </c>
      <c r="D22">
        <v>0</v>
      </c>
      <c r="E22">
        <v>0</v>
      </c>
      <c r="F22">
        <v>121.80634837887851</v>
      </c>
      <c r="G22">
        <v>-81.587008343030675</v>
      </c>
      <c r="H22">
        <v>-1233.6178714549401</v>
      </c>
      <c r="I22">
        <v>47.032571404843281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">
      <c r="A23" s="190">
        <v>45930</v>
      </c>
      <c r="B23">
        <v>8.3859277773818519</v>
      </c>
      <c r="C23">
        <v>234.53663707922496</v>
      </c>
      <c r="D23">
        <v>0</v>
      </c>
      <c r="E23">
        <v>0</v>
      </c>
      <c r="F23">
        <v>124.52090190324657</v>
      </c>
      <c r="G23">
        <v>-82.567313121349343</v>
      </c>
      <c r="H23">
        <v>-1239.2017490902733</v>
      </c>
      <c r="I23">
        <v>47.141596715840137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">
      <c r="A24" s="190">
        <v>46022</v>
      </c>
      <c r="B24">
        <v>8.4989455787047632</v>
      </c>
      <c r="C24">
        <v>233.42580901803058</v>
      </c>
      <c r="D24">
        <v>0</v>
      </c>
      <c r="E24">
        <v>0</v>
      </c>
      <c r="F24">
        <v>126.54840827339649</v>
      </c>
      <c r="G24">
        <v>-83.094575569639574</v>
      </c>
      <c r="H24">
        <v>-1244.7856267256061</v>
      </c>
      <c r="I24">
        <v>47.208731610573466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CCB5-9AFD-AA42-ADF6-76E6C38F7458}">
  <dimension ref="A1:AJ6"/>
  <sheetViews>
    <sheetView topLeftCell="M1" zoomScale="140" zoomScaleNormal="140" workbookViewId="0">
      <selection activeCell="M4" sqref="M4"/>
    </sheetView>
  </sheetViews>
  <sheetFormatPr baseColWidth="10" defaultColWidth="10.83203125" defaultRowHeight="15" x14ac:dyDescent="0.2"/>
  <cols>
    <col min="4" max="4" width="11.1640625" bestFit="1" customWidth="1"/>
    <col min="10" max="23" width="12.6640625" bestFit="1" customWidth="1"/>
  </cols>
  <sheetData>
    <row r="1" spans="1:36" x14ac:dyDescent="0.2">
      <c r="D1" s="315" t="s">
        <v>21</v>
      </c>
      <c r="E1" s="315"/>
      <c r="F1" s="315"/>
      <c r="G1" s="315"/>
      <c r="H1" s="315" t="s">
        <v>9</v>
      </c>
      <c r="I1" s="315"/>
      <c r="J1" s="315"/>
      <c r="K1" s="315"/>
      <c r="L1" s="315" t="s">
        <v>10</v>
      </c>
      <c r="M1" s="315"/>
      <c r="N1" s="315"/>
      <c r="O1" s="315"/>
      <c r="P1" s="315" t="s">
        <v>11</v>
      </c>
      <c r="Q1" s="315"/>
      <c r="R1" s="315"/>
      <c r="S1" s="315"/>
      <c r="T1" s="315" t="s">
        <v>268</v>
      </c>
      <c r="U1" s="315"/>
      <c r="V1" s="315"/>
      <c r="W1" s="315"/>
    </row>
    <row r="2" spans="1:36" x14ac:dyDescent="0.2">
      <c r="D2" s="199" t="s">
        <v>5</v>
      </c>
      <c r="E2" s="199" t="s">
        <v>6</v>
      </c>
      <c r="F2" s="199" t="s">
        <v>7</v>
      </c>
      <c r="G2" s="199" t="s">
        <v>8</v>
      </c>
      <c r="H2" s="199" t="s">
        <v>5</v>
      </c>
      <c r="I2" s="199" t="s">
        <v>6</v>
      </c>
      <c r="J2" s="199" t="s">
        <v>7</v>
      </c>
      <c r="K2" s="199" t="s">
        <v>8</v>
      </c>
      <c r="L2" t="s">
        <v>5</v>
      </c>
      <c r="M2" t="s">
        <v>6</v>
      </c>
      <c r="N2" t="s">
        <v>7</v>
      </c>
      <c r="O2" t="s">
        <v>8</v>
      </c>
      <c r="P2" t="s">
        <v>5</v>
      </c>
      <c r="Q2" t="s">
        <v>6</v>
      </c>
      <c r="R2" t="s">
        <v>7</v>
      </c>
      <c r="S2" t="s">
        <v>8</v>
      </c>
      <c r="T2" t="s">
        <v>5</v>
      </c>
      <c r="U2" t="s">
        <v>6</v>
      </c>
      <c r="V2" t="s">
        <v>7</v>
      </c>
      <c r="W2" t="s">
        <v>8</v>
      </c>
    </row>
    <row r="3" spans="1:36" s="35" customFormat="1" x14ac:dyDescent="0.2">
      <c r="A3" s="35" t="s">
        <v>14</v>
      </c>
      <c r="D3" s="199">
        <f>main!F30</f>
        <v>2220523</v>
      </c>
      <c r="E3" s="199">
        <f>main!G30</f>
        <v>2298792</v>
      </c>
      <c r="F3" s="199">
        <f>main!H30</f>
        <v>2315842</v>
      </c>
      <c r="G3" s="199">
        <f>main!I30</f>
        <v>2331428</v>
      </c>
      <c r="H3" s="199">
        <f>main!J30</f>
        <v>2347737</v>
      </c>
      <c r="I3" s="199">
        <f>main!K30</f>
        <v>2422546</v>
      </c>
      <c r="J3" s="199">
        <f>main!L30</f>
        <v>4815254</v>
      </c>
      <c r="K3" s="199">
        <f>main!M30</f>
        <v>3494888</v>
      </c>
      <c r="L3" s="266">
        <f>main!N30</f>
        <v>2855130.6794988289</v>
      </c>
      <c r="M3" s="266">
        <f>main!O30</f>
        <v>3244347.6672774283</v>
      </c>
      <c r="N3" s="266">
        <f>main!P30</f>
        <v>2682732.759694315</v>
      </c>
      <c r="O3" s="266">
        <f>main!Q30</f>
        <v>2585488.623825727</v>
      </c>
      <c r="P3" s="266">
        <f>main!R30</f>
        <v>2651916.1476522055</v>
      </c>
      <c r="Q3" s="266">
        <f>main!S30</f>
        <v>2708085.6514252573</v>
      </c>
      <c r="R3" s="266">
        <f>main!T30</f>
        <v>2765655.2499653636</v>
      </c>
      <c r="S3" s="266">
        <f>main!U30</f>
        <v>2824664.1763997721</v>
      </c>
      <c r="T3" s="266">
        <f>main!V30</f>
        <v>0</v>
      </c>
      <c r="U3" s="266"/>
      <c r="V3" s="266"/>
      <c r="W3" s="266"/>
      <c r="AJ3" s="243"/>
    </row>
    <row r="4" spans="1:36" s="35" customFormat="1" x14ac:dyDescent="0.2">
      <c r="A4" s="35" t="s">
        <v>215</v>
      </c>
      <c r="D4" s="199">
        <f>main!F31</f>
        <v>753311</v>
      </c>
      <c r="E4" s="199">
        <f>main!G31</f>
        <v>767353</v>
      </c>
      <c r="F4" s="199">
        <f>main!H31</f>
        <v>779707</v>
      </c>
      <c r="G4" s="199">
        <f>main!I31</f>
        <v>789893</v>
      </c>
      <c r="H4" s="199">
        <f>main!J31</f>
        <v>797912</v>
      </c>
      <c r="I4" s="199">
        <f>main!K31</f>
        <v>804655</v>
      </c>
      <c r="J4" s="199">
        <f>main!L31</f>
        <v>824058</v>
      </c>
      <c r="K4" s="199">
        <f>main!M31</f>
        <v>842733</v>
      </c>
      <c r="L4" s="220">
        <f>main!N31</f>
        <v>853053.18699882878</v>
      </c>
      <c r="M4" s="220">
        <f>main!O31</f>
        <v>875499.75597117806</v>
      </c>
      <c r="N4" s="220">
        <f>main!P31</f>
        <v>898221.20772286167</v>
      </c>
      <c r="O4" s="220">
        <f>main!Q31</f>
        <v>921220.90849405946</v>
      </c>
      <c r="P4" s="220">
        <f>main!R31</f>
        <v>963344.41659056314</v>
      </c>
      <c r="Q4" s="220">
        <f>main!S31</f>
        <v>994845.34439769038</v>
      </c>
      <c r="R4" s="220">
        <f>main!T31</f>
        <v>1027376.3383323837</v>
      </c>
      <c r="S4" s="220">
        <f>main!U31</f>
        <v>1060971.0810922973</v>
      </c>
      <c r="T4" s="220">
        <f>main!V31</f>
        <v>1071662.5838938125</v>
      </c>
      <c r="U4" s="220">
        <f>main!W31</f>
        <v>1082461.8259487266</v>
      </c>
      <c r="V4" s="220">
        <f>main!X31</f>
        <v>1093369.8929553684</v>
      </c>
      <c r="W4" s="220">
        <f>main!Y31</f>
        <v>1104387.8815527481</v>
      </c>
      <c r="AJ4" s="243"/>
    </row>
    <row r="5" spans="1:36" s="35" customFormat="1" x14ac:dyDescent="0.2">
      <c r="A5" s="35" t="s">
        <v>15</v>
      </c>
      <c r="D5" s="199">
        <f>main!F91</f>
        <v>728844</v>
      </c>
      <c r="E5" s="199">
        <f>main!G91</f>
        <v>738714</v>
      </c>
      <c r="F5" s="199">
        <f>main!H91</f>
        <v>755204</v>
      </c>
      <c r="G5" s="199">
        <f>main!I91</f>
        <v>763370</v>
      </c>
      <c r="H5" s="199">
        <f>main!J91</f>
        <v>760967</v>
      </c>
      <c r="I5" s="199">
        <f>main!K91</f>
        <v>767087</v>
      </c>
      <c r="J5" s="199">
        <f>main!L91</f>
        <v>812158</v>
      </c>
      <c r="K5" s="199">
        <f>main!M91</f>
        <v>828480</v>
      </c>
      <c r="L5" s="273">
        <f>main!N91</f>
        <v>838999.96973237256</v>
      </c>
      <c r="M5" s="273">
        <f>main!O91</f>
        <v>851909.41974748904</v>
      </c>
      <c r="N5" s="273">
        <f>main!P91</f>
        <v>859338.63247661723</v>
      </c>
      <c r="O5" s="273">
        <f>main!Q91</f>
        <v>860057.04756403249</v>
      </c>
      <c r="P5" s="273">
        <f>main!R91</f>
        <v>861140.05830831092</v>
      </c>
      <c r="Q5" s="273">
        <f>main!S91</f>
        <v>862594.90274145827</v>
      </c>
      <c r="R5" s="273">
        <f>main!T91</f>
        <v>864142.72686504154</v>
      </c>
      <c r="S5" s="273">
        <f>main!U91</f>
        <v>865537.60394083988</v>
      </c>
      <c r="T5" s="273">
        <f>main!V91</f>
        <v>866767.29820503015</v>
      </c>
      <c r="U5" s="273"/>
      <c r="V5" s="273"/>
      <c r="W5" s="273"/>
      <c r="AJ5" s="269"/>
    </row>
    <row r="6" spans="1:36" s="35" customFormat="1" x14ac:dyDescent="0.2">
      <c r="A6" s="35" t="s">
        <v>214</v>
      </c>
      <c r="D6" s="199">
        <f>main!F94</f>
        <v>589819</v>
      </c>
      <c r="E6" s="199">
        <f>main!G94</f>
        <v>599372</v>
      </c>
      <c r="F6" s="199">
        <f>main!H94</f>
        <v>614976</v>
      </c>
      <c r="G6" s="199">
        <f>main!I94</f>
        <v>622265</v>
      </c>
      <c r="H6" s="199">
        <f>main!J94</f>
        <v>619632</v>
      </c>
      <c r="I6" s="199">
        <f>main!K94</f>
        <v>624096</v>
      </c>
      <c r="J6" s="199">
        <f>main!L94</f>
        <v>668823</v>
      </c>
      <c r="K6" s="199">
        <f>main!M94</f>
        <v>683703</v>
      </c>
      <c r="L6" s="35">
        <f>main!N94</f>
        <v>696032.68223237258</v>
      </c>
      <c r="M6" s="35">
        <f>main!O94</f>
        <v>708584.71402873902</v>
      </c>
      <c r="N6" s="35">
        <f>main!P94</f>
        <v>715655.61499357037</v>
      </c>
      <c r="O6" s="35">
        <f>main!Q94</f>
        <v>715655.61499357037</v>
      </c>
      <c r="P6" s="35">
        <f>main!R94</f>
        <v>715655.61499357037</v>
      </c>
      <c r="Q6" s="35">
        <f>main!S94</f>
        <v>715655.61499357037</v>
      </c>
      <c r="R6" s="35">
        <f>main!T94</f>
        <v>715655.61499357037</v>
      </c>
      <c r="S6" s="35">
        <f>main!U94</f>
        <v>715655.61499357037</v>
      </c>
      <c r="T6" s="35">
        <f>main!V94</f>
        <v>715655.61499357037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25F6-0F0F-EB4D-B82F-595726581F1A}">
  <dimension ref="A1:AB50"/>
  <sheetViews>
    <sheetView zoomScale="141" zoomScaleNormal="141" workbookViewId="0">
      <selection activeCell="E24" sqref="E24"/>
    </sheetView>
  </sheetViews>
  <sheetFormatPr baseColWidth="10" defaultColWidth="10.83203125" defaultRowHeight="15" x14ac:dyDescent="0.2"/>
  <cols>
    <col min="2" max="2" width="25.1640625" customWidth="1"/>
    <col min="7" max="7" width="10.83203125" style="146"/>
    <col min="11" max="11" width="10.83203125" style="146"/>
    <col min="15" max="15" width="10.83203125" style="146"/>
    <col min="19" max="19" width="10.83203125" style="146"/>
    <col min="23" max="23" width="10.83203125" style="146"/>
    <col min="27" max="27" width="12.1640625" style="146" bestFit="1" customWidth="1"/>
  </cols>
  <sheetData>
    <row r="1" spans="1:27" ht="19" x14ac:dyDescent="0.25">
      <c r="A1" s="320" t="s">
        <v>208</v>
      </c>
      <c r="B1" s="321"/>
      <c r="C1" s="35"/>
      <c r="I1" s="250"/>
      <c r="J1" s="328" t="s">
        <v>282</v>
      </c>
      <c r="V1" s="315"/>
      <c r="W1" s="315"/>
      <c r="X1" s="315"/>
      <c r="Y1" s="315"/>
    </row>
    <row r="2" spans="1:27" x14ac:dyDescent="0.2">
      <c r="A2" s="322" t="s">
        <v>192</v>
      </c>
      <c r="B2" s="126"/>
      <c r="C2" t="s">
        <v>193</v>
      </c>
      <c r="H2" s="95"/>
      <c r="I2" s="251"/>
      <c r="J2" s="328"/>
    </row>
    <row r="3" spans="1:27" x14ac:dyDescent="0.2">
      <c r="A3" s="323"/>
      <c r="B3" s="127"/>
      <c r="C3" t="s">
        <v>194</v>
      </c>
      <c r="H3" s="95"/>
      <c r="I3" s="251"/>
      <c r="J3" s="328"/>
    </row>
    <row r="4" spans="1:27" x14ac:dyDescent="0.2">
      <c r="A4" s="323"/>
      <c r="B4" s="128"/>
      <c r="C4" t="s">
        <v>195</v>
      </c>
      <c r="H4" s="95"/>
      <c r="I4" s="95"/>
      <c r="J4" s="95"/>
    </row>
    <row r="5" spans="1:27" x14ac:dyDescent="0.2">
      <c r="A5" s="324"/>
      <c r="B5" s="129"/>
      <c r="C5" t="s">
        <v>182</v>
      </c>
      <c r="H5" s="95"/>
      <c r="I5" s="95"/>
      <c r="J5" s="95"/>
    </row>
    <row r="6" spans="1:27" x14ac:dyDescent="0.2">
      <c r="H6" s="95"/>
      <c r="I6" s="95"/>
      <c r="J6" s="95"/>
    </row>
    <row r="7" spans="1:27" x14ac:dyDescent="0.2">
      <c r="C7" s="325" t="s">
        <v>160</v>
      </c>
      <c r="D7" s="326"/>
      <c r="E7" s="326"/>
      <c r="F7" s="327"/>
      <c r="G7" s="325" t="s">
        <v>166</v>
      </c>
      <c r="H7" s="326"/>
      <c r="I7" s="326"/>
      <c r="J7" s="327"/>
      <c r="K7" s="325" t="s">
        <v>177</v>
      </c>
      <c r="L7" s="326"/>
      <c r="M7" s="326"/>
      <c r="N7" s="326"/>
      <c r="O7" s="325" t="s">
        <v>272</v>
      </c>
      <c r="P7" s="326"/>
      <c r="Q7" s="326"/>
      <c r="R7" s="326"/>
      <c r="S7" s="325" t="s">
        <v>276</v>
      </c>
      <c r="T7" s="326"/>
      <c r="U7" s="326"/>
      <c r="V7" s="326"/>
      <c r="W7" s="325" t="s">
        <v>277</v>
      </c>
      <c r="X7" s="326"/>
      <c r="Y7" s="326"/>
      <c r="Z7" s="326"/>
      <c r="AA7" s="231" t="s">
        <v>278</v>
      </c>
    </row>
    <row r="8" spans="1:27" s="268" customFormat="1" x14ac:dyDescent="0.2">
      <c r="B8" s="268" t="s">
        <v>200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68" customFormat="1" ht="19" x14ac:dyDescent="0.25">
      <c r="A9" s="106" t="s">
        <v>165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ht="16" x14ac:dyDescent="0.2">
      <c r="B10" s="86" t="s">
        <v>171</v>
      </c>
      <c r="D10" s="276">
        <v>624.1</v>
      </c>
      <c r="E10" s="276">
        <v>668.8</v>
      </c>
      <c r="F10" s="276">
        <v>699</v>
      </c>
      <c r="G10" s="277">
        <v>725.67515775001925</v>
      </c>
      <c r="H10" s="276">
        <v>752.35031550003862</v>
      </c>
      <c r="I10" s="276">
        <v>779.02547325005798</v>
      </c>
      <c r="J10" s="276">
        <v>805.70063100007712</v>
      </c>
      <c r="K10" s="277">
        <v>797.68095514365859</v>
      </c>
      <c r="L10" s="276">
        <v>789.66127928724018</v>
      </c>
      <c r="M10" s="276">
        <v>781.64160343082176</v>
      </c>
      <c r="N10" s="276">
        <v>773.62192757440323</v>
      </c>
      <c r="O10" s="277">
        <v>765.68096050565816</v>
      </c>
      <c r="P10" s="276">
        <v>757.73999343691298</v>
      </c>
      <c r="Q10" s="276">
        <v>749.7990263681678</v>
      </c>
      <c r="R10" s="276">
        <v>741.85805929942273</v>
      </c>
      <c r="S10" s="277">
        <v>750.21768215784016</v>
      </c>
      <c r="T10" s="276">
        <v>758.57730501625758</v>
      </c>
      <c r="U10" s="276">
        <v>766.93692787467512</v>
      </c>
      <c r="V10" s="276">
        <v>775.29655073309266</v>
      </c>
      <c r="W10" s="277">
        <v>785.88625590892332</v>
      </c>
      <c r="X10" s="276">
        <v>796.47596108475398</v>
      </c>
      <c r="Y10" s="276">
        <v>807.06566626058475</v>
      </c>
      <c r="Z10" s="276">
        <v>817.65537143641552</v>
      </c>
      <c r="AA10" s="277">
        <v>828.6749765144433</v>
      </c>
    </row>
    <row r="11" spans="1:27" ht="16" x14ac:dyDescent="0.2">
      <c r="B11" s="86" t="s">
        <v>172</v>
      </c>
      <c r="D11" s="276">
        <v>143</v>
      </c>
      <c r="E11" s="276">
        <v>143.40000000000009</v>
      </c>
      <c r="F11" s="276">
        <v>144.6</v>
      </c>
      <c r="G11" s="277">
        <v>120.03384224998069</v>
      </c>
      <c r="H11" s="276">
        <v>95.472956999961298</v>
      </c>
      <c r="I11" s="276">
        <v>70.917357431191931</v>
      </c>
      <c r="J11" s="276">
        <v>48.491913834578902</v>
      </c>
      <c r="K11" s="277">
        <v>62.918033777257392</v>
      </c>
      <c r="L11" s="276">
        <v>79.543699522884936</v>
      </c>
      <c r="M11" s="276">
        <v>96.719377529314102</v>
      </c>
      <c r="N11" s="276">
        <v>112.99031224028791</v>
      </c>
      <c r="O11" s="277">
        <v>128.20541540449631</v>
      </c>
      <c r="P11" s="276">
        <v>143.1671904459771</v>
      </c>
      <c r="Q11" s="276">
        <v>158.92513958745889</v>
      </c>
      <c r="R11" s="276">
        <v>174.61070926530419</v>
      </c>
      <c r="S11" s="277">
        <v>174.06806847962321</v>
      </c>
      <c r="T11" s="276">
        <v>173.95970447576121</v>
      </c>
      <c r="U11" s="276">
        <v>174.24942752189929</v>
      </c>
      <c r="V11" s="276">
        <v>175.11818627712921</v>
      </c>
      <c r="W11" s="277">
        <v>173.86543191040059</v>
      </c>
      <c r="X11" s="276">
        <v>172.54029808003551</v>
      </c>
      <c r="Y11" s="276">
        <v>171.50468210421619</v>
      </c>
      <c r="Z11" s="276">
        <v>170.79477371476079</v>
      </c>
      <c r="AA11" s="277">
        <v>169.9444832776542</v>
      </c>
    </row>
    <row r="12" spans="1:27" ht="16" x14ac:dyDescent="0.2">
      <c r="B12" s="86" t="s">
        <v>173</v>
      </c>
      <c r="D12" s="276">
        <v>1862.4</v>
      </c>
      <c r="E12" s="276">
        <v>1779.8</v>
      </c>
      <c r="F12" s="276">
        <v>1840.7</v>
      </c>
      <c r="G12" s="277">
        <v>1877.922058618492</v>
      </c>
      <c r="H12" s="276">
        <v>1909.0672334979879</v>
      </c>
      <c r="I12" s="276">
        <v>1939.424154981476</v>
      </c>
      <c r="J12" s="276">
        <v>1971.870864538103</v>
      </c>
      <c r="K12" s="277">
        <v>1993.602827351312</v>
      </c>
      <c r="L12" s="276">
        <v>2013.4924769947811</v>
      </c>
      <c r="M12" s="276">
        <v>2033.180480420667</v>
      </c>
      <c r="N12" s="276">
        <v>2053.766726088515</v>
      </c>
      <c r="O12" s="277">
        <v>2074.6554410827389</v>
      </c>
      <c r="P12" s="276">
        <v>2095.654144922918</v>
      </c>
      <c r="Q12" s="276">
        <v>2115.7821037326221</v>
      </c>
      <c r="R12" s="276">
        <v>2137.3490832768989</v>
      </c>
      <c r="S12" s="277">
        <v>2160.1442716010042</v>
      </c>
      <c r="T12" s="276">
        <v>2184.1035085447952</v>
      </c>
      <c r="U12" s="276">
        <v>2207.641121579094</v>
      </c>
      <c r="V12" s="276">
        <v>2230.977088395809</v>
      </c>
      <c r="W12" s="277">
        <v>2254.7438448591802</v>
      </c>
      <c r="X12" s="276">
        <v>2279.6563184679121</v>
      </c>
      <c r="Y12" s="276">
        <v>2304.862095665856</v>
      </c>
      <c r="Z12" s="276">
        <v>2330.315347767199</v>
      </c>
      <c r="AA12" s="277">
        <v>2355.9885775604512</v>
      </c>
    </row>
    <row r="13" spans="1:27" ht="16" x14ac:dyDescent="0.2">
      <c r="B13" s="86" t="s">
        <v>174</v>
      </c>
      <c r="D13" s="276">
        <v>62.7</v>
      </c>
      <c r="E13" s="276">
        <v>54.2</v>
      </c>
      <c r="F13" s="276">
        <v>62.633333333333333</v>
      </c>
      <c r="G13" s="277">
        <v>63.899884973907497</v>
      </c>
      <c r="H13" s="276">
        <v>64.959659038096376</v>
      </c>
      <c r="I13" s="276">
        <v>65.992611274880829</v>
      </c>
      <c r="J13" s="276">
        <v>67.096672542458393</v>
      </c>
      <c r="K13" s="277">
        <v>67.836144086364158</v>
      </c>
      <c r="L13" s="276">
        <v>68.512927405754951</v>
      </c>
      <c r="M13" s="276">
        <v>69.182849327437623</v>
      </c>
      <c r="N13" s="276">
        <v>69.883335657092758</v>
      </c>
      <c r="O13" s="277">
        <v>70.594114083310089</v>
      </c>
      <c r="P13" s="276">
        <v>71.308635090095464</v>
      </c>
      <c r="Q13" s="276">
        <v>71.993527334050356</v>
      </c>
      <c r="R13" s="276">
        <v>72.727385007104047</v>
      </c>
      <c r="S13" s="277">
        <v>73.503034829834391</v>
      </c>
      <c r="T13" s="276">
        <v>74.31829363024336</v>
      </c>
      <c r="U13" s="276">
        <v>75.11920587180812</v>
      </c>
      <c r="V13" s="276">
        <v>75.913256715664758</v>
      </c>
      <c r="W13" s="277">
        <v>76.721966000079647</v>
      </c>
      <c r="X13" s="276">
        <v>77.569660498745151</v>
      </c>
      <c r="Y13" s="276">
        <v>78.427335212258797</v>
      </c>
      <c r="Z13" s="276">
        <v>79.293430732050595</v>
      </c>
      <c r="AA13" s="277">
        <v>80.167011412978511</v>
      </c>
    </row>
    <row r="14" spans="1:27" ht="16" x14ac:dyDescent="0.2">
      <c r="B14" s="86" t="s">
        <v>175</v>
      </c>
      <c r="D14" s="276">
        <v>0.6</v>
      </c>
      <c r="E14" s="276">
        <v>0.6</v>
      </c>
      <c r="F14" s="276">
        <v>0.6</v>
      </c>
      <c r="G14" s="277">
        <v>0.60196494651670918</v>
      </c>
      <c r="H14" s="276">
        <v>0.60400462950948985</v>
      </c>
      <c r="I14" s="276">
        <v>0.60618755741474062</v>
      </c>
      <c r="J14" s="276">
        <v>0.6085448704308245</v>
      </c>
      <c r="K14" s="277">
        <v>0.61108591061725048</v>
      </c>
      <c r="L14" s="276">
        <v>0.613723485418602</v>
      </c>
      <c r="M14" s="276">
        <v>0.61640465649766174</v>
      </c>
      <c r="N14" s="276">
        <v>0.61912008179492095</v>
      </c>
      <c r="O14" s="277">
        <v>0.62186976131037952</v>
      </c>
      <c r="P14" s="276">
        <v>0.62465992308370988</v>
      </c>
      <c r="Q14" s="276">
        <v>0.62746254093638565</v>
      </c>
      <c r="R14" s="276">
        <v>0.63030564104693343</v>
      </c>
      <c r="S14" s="277">
        <v>0.63318922341535311</v>
      </c>
      <c r="T14" s="276">
        <v>0.63610394598213582</v>
      </c>
      <c r="U14" s="276">
        <v>0.6390248965885913</v>
      </c>
      <c r="V14" s="276">
        <v>0.64196141729422818</v>
      </c>
      <c r="W14" s="277">
        <v>0.64491350809904657</v>
      </c>
      <c r="X14" s="276">
        <v>0.64787182694353762</v>
      </c>
      <c r="Y14" s="276">
        <v>0.65081457568884715</v>
      </c>
      <c r="Z14" s="276">
        <v>0.6537604384539929</v>
      </c>
      <c r="AA14" s="277">
        <v>0.65670630121913887</v>
      </c>
    </row>
    <row r="15" spans="1:27" ht="16" x14ac:dyDescent="0.2">
      <c r="B15" s="86" t="s">
        <v>176</v>
      </c>
      <c r="D15" s="276">
        <v>804.7</v>
      </c>
      <c r="E15" s="276">
        <v>824.1</v>
      </c>
      <c r="F15" s="276">
        <v>842.7</v>
      </c>
      <c r="G15" s="277">
        <v>829.91020137042551</v>
      </c>
      <c r="H15" s="276">
        <v>817.12040274085098</v>
      </c>
      <c r="I15" s="276">
        <v>804.33060411127656</v>
      </c>
      <c r="J15" s="276">
        <v>791.54080548170202</v>
      </c>
      <c r="K15" s="277">
        <v>831.50700168084188</v>
      </c>
      <c r="L15" s="276">
        <v>871.47319787998163</v>
      </c>
      <c r="M15" s="276">
        <v>911.43939407912126</v>
      </c>
      <c r="N15" s="276">
        <v>951.405590278261</v>
      </c>
      <c r="O15" s="277">
        <v>961.1388873035537</v>
      </c>
      <c r="P15" s="276">
        <v>970.8721843288464</v>
      </c>
      <c r="Q15" s="276">
        <v>980.6054813541391</v>
      </c>
      <c r="R15" s="276">
        <v>990.3387783794318</v>
      </c>
      <c r="S15" s="277">
        <v>995.99576239925386</v>
      </c>
      <c r="T15" s="276">
        <v>1001.652746419076</v>
      </c>
      <c r="U15" s="276">
        <v>1007.309730438898</v>
      </c>
      <c r="V15" s="276">
        <v>1012.96671445872</v>
      </c>
      <c r="W15" s="277">
        <v>1042.6707682282611</v>
      </c>
      <c r="X15" s="276">
        <v>1072.3748219978011</v>
      </c>
      <c r="Y15" s="276">
        <v>1102.0788757673411</v>
      </c>
      <c r="Z15" s="276">
        <v>1131.7829295368811</v>
      </c>
      <c r="AA15" s="277">
        <v>1151.8062286849761</v>
      </c>
    </row>
    <row r="16" spans="1:27" ht="16" x14ac:dyDescent="0.2">
      <c r="B16" s="86" t="s">
        <v>167</v>
      </c>
      <c r="D16" s="276">
        <v>1617.8</v>
      </c>
      <c r="E16" s="276">
        <v>3991.2</v>
      </c>
      <c r="F16" s="276">
        <v>2671.1</v>
      </c>
      <c r="G16" s="277">
        <v>2333.9915869000388</v>
      </c>
      <c r="H16" s="276">
        <v>2068.5630978317022</v>
      </c>
      <c r="I16" s="276">
        <v>1854.7401002166671</v>
      </c>
      <c r="J16" s="276">
        <v>1705.479653085818</v>
      </c>
      <c r="K16" s="277">
        <v>1751.959108413354</v>
      </c>
      <c r="L16" s="276">
        <v>1769.6982583878359</v>
      </c>
      <c r="M16" s="276">
        <v>1769.1584086787691</v>
      </c>
      <c r="N16" s="276">
        <v>1743.308007766135</v>
      </c>
      <c r="O16" s="277">
        <v>1745.2651382913789</v>
      </c>
      <c r="P16" s="276">
        <v>1748.278899711572</v>
      </c>
      <c r="Q16" s="276">
        <v>1752.0152900787809</v>
      </c>
      <c r="R16" s="276">
        <v>1757.822159024543</v>
      </c>
      <c r="S16" s="277">
        <v>1775.5902086761339</v>
      </c>
      <c r="T16" s="276">
        <v>1792.663139384533</v>
      </c>
      <c r="U16" s="276">
        <v>1806.4949994790579</v>
      </c>
      <c r="V16" s="276">
        <v>1818.3401827003661</v>
      </c>
      <c r="W16" s="277">
        <v>1860.3070315426439</v>
      </c>
      <c r="X16" s="276">
        <v>1895.734539781108</v>
      </c>
      <c r="Y16" s="276">
        <v>1925.3690742770759</v>
      </c>
      <c r="Z16" s="276">
        <v>1948.5872272714889</v>
      </c>
      <c r="AA16" s="277">
        <v>1961.095884519679</v>
      </c>
    </row>
    <row r="17" spans="1:28" ht="16" x14ac:dyDescent="0.2">
      <c r="B17" s="86" t="s">
        <v>168</v>
      </c>
      <c r="D17" s="276">
        <v>3376.8</v>
      </c>
      <c r="E17" s="276">
        <v>3096.4</v>
      </c>
      <c r="F17" s="276">
        <v>3250.4</v>
      </c>
      <c r="G17" s="277">
        <v>3279.4707042488958</v>
      </c>
      <c r="H17" s="276">
        <v>3308.5414084977929</v>
      </c>
      <c r="I17" s="276">
        <v>3337.612112746689</v>
      </c>
      <c r="J17" s="276">
        <v>3366.6828169955852</v>
      </c>
      <c r="K17" s="277">
        <v>3414.9766574307191</v>
      </c>
      <c r="L17" s="276">
        <v>3463.270497865853</v>
      </c>
      <c r="M17" s="276">
        <v>3511.5643383009879</v>
      </c>
      <c r="N17" s="276">
        <v>3559.8581787361222</v>
      </c>
      <c r="O17" s="277">
        <v>3606.5959670229809</v>
      </c>
      <c r="P17" s="276">
        <v>3653.3337553098409</v>
      </c>
      <c r="Q17" s="276">
        <v>3700.0715435967008</v>
      </c>
      <c r="R17" s="276">
        <v>3746.8093318835622</v>
      </c>
      <c r="S17" s="277">
        <v>3782.1656535796728</v>
      </c>
      <c r="T17" s="276">
        <v>3817.5219752757839</v>
      </c>
      <c r="U17" s="276">
        <v>3852.8782969718959</v>
      </c>
      <c r="V17" s="276">
        <v>3888.234618668007</v>
      </c>
      <c r="W17" s="277">
        <v>3927.686912464862</v>
      </c>
      <c r="X17" s="276">
        <v>3967.1392062617178</v>
      </c>
      <c r="Y17" s="276">
        <v>4006.5915000585742</v>
      </c>
      <c r="Z17" s="276">
        <v>4046.0437938554301</v>
      </c>
      <c r="AA17" s="277">
        <v>4091.8476387732821</v>
      </c>
    </row>
    <row r="18" spans="1:28" ht="16" x14ac:dyDescent="0.2">
      <c r="B18" s="86" t="s">
        <v>169</v>
      </c>
      <c r="D18" s="276">
        <v>180.5</v>
      </c>
      <c r="E18" s="276">
        <v>171.5</v>
      </c>
      <c r="F18" s="276">
        <v>193.9</v>
      </c>
      <c r="G18" s="277">
        <v>203.46905965472101</v>
      </c>
      <c r="H18" s="276">
        <v>213.03811930944201</v>
      </c>
      <c r="I18" s="276">
        <v>222.60717896416301</v>
      </c>
      <c r="J18" s="276">
        <v>232.17623861888401</v>
      </c>
      <c r="K18" s="277">
        <v>272.74113487866401</v>
      </c>
      <c r="L18" s="276">
        <v>313.30603113844381</v>
      </c>
      <c r="M18" s="276">
        <v>353.87092739822373</v>
      </c>
      <c r="N18" s="276">
        <v>394.4358236580037</v>
      </c>
      <c r="O18" s="277">
        <v>417.68987091583182</v>
      </c>
      <c r="P18" s="276">
        <v>440.94391817365999</v>
      </c>
      <c r="Q18" s="276">
        <v>464.19796543148823</v>
      </c>
      <c r="R18" s="276">
        <v>487.45201268931629</v>
      </c>
      <c r="S18" s="277">
        <v>499.93126343802862</v>
      </c>
      <c r="T18" s="276">
        <v>512.4105141867409</v>
      </c>
      <c r="U18" s="276">
        <v>524.88976493545317</v>
      </c>
      <c r="V18" s="276">
        <v>537.36901568416533</v>
      </c>
      <c r="W18" s="277">
        <v>549.34569255866063</v>
      </c>
      <c r="X18" s="276">
        <v>561.32236943315593</v>
      </c>
      <c r="Y18" s="276">
        <v>573.29904630765122</v>
      </c>
      <c r="Z18" s="276">
        <v>585.27572318214641</v>
      </c>
      <c r="AA18" s="277">
        <v>587.36016206119621</v>
      </c>
    </row>
    <row r="19" spans="1:28" ht="16" x14ac:dyDescent="0.2">
      <c r="B19" s="86" t="s">
        <v>170</v>
      </c>
      <c r="D19" s="276">
        <v>74.5</v>
      </c>
      <c r="E19" s="276">
        <v>1085.9000000000001</v>
      </c>
      <c r="F19" s="276">
        <v>1211.7</v>
      </c>
      <c r="G19" s="277">
        <v>1215.6682094904941</v>
      </c>
      <c r="H19" s="276">
        <v>1219.787349294415</v>
      </c>
      <c r="I19" s="276">
        <v>1224.1957721990691</v>
      </c>
      <c r="J19" s="276">
        <v>1228.9563658350501</v>
      </c>
      <c r="K19" s="277">
        <v>1234.087996491538</v>
      </c>
      <c r="L19" s="276">
        <v>1239.414578802867</v>
      </c>
      <c r="M19" s="276">
        <v>1244.829203797028</v>
      </c>
      <c r="N19" s="276">
        <v>1250.313005184843</v>
      </c>
      <c r="O19" s="277">
        <v>1255.865982966312</v>
      </c>
      <c r="P19" s="276">
        <v>1261.5007146675521</v>
      </c>
      <c r="Q19" s="276">
        <v>1267.1606014210311</v>
      </c>
      <c r="R19" s="276">
        <v>1272.902242094282</v>
      </c>
      <c r="S19" s="277">
        <v>1278.725636687306</v>
      </c>
      <c r="T19" s="276">
        <v>1284.611918910924</v>
      </c>
      <c r="U19" s="276">
        <v>1290.51077866066</v>
      </c>
      <c r="V19" s="276">
        <v>1296.4410822256939</v>
      </c>
      <c r="W19" s="277">
        <v>1302.4028296060251</v>
      </c>
      <c r="X19" s="276">
        <v>1308.377154512475</v>
      </c>
      <c r="Y19" s="276">
        <v>1314.320035603628</v>
      </c>
      <c r="Z19" s="276">
        <v>1320.269205457839</v>
      </c>
      <c r="AA19" s="277">
        <v>1326.2183753120521</v>
      </c>
    </row>
    <row r="20" spans="1:28" x14ac:dyDescent="0.2">
      <c r="B20" t="s">
        <v>196</v>
      </c>
      <c r="D20" s="276">
        <v>627.79999999999995</v>
      </c>
      <c r="E20" s="276">
        <v>1396.9</v>
      </c>
      <c r="F20" s="276">
        <v>727.5</v>
      </c>
      <c r="G20" s="277">
        <v>733.04680766425781</v>
      </c>
      <c r="H20" s="276">
        <v>735.98902738182073</v>
      </c>
      <c r="I20" s="276">
        <v>739.36534509049943</v>
      </c>
      <c r="J20" s="276">
        <v>743.32046012066564</v>
      </c>
      <c r="K20" s="277">
        <v>749.02556575769893</v>
      </c>
      <c r="L20" s="276">
        <v>755.52366768540628</v>
      </c>
      <c r="M20" s="276">
        <v>762.10350317964219</v>
      </c>
      <c r="N20" s="276">
        <v>769.41290608618056</v>
      </c>
      <c r="O20" s="277">
        <v>776.13795670807622</v>
      </c>
      <c r="P20" s="276">
        <v>783.60728828800347</v>
      </c>
      <c r="Q20" s="276">
        <v>790.46038352082041</v>
      </c>
      <c r="R20" s="276">
        <v>798.06474350137887</v>
      </c>
      <c r="S20" s="277">
        <v>805.75664035773445</v>
      </c>
      <c r="T20" s="276">
        <v>813.52495973338114</v>
      </c>
      <c r="U20" s="276">
        <v>821.33843618411572</v>
      </c>
      <c r="V20" s="276">
        <v>829.20919608994689</v>
      </c>
      <c r="W20" s="277">
        <v>837.13753702857616</v>
      </c>
      <c r="X20" s="276">
        <v>845.80063209028697</v>
      </c>
      <c r="Y20" s="276">
        <v>853.79527583413812</v>
      </c>
      <c r="Z20" s="276">
        <v>861.83155348315586</v>
      </c>
      <c r="AA20" s="277">
        <v>869.9054194417273</v>
      </c>
    </row>
    <row r="21" spans="1:28" x14ac:dyDescent="0.2">
      <c r="H21" s="95"/>
      <c r="I21" s="95"/>
      <c r="J21" s="95"/>
    </row>
    <row r="22" spans="1:28" x14ac:dyDescent="0.2">
      <c r="E22" s="95"/>
      <c r="F22" s="95"/>
      <c r="H22" s="95"/>
      <c r="I22" s="95"/>
      <c r="J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9" x14ac:dyDescent="0.25">
      <c r="A23" s="110" t="s">
        <v>185</v>
      </c>
      <c r="B23" s="110"/>
      <c r="E23" s="95"/>
      <c r="F23" s="95"/>
      <c r="H23" s="95"/>
      <c r="I23" s="95"/>
      <c r="J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2">
      <c r="B24" t="s">
        <v>185</v>
      </c>
      <c r="D24" s="102">
        <f>main_nipas!I6/1000</f>
        <v>624.096</v>
      </c>
      <c r="E24" s="102">
        <f>main_nipas!J6/1000</f>
        <v>668.82299999999998</v>
      </c>
      <c r="F24" s="102">
        <f>main_nipas!K6/1000</f>
        <v>683.70299999999997</v>
      </c>
      <c r="G24" s="149">
        <f>main_nipas!L6/1000</f>
        <v>696.03268223237262</v>
      </c>
      <c r="H24" s="102">
        <f>main_nipas!M6/1000</f>
        <v>708.58471402873897</v>
      </c>
      <c r="I24" s="102">
        <f>main_nipas!N6/1000</f>
        <v>715.65561499357034</v>
      </c>
      <c r="J24" s="102">
        <f>main_nipas!O6/1000</f>
        <v>715.65561499357034</v>
      </c>
      <c r="K24" s="149">
        <f>main_nipas!P6/1000</f>
        <v>715.65561499357034</v>
      </c>
      <c r="L24" s="102">
        <f>main_nipas!Q6/1000</f>
        <v>715.65561499357034</v>
      </c>
      <c r="M24" s="102">
        <f>main_nipas!R6/1000</f>
        <v>715.65561499357034</v>
      </c>
      <c r="N24" s="102">
        <f>M24*(1+N26)</f>
        <v>708.31295816481031</v>
      </c>
      <c r="O24" s="149">
        <f t="shared" ref="O24:AA24" si="0">N24*(1+O26)</f>
        <v>701.04236554757711</v>
      </c>
      <c r="P24" s="102">
        <f t="shared" si="0"/>
        <v>693.77177293034379</v>
      </c>
      <c r="Q24" s="102">
        <f t="shared" si="0"/>
        <v>686.50118031311047</v>
      </c>
      <c r="R24" s="102">
        <f t="shared" si="0"/>
        <v>679.23058769587726</v>
      </c>
      <c r="S24" s="149">
        <f t="shared" si="0"/>
        <v>686.88449328585079</v>
      </c>
      <c r="T24" s="102">
        <f t="shared" si="0"/>
        <v>694.53839887582433</v>
      </c>
      <c r="U24" s="102">
        <f t="shared" si="0"/>
        <v>702.19230446579786</v>
      </c>
      <c r="V24" s="102">
        <f t="shared" si="0"/>
        <v>709.84621005577139</v>
      </c>
      <c r="W24" s="149">
        <f t="shared" si="0"/>
        <v>719.54193497233848</v>
      </c>
      <c r="X24" s="102">
        <f t="shared" si="0"/>
        <v>729.23765988890557</v>
      </c>
      <c r="Y24" s="102">
        <f t="shared" si="0"/>
        <v>738.93338480547277</v>
      </c>
      <c r="Z24" s="102">
        <f t="shared" si="0"/>
        <v>748.62910972203997</v>
      </c>
      <c r="AA24" s="149">
        <f t="shared" si="0"/>
        <v>758.71844249870844</v>
      </c>
      <c r="AB24" s="95"/>
    </row>
    <row r="25" spans="1:28" x14ac:dyDescent="0.2">
      <c r="B25" t="s">
        <v>178</v>
      </c>
      <c r="D25" s="102">
        <f>D10</f>
        <v>624.1</v>
      </c>
      <c r="E25" s="104">
        <f t="shared" ref="E25:AA25" si="1">E10</f>
        <v>668.8</v>
      </c>
      <c r="F25" s="104">
        <f t="shared" si="1"/>
        <v>699</v>
      </c>
      <c r="G25" s="149">
        <f t="shared" si="1"/>
        <v>725.67515775001925</v>
      </c>
      <c r="H25" s="104">
        <f t="shared" si="1"/>
        <v>752.35031550003862</v>
      </c>
      <c r="I25" s="104">
        <f t="shared" si="1"/>
        <v>779.02547325005798</v>
      </c>
      <c r="J25" s="104">
        <f t="shared" si="1"/>
        <v>805.70063100007712</v>
      </c>
      <c r="K25" s="149">
        <f t="shared" si="1"/>
        <v>797.68095514365859</v>
      </c>
      <c r="L25" s="104">
        <f t="shared" si="1"/>
        <v>789.66127928724018</v>
      </c>
      <c r="M25" s="232">
        <f t="shared" si="1"/>
        <v>781.64160343082176</v>
      </c>
      <c r="N25" s="104">
        <f t="shared" si="1"/>
        <v>773.62192757440323</v>
      </c>
      <c r="O25" s="149">
        <f t="shared" si="1"/>
        <v>765.68096050565816</v>
      </c>
      <c r="P25" s="104">
        <f t="shared" si="1"/>
        <v>757.73999343691298</v>
      </c>
      <c r="Q25" s="104">
        <f t="shared" si="1"/>
        <v>749.7990263681678</v>
      </c>
      <c r="R25" s="104">
        <f t="shared" si="1"/>
        <v>741.85805929942273</v>
      </c>
      <c r="S25" s="149">
        <f t="shared" si="1"/>
        <v>750.21768215784016</v>
      </c>
      <c r="T25" s="104">
        <f t="shared" si="1"/>
        <v>758.57730501625758</v>
      </c>
      <c r="U25" s="104">
        <f t="shared" si="1"/>
        <v>766.93692787467512</v>
      </c>
      <c r="V25" s="104">
        <f t="shared" si="1"/>
        <v>775.29655073309266</v>
      </c>
      <c r="W25" s="149">
        <f t="shared" si="1"/>
        <v>785.88625590892332</v>
      </c>
      <c r="X25" s="104">
        <f t="shared" si="1"/>
        <v>796.47596108475398</v>
      </c>
      <c r="Y25" s="104">
        <f t="shared" si="1"/>
        <v>807.06566626058475</v>
      </c>
      <c r="Z25" s="104">
        <f t="shared" si="1"/>
        <v>817.65537143641552</v>
      </c>
      <c r="AA25" s="149">
        <f t="shared" si="1"/>
        <v>828.6749765144433</v>
      </c>
      <c r="AB25" s="95"/>
    </row>
    <row r="26" spans="1:28" s="171" customFormat="1" ht="12" x14ac:dyDescent="0.15">
      <c r="B26" s="213" t="s">
        <v>280</v>
      </c>
      <c r="D26" s="237"/>
      <c r="E26" s="252"/>
      <c r="F26" s="252"/>
      <c r="G26" s="238"/>
      <c r="H26" s="252"/>
      <c r="I26" s="252"/>
      <c r="J26" s="252"/>
      <c r="K26" s="256"/>
      <c r="L26" s="239"/>
      <c r="M26" s="239"/>
      <c r="N26" s="239">
        <f t="shared" ref="N26:AA26" si="2">(N25/M25)-1</f>
        <v>-1.0260042225513799E-2</v>
      </c>
      <c r="O26" s="256">
        <f t="shared" si="2"/>
        <v>-1.0264661310264267E-2</v>
      </c>
      <c r="P26" s="239">
        <f t="shared" si="2"/>
        <v>-1.0371117316931744E-2</v>
      </c>
      <c r="Q26" s="239">
        <f t="shared" si="2"/>
        <v>-1.0479804599895837E-2</v>
      </c>
      <c r="R26" s="239">
        <f t="shared" si="2"/>
        <v>-1.0590794052119601E-2</v>
      </c>
      <c r="S26" s="256">
        <f t="shared" si="2"/>
        <v>1.1268493687743852E-2</v>
      </c>
      <c r="T26" s="239">
        <f t="shared" si="2"/>
        <v>1.1142929655260536E-2</v>
      </c>
      <c r="U26" s="239">
        <f t="shared" si="2"/>
        <v>1.1020133087475292E-2</v>
      </c>
      <c r="V26" s="239">
        <f t="shared" si="2"/>
        <v>1.090001348818026E-2</v>
      </c>
      <c r="W26" s="256">
        <f t="shared" si="2"/>
        <v>1.3658909182321821E-2</v>
      </c>
      <c r="X26" s="239">
        <f t="shared" si="2"/>
        <v>1.3474857329809131E-2</v>
      </c>
      <c r="Y26" s="239">
        <f t="shared" si="2"/>
        <v>1.3295699673607553E-2</v>
      </c>
      <c r="Z26" s="239">
        <f t="shared" si="2"/>
        <v>1.3121243559890861E-2</v>
      </c>
      <c r="AA26" s="256">
        <f t="shared" si="2"/>
        <v>1.3477077828852435E-2</v>
      </c>
      <c r="AB26" s="253"/>
    </row>
    <row r="27" spans="1:28" s="97" customFormat="1" x14ac:dyDescent="0.2">
      <c r="B27" s="99" t="s">
        <v>179</v>
      </c>
      <c r="D27" s="103"/>
      <c r="E27" s="225"/>
      <c r="F27" s="225">
        <f t="shared" ref="F27:AA27" si="3">F24-F25</f>
        <v>-15.297000000000025</v>
      </c>
      <c r="G27" s="150">
        <f t="shared" si="3"/>
        <v>-29.642475517646631</v>
      </c>
      <c r="H27" s="225">
        <f t="shared" si="3"/>
        <v>-43.765601471299647</v>
      </c>
      <c r="I27" s="225">
        <f t="shared" si="3"/>
        <v>-63.369858256487646</v>
      </c>
      <c r="J27" s="225">
        <f t="shared" si="3"/>
        <v>-90.045016006506785</v>
      </c>
      <c r="K27" s="150">
        <f t="shared" si="3"/>
        <v>-82.025340150088255</v>
      </c>
      <c r="L27" s="225">
        <f t="shared" si="3"/>
        <v>-74.005664293669838</v>
      </c>
      <c r="M27" s="249">
        <f t="shared" si="3"/>
        <v>-65.985988437251422</v>
      </c>
      <c r="N27" s="225">
        <f t="shared" si="3"/>
        <v>-65.308969409592919</v>
      </c>
      <c r="O27" s="150">
        <f t="shared" si="3"/>
        <v>-64.638594958081057</v>
      </c>
      <c r="P27" s="225">
        <f t="shared" si="3"/>
        <v>-63.968220506569196</v>
      </c>
      <c r="Q27" s="225">
        <f t="shared" si="3"/>
        <v>-63.297846055057335</v>
      </c>
      <c r="R27" s="225">
        <f t="shared" si="3"/>
        <v>-62.627471603545473</v>
      </c>
      <c r="S27" s="150">
        <f t="shared" si="3"/>
        <v>-63.333188871989364</v>
      </c>
      <c r="T27" s="225">
        <f t="shared" si="3"/>
        <v>-64.038906140433255</v>
      </c>
      <c r="U27" s="225">
        <f t="shared" si="3"/>
        <v>-64.74462340887726</v>
      </c>
      <c r="V27" s="225">
        <f t="shared" si="3"/>
        <v>-65.450340677321265</v>
      </c>
      <c r="W27" s="150">
        <f t="shared" si="3"/>
        <v>-66.344320936584836</v>
      </c>
      <c r="X27" s="225">
        <f t="shared" si="3"/>
        <v>-67.238301195848408</v>
      </c>
      <c r="Y27" s="225">
        <f t="shared" si="3"/>
        <v>-68.132281455111979</v>
      </c>
      <c r="Z27" s="225">
        <f t="shared" si="3"/>
        <v>-69.026261714375551</v>
      </c>
      <c r="AA27" s="150">
        <f t="shared" si="3"/>
        <v>-69.95653401573486</v>
      </c>
      <c r="AB27" s="254"/>
    </row>
    <row r="28" spans="1:28" x14ac:dyDescent="0.2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2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9" x14ac:dyDescent="0.25">
      <c r="A30" s="110" t="s">
        <v>188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2">
      <c r="B31" t="s">
        <v>188</v>
      </c>
      <c r="D31" s="102"/>
      <c r="E31" s="104">
        <f>main_nipas!J5/1000</f>
        <v>812.15800000000002</v>
      </c>
      <c r="F31" s="104">
        <f>main_nipas!K5/1000</f>
        <v>828.48</v>
      </c>
      <c r="G31" s="149">
        <f>main_nipas!L5/1000</f>
        <v>838.99996973237251</v>
      </c>
      <c r="H31" s="104">
        <f>main_nipas!M5/1000</f>
        <v>851.90941974748898</v>
      </c>
      <c r="I31" s="104">
        <f>main_nipas!N5/1000</f>
        <v>859.33863247661725</v>
      </c>
      <c r="J31" s="104">
        <f>main_nipas!O5/1000</f>
        <v>860.05704756403247</v>
      </c>
      <c r="K31" s="149">
        <f>main_nipas!P5/1000</f>
        <v>861.14005830831093</v>
      </c>
      <c r="L31" s="104">
        <f>main_nipas!Q5/1000</f>
        <v>862.59490274145821</v>
      </c>
      <c r="M31" s="104">
        <f>L31*(1 + M33)</f>
        <v>1048.8529268004456</v>
      </c>
      <c r="N31" s="104">
        <f t="shared" ref="N31:AA31" si="4">M31*(1 + N33)</f>
        <v>1225.2996526720162</v>
      </c>
      <c r="O31" s="149">
        <f t="shared" si="4"/>
        <v>1390.2966356242066</v>
      </c>
      <c r="P31" s="104">
        <f t="shared" si="4"/>
        <v>1552.546455083919</v>
      </c>
      <c r="Q31" s="104">
        <f t="shared" si="4"/>
        <v>1723.4302169485613</v>
      </c>
      <c r="R31" s="104">
        <f t="shared" si="4"/>
        <v>1893.5290749582098</v>
      </c>
      <c r="S31" s="149">
        <f t="shared" si="4"/>
        <v>1887.6445212027816</v>
      </c>
      <c r="T31" s="104">
        <f t="shared" si="4"/>
        <v>1886.4693905773181</v>
      </c>
      <c r="U31" s="104">
        <f t="shared" si="4"/>
        <v>1889.6112311543147</v>
      </c>
      <c r="V31" s="104">
        <f t="shared" si="4"/>
        <v>1899.0323025712628</v>
      </c>
      <c r="W31" s="149">
        <f t="shared" si="4"/>
        <v>1885.4470715899415</v>
      </c>
      <c r="X31" s="104">
        <f t="shared" si="4"/>
        <v>1871.0769367536266</v>
      </c>
      <c r="Y31" s="104">
        <f t="shared" si="4"/>
        <v>1859.8464173372852</v>
      </c>
      <c r="Z31" s="104">
        <f t="shared" si="4"/>
        <v>1852.1479652684141</v>
      </c>
      <c r="AA31" s="149">
        <f t="shared" si="4"/>
        <v>1842.9271696391268</v>
      </c>
      <c r="AB31" s="95"/>
    </row>
    <row r="32" spans="1:28" x14ac:dyDescent="0.2">
      <c r="B32" t="s">
        <v>178</v>
      </c>
      <c r="D32" s="102">
        <f>D11</f>
        <v>143</v>
      </c>
      <c r="E32" s="104">
        <f t="shared" ref="E32:AA32" si="5">E11</f>
        <v>143.40000000000009</v>
      </c>
      <c r="F32" s="104">
        <f t="shared" si="5"/>
        <v>144.6</v>
      </c>
      <c r="G32" s="149">
        <f t="shared" si="5"/>
        <v>120.03384224998069</v>
      </c>
      <c r="H32" s="104">
        <f t="shared" si="5"/>
        <v>95.472956999961298</v>
      </c>
      <c r="I32" s="104">
        <f t="shared" si="5"/>
        <v>70.917357431191931</v>
      </c>
      <c r="J32" s="104">
        <f t="shared" si="5"/>
        <v>48.491913834578902</v>
      </c>
      <c r="K32" s="149">
        <f t="shared" si="5"/>
        <v>62.918033777257392</v>
      </c>
      <c r="L32" s="232">
        <f t="shared" si="5"/>
        <v>79.543699522884936</v>
      </c>
      <c r="M32" s="104">
        <f t="shared" si="5"/>
        <v>96.719377529314102</v>
      </c>
      <c r="N32" s="104">
        <f t="shared" si="5"/>
        <v>112.99031224028791</v>
      </c>
      <c r="O32" s="149">
        <f t="shared" si="5"/>
        <v>128.20541540449631</v>
      </c>
      <c r="P32" s="104">
        <f t="shared" si="5"/>
        <v>143.1671904459771</v>
      </c>
      <c r="Q32" s="104">
        <f t="shared" si="5"/>
        <v>158.92513958745889</v>
      </c>
      <c r="R32" s="104">
        <f t="shared" si="5"/>
        <v>174.61070926530419</v>
      </c>
      <c r="S32" s="149">
        <f t="shared" si="5"/>
        <v>174.06806847962321</v>
      </c>
      <c r="T32" s="104">
        <f t="shared" si="5"/>
        <v>173.95970447576121</v>
      </c>
      <c r="U32" s="104">
        <f t="shared" si="5"/>
        <v>174.24942752189929</v>
      </c>
      <c r="V32" s="104">
        <f t="shared" si="5"/>
        <v>175.11818627712921</v>
      </c>
      <c r="W32" s="149">
        <f t="shared" si="5"/>
        <v>173.86543191040059</v>
      </c>
      <c r="X32" s="104">
        <f t="shared" si="5"/>
        <v>172.54029808003551</v>
      </c>
      <c r="Y32" s="104">
        <f t="shared" si="5"/>
        <v>171.50468210421619</v>
      </c>
      <c r="Z32" s="104">
        <f t="shared" si="5"/>
        <v>170.79477371476079</v>
      </c>
      <c r="AA32" s="149">
        <f t="shared" si="5"/>
        <v>169.9444832776542</v>
      </c>
      <c r="AB32" s="95"/>
    </row>
    <row r="33" spans="1:28" s="171" customFormat="1" ht="12" x14ac:dyDescent="0.15">
      <c r="B33" s="213" t="s">
        <v>280</v>
      </c>
      <c r="D33" s="237"/>
      <c r="E33" s="252"/>
      <c r="F33" s="252"/>
      <c r="G33" s="238"/>
      <c r="H33" s="252"/>
      <c r="I33" s="252"/>
      <c r="J33" s="252"/>
      <c r="K33" s="256"/>
      <c r="L33" s="239"/>
      <c r="M33" s="239">
        <f t="shared" ref="M33:AA33" si="6">(M32/L32)-1</f>
        <v>0.2159275732641488</v>
      </c>
      <c r="N33" s="239">
        <f t="shared" si="6"/>
        <v>0.16822828192874106</v>
      </c>
      <c r="O33" s="256">
        <f t="shared" si="6"/>
        <v>0.13465847524920194</v>
      </c>
      <c r="P33" s="239">
        <f t="shared" si="6"/>
        <v>0.11670158389390517</v>
      </c>
      <c r="Q33" s="239">
        <f t="shared" si="6"/>
        <v>0.11006676245021318</v>
      </c>
      <c r="R33" s="239">
        <f t="shared" si="6"/>
        <v>9.8697850563870704E-2</v>
      </c>
      <c r="S33" s="256">
        <f t="shared" si="6"/>
        <v>-3.1077176649944027E-3</v>
      </c>
      <c r="T33" s="239">
        <f t="shared" si="6"/>
        <v>-6.2253809563395102E-4</v>
      </c>
      <c r="U33" s="239">
        <f t="shared" si="6"/>
        <v>1.6654606709707309E-3</v>
      </c>
      <c r="V33" s="239">
        <f t="shared" si="6"/>
        <v>4.9857194229274704E-3</v>
      </c>
      <c r="W33" s="256">
        <f t="shared" si="6"/>
        <v>-7.1537650849472501E-3</v>
      </c>
      <c r="X33" s="239">
        <f t="shared" si="6"/>
        <v>-7.6216060651318474E-3</v>
      </c>
      <c r="Y33" s="239">
        <f t="shared" si="6"/>
        <v>-6.0021686953325437E-3</v>
      </c>
      <c r="Z33" s="239">
        <f t="shared" si="6"/>
        <v>-4.1392945122280533E-3</v>
      </c>
      <c r="AA33" s="256">
        <f t="shared" si="6"/>
        <v>-4.9784335820874936E-3</v>
      </c>
      <c r="AB33" s="253"/>
    </row>
    <row r="34" spans="1:28" s="97" customFormat="1" x14ac:dyDescent="0.2">
      <c r="B34" s="99" t="s">
        <v>179</v>
      </c>
      <c r="D34" s="103"/>
      <c r="E34" s="225"/>
      <c r="F34" s="225">
        <f t="shared" ref="F34:AA34" si="7">F31-F32</f>
        <v>683.88</v>
      </c>
      <c r="G34" s="150">
        <f t="shared" si="7"/>
        <v>718.96612748239181</v>
      </c>
      <c r="H34" s="225">
        <f t="shared" si="7"/>
        <v>756.43646274752768</v>
      </c>
      <c r="I34" s="225">
        <f t="shared" si="7"/>
        <v>788.42127504542532</v>
      </c>
      <c r="J34" s="225">
        <f t="shared" si="7"/>
        <v>811.56513372945358</v>
      </c>
      <c r="K34" s="150">
        <f t="shared" si="7"/>
        <v>798.22202453105353</v>
      </c>
      <c r="L34" s="249">
        <f t="shared" si="7"/>
        <v>783.05120321857328</v>
      </c>
      <c r="M34" s="225">
        <f t="shared" si="7"/>
        <v>952.13354927113153</v>
      </c>
      <c r="N34" s="225">
        <f t="shared" si="7"/>
        <v>1112.3093404317283</v>
      </c>
      <c r="O34" s="150">
        <f t="shared" si="7"/>
        <v>1262.0912202197103</v>
      </c>
      <c r="P34" s="150">
        <f t="shared" si="7"/>
        <v>1409.379264637942</v>
      </c>
      <c r="Q34" s="150">
        <f t="shared" si="7"/>
        <v>1564.5050773611024</v>
      </c>
      <c r="R34" s="150">
        <f t="shared" si="7"/>
        <v>1718.9183656929056</v>
      </c>
      <c r="S34" s="150">
        <f t="shared" si="7"/>
        <v>1713.5764527231584</v>
      </c>
      <c r="T34" s="150">
        <f t="shared" si="7"/>
        <v>1712.5096861015568</v>
      </c>
      <c r="U34" s="150">
        <f t="shared" si="7"/>
        <v>1715.3618036324156</v>
      </c>
      <c r="V34" s="150">
        <f t="shared" si="7"/>
        <v>1723.9141162941337</v>
      </c>
      <c r="W34" s="150">
        <f t="shared" si="7"/>
        <v>1711.581639679541</v>
      </c>
      <c r="X34" s="150">
        <f t="shared" si="7"/>
        <v>1698.5366386735911</v>
      </c>
      <c r="Y34" s="150">
        <f t="shared" si="7"/>
        <v>1688.3417352330689</v>
      </c>
      <c r="Z34" s="150">
        <f t="shared" si="7"/>
        <v>1681.3531915536532</v>
      </c>
      <c r="AA34" s="150">
        <f t="shared" si="7"/>
        <v>1672.9826863614726</v>
      </c>
      <c r="AB34" s="254"/>
    </row>
    <row r="35" spans="1:28" s="97" customFormat="1" x14ac:dyDescent="0.2">
      <c r="B35" s="99"/>
      <c r="D35" s="103"/>
      <c r="E35" s="225"/>
      <c r="F35" s="225"/>
      <c r="G35" s="150"/>
      <c r="H35" s="225"/>
      <c r="I35" s="225"/>
      <c r="J35" s="225"/>
      <c r="K35" s="150"/>
      <c r="L35" s="225"/>
      <c r="M35" s="225"/>
      <c r="N35" s="225"/>
      <c r="O35" s="183"/>
      <c r="P35" s="254"/>
      <c r="Q35" s="254"/>
      <c r="R35" s="254"/>
      <c r="S35" s="183"/>
      <c r="T35" s="254"/>
      <c r="U35" s="254"/>
      <c r="V35" s="254"/>
      <c r="W35" s="183"/>
      <c r="X35" s="254"/>
      <c r="Y35" s="254"/>
      <c r="Z35" s="254"/>
      <c r="AA35" s="183"/>
      <c r="AB35" s="254"/>
    </row>
    <row r="36" spans="1:28" s="97" customFormat="1" x14ac:dyDescent="0.2">
      <c r="B36" s="99"/>
      <c r="D36" s="103"/>
      <c r="E36" s="225"/>
      <c r="F36" s="225"/>
      <c r="G36" s="150"/>
      <c r="H36" s="225"/>
      <c r="I36" s="225"/>
      <c r="J36" s="225"/>
      <c r="K36" s="150"/>
      <c r="L36" s="225"/>
      <c r="M36" s="225"/>
      <c r="N36" s="225"/>
      <c r="O36" s="183"/>
      <c r="P36" s="254"/>
      <c r="Q36" s="254"/>
      <c r="R36" s="254"/>
      <c r="S36" s="183"/>
      <c r="T36" s="254"/>
      <c r="U36" s="254"/>
      <c r="V36" s="254"/>
      <c r="W36" s="183"/>
      <c r="X36" s="254"/>
      <c r="Y36" s="254"/>
      <c r="Z36" s="254"/>
      <c r="AA36" s="183"/>
      <c r="AB36" s="254"/>
    </row>
    <row r="37" spans="1:28" ht="19" x14ac:dyDescent="0.25">
      <c r="A37" s="105" t="s">
        <v>189</v>
      </c>
      <c r="B37" s="105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2">
      <c r="B38" t="s">
        <v>189</v>
      </c>
      <c r="D38" s="102"/>
      <c r="E38" s="104">
        <f>main_nipas!J4/1000</f>
        <v>824.05799999999999</v>
      </c>
      <c r="F38" s="104">
        <f>main_nipas!K4/1000</f>
        <v>842.73299999999995</v>
      </c>
      <c r="G38" s="149">
        <f>main_nipas!L4/1000</f>
        <v>853.05318699882878</v>
      </c>
      <c r="H38" s="104">
        <f>main_nipas!M4/1000</f>
        <v>875.49975597117805</v>
      </c>
      <c r="I38" s="104">
        <f>main_nipas!N4/1000</f>
        <v>898.22120772286166</v>
      </c>
      <c r="J38" s="104">
        <f>main_nipas!O4/1000</f>
        <v>921.22090849405947</v>
      </c>
      <c r="K38" s="149">
        <f t="shared" ref="K38:AA38" si="8">J38*(1+K40)</f>
        <v>967.73486622895803</v>
      </c>
      <c r="L38" s="149">
        <f t="shared" si="8"/>
        <v>1014.2488239638564</v>
      </c>
      <c r="M38" s="149">
        <f t="shared" si="8"/>
        <v>1060.7627816987547</v>
      </c>
      <c r="N38" s="149">
        <f t="shared" si="8"/>
        <v>1107.2767394336531</v>
      </c>
      <c r="O38" s="149">
        <f t="shared" si="8"/>
        <v>1118.6046667700409</v>
      </c>
      <c r="P38" s="149">
        <f t="shared" si="8"/>
        <v>1129.9325941064287</v>
      </c>
      <c r="Q38" s="149">
        <f t="shared" si="8"/>
        <v>1141.2605214428168</v>
      </c>
      <c r="R38" s="149">
        <f t="shared" si="8"/>
        <v>1152.5884487792046</v>
      </c>
      <c r="S38" s="149">
        <f t="shared" si="8"/>
        <v>1159.172230590561</v>
      </c>
      <c r="T38" s="149">
        <f t="shared" si="8"/>
        <v>1165.7560124019174</v>
      </c>
      <c r="U38" s="149">
        <f t="shared" si="8"/>
        <v>1172.3397942132738</v>
      </c>
      <c r="V38" s="149">
        <f t="shared" si="8"/>
        <v>1178.9235760246302</v>
      </c>
      <c r="W38" s="149">
        <f t="shared" si="8"/>
        <v>1213.4941189581434</v>
      </c>
      <c r="X38" s="149">
        <f t="shared" si="8"/>
        <v>1248.0646618916555</v>
      </c>
      <c r="Y38" s="149">
        <f t="shared" si="8"/>
        <v>1282.6352048251679</v>
      </c>
      <c r="Z38" s="149">
        <f t="shared" si="8"/>
        <v>1317.2057477586802</v>
      </c>
      <c r="AA38" s="149">
        <f t="shared" si="8"/>
        <v>1340.5095139126324</v>
      </c>
      <c r="AB38" s="95"/>
    </row>
    <row r="39" spans="1:28" x14ac:dyDescent="0.2">
      <c r="B39" t="s">
        <v>178</v>
      </c>
      <c r="D39" s="102">
        <f>D15</f>
        <v>804.7</v>
      </c>
      <c r="E39" s="102">
        <f t="shared" ref="E39:AA39" si="9">E15</f>
        <v>824.1</v>
      </c>
      <c r="F39" s="102">
        <f t="shared" si="9"/>
        <v>842.7</v>
      </c>
      <c r="G39" s="149">
        <f t="shared" si="9"/>
        <v>829.91020137042551</v>
      </c>
      <c r="H39" s="102">
        <f t="shared" si="9"/>
        <v>817.12040274085098</v>
      </c>
      <c r="I39" s="102">
        <f t="shared" si="9"/>
        <v>804.33060411127656</v>
      </c>
      <c r="J39" s="102">
        <f t="shared" si="9"/>
        <v>791.54080548170202</v>
      </c>
      <c r="K39" s="149">
        <f t="shared" si="9"/>
        <v>831.50700168084188</v>
      </c>
      <c r="L39" s="102">
        <f t="shared" si="9"/>
        <v>871.47319787998163</v>
      </c>
      <c r="M39" s="102">
        <f t="shared" si="9"/>
        <v>911.43939407912126</v>
      </c>
      <c r="N39" s="102">
        <f t="shared" si="9"/>
        <v>951.405590278261</v>
      </c>
      <c r="O39" s="149">
        <f t="shared" si="9"/>
        <v>961.1388873035537</v>
      </c>
      <c r="P39" s="102">
        <f t="shared" si="9"/>
        <v>970.8721843288464</v>
      </c>
      <c r="Q39" s="102">
        <f t="shared" si="9"/>
        <v>980.6054813541391</v>
      </c>
      <c r="R39" s="102">
        <f t="shared" si="9"/>
        <v>990.3387783794318</v>
      </c>
      <c r="S39" s="149">
        <f t="shared" si="9"/>
        <v>995.99576239925386</v>
      </c>
      <c r="T39" s="102">
        <f t="shared" si="9"/>
        <v>1001.652746419076</v>
      </c>
      <c r="U39" s="102">
        <f t="shared" si="9"/>
        <v>1007.309730438898</v>
      </c>
      <c r="V39" s="102">
        <f t="shared" si="9"/>
        <v>1012.96671445872</v>
      </c>
      <c r="W39" s="149">
        <f t="shared" si="9"/>
        <v>1042.6707682282611</v>
      </c>
      <c r="X39" s="102">
        <f t="shared" si="9"/>
        <v>1072.3748219978011</v>
      </c>
      <c r="Y39" s="102">
        <f t="shared" si="9"/>
        <v>1102.0788757673411</v>
      </c>
      <c r="Z39" s="102">
        <f t="shared" si="9"/>
        <v>1131.7829295368811</v>
      </c>
      <c r="AA39" s="149">
        <f t="shared" si="9"/>
        <v>1151.8062286849761</v>
      </c>
      <c r="AB39" s="95"/>
    </row>
    <row r="40" spans="1:28" s="171" customFormat="1" ht="12" x14ac:dyDescent="0.15">
      <c r="B40" s="213" t="s">
        <v>280</v>
      </c>
      <c r="D40" s="237"/>
      <c r="E40" s="252"/>
      <c r="F40" s="252"/>
      <c r="G40" s="238"/>
      <c r="H40" s="252"/>
      <c r="I40" s="252"/>
      <c r="J40" s="252"/>
      <c r="K40" s="256">
        <f t="shared" ref="K40:AA40" si="10">(K39/J39)-1</f>
        <v>5.0491643541760167E-2</v>
      </c>
      <c r="L40" s="239">
        <f t="shared" si="10"/>
        <v>4.8064774100940122E-2</v>
      </c>
      <c r="M40" s="239">
        <f t="shared" si="10"/>
        <v>4.5860499549917E-2</v>
      </c>
      <c r="N40" s="239">
        <f t="shared" si="10"/>
        <v>4.3849537839561803E-2</v>
      </c>
      <c r="O40" s="256">
        <f t="shared" si="10"/>
        <v>1.0230439178359196E-2</v>
      </c>
      <c r="P40" s="239">
        <f t="shared" si="10"/>
        <v>1.0126837186454019E-2</v>
      </c>
      <c r="Q40" s="239">
        <f t="shared" si="10"/>
        <v>1.002531247923355E-2</v>
      </c>
      <c r="R40" s="239">
        <f t="shared" si="10"/>
        <v>9.925803200540706E-3</v>
      </c>
      <c r="S40" s="256">
        <f t="shared" si="10"/>
        <v>5.7121705655907018E-3</v>
      </c>
      <c r="T40" s="239">
        <f t="shared" si="10"/>
        <v>5.6797269962223229E-3</v>
      </c>
      <c r="U40" s="239">
        <f t="shared" si="10"/>
        <v>5.6476498866955271E-3</v>
      </c>
      <c r="V40" s="239">
        <f t="shared" si="10"/>
        <v>5.6159330629688142E-3</v>
      </c>
      <c r="W40" s="256">
        <f t="shared" si="10"/>
        <v>2.9323820166601733E-2</v>
      </c>
      <c r="X40" s="239">
        <f t="shared" si="10"/>
        <v>2.8488430552257693E-2</v>
      </c>
      <c r="Y40" s="239">
        <f t="shared" si="10"/>
        <v>2.7699320387066129E-2</v>
      </c>
      <c r="Z40" s="239">
        <f t="shared" si="10"/>
        <v>2.6952747596090232E-2</v>
      </c>
      <c r="AA40" s="256">
        <f t="shared" si="10"/>
        <v>1.7691819363531591E-2</v>
      </c>
      <c r="AB40" s="253"/>
    </row>
    <row r="41" spans="1:28" s="97" customFormat="1" x14ac:dyDescent="0.2">
      <c r="B41" s="99" t="s">
        <v>179</v>
      </c>
      <c r="D41" s="103"/>
      <c r="E41" s="225"/>
      <c r="F41" s="225">
        <f t="shared" ref="F41:AA41" si="11">F38-F39</f>
        <v>3.2999999999901775E-2</v>
      </c>
      <c r="G41" s="150">
        <f t="shared" si="11"/>
        <v>23.142985628403267</v>
      </c>
      <c r="H41" s="225">
        <f t="shared" si="11"/>
        <v>58.379353230327069</v>
      </c>
      <c r="I41" s="225">
        <f t="shared" si="11"/>
        <v>93.890603611585107</v>
      </c>
      <c r="J41" s="249">
        <f t="shared" si="11"/>
        <v>129.68010301235745</v>
      </c>
      <c r="K41" s="150">
        <f t="shared" si="11"/>
        <v>136.22786454811614</v>
      </c>
      <c r="L41" s="225">
        <f t="shared" si="11"/>
        <v>142.77562608387473</v>
      </c>
      <c r="M41" s="225">
        <f t="shared" si="11"/>
        <v>149.32338761963342</v>
      </c>
      <c r="N41" s="225">
        <f t="shared" si="11"/>
        <v>155.87114915539212</v>
      </c>
      <c r="O41" s="150">
        <f t="shared" si="11"/>
        <v>157.46577946648722</v>
      </c>
      <c r="P41" s="225">
        <f t="shared" si="11"/>
        <v>159.06040977758232</v>
      </c>
      <c r="Q41" s="225">
        <f t="shared" si="11"/>
        <v>160.65504008867765</v>
      </c>
      <c r="R41" s="225">
        <f t="shared" si="11"/>
        <v>162.24967039977275</v>
      </c>
      <c r="S41" s="150">
        <f t="shared" si="11"/>
        <v>163.17646819130709</v>
      </c>
      <c r="T41" s="225">
        <f t="shared" si="11"/>
        <v>164.10326598284132</v>
      </c>
      <c r="U41" s="225">
        <f t="shared" si="11"/>
        <v>165.03006377437578</v>
      </c>
      <c r="V41" s="225">
        <f t="shared" si="11"/>
        <v>165.95686156591012</v>
      </c>
      <c r="W41" s="150">
        <f t="shared" si="11"/>
        <v>170.82335072988235</v>
      </c>
      <c r="X41" s="225">
        <f t="shared" si="11"/>
        <v>175.68983989385447</v>
      </c>
      <c r="Y41" s="225">
        <f t="shared" si="11"/>
        <v>180.55632905782682</v>
      </c>
      <c r="Z41" s="225">
        <f t="shared" si="11"/>
        <v>185.42281822179916</v>
      </c>
      <c r="AA41" s="150">
        <f t="shared" si="11"/>
        <v>188.70328522765635</v>
      </c>
      <c r="AB41" s="254"/>
    </row>
    <row r="42" spans="1:28" x14ac:dyDescent="0.2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x14ac:dyDescent="0.2"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ht="19" x14ac:dyDescent="0.25">
      <c r="A44" s="105" t="s">
        <v>190</v>
      </c>
      <c r="B44" s="105"/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ht="16" x14ac:dyDescent="0.2">
      <c r="B45" s="86" t="s">
        <v>190</v>
      </c>
      <c r="D45" s="102">
        <f>main_nipas!I3/1000</f>
        <v>2422.5459999999998</v>
      </c>
      <c r="E45" s="102">
        <f>main_nipas!J3/1000</f>
        <v>4815.2539999999999</v>
      </c>
      <c r="F45" s="102">
        <f>main_nipas!K3/1000</f>
        <v>3494.8879999999999</v>
      </c>
      <c r="G45" s="149">
        <f>main_nipas!L3/1000</f>
        <v>2855.1306794988291</v>
      </c>
      <c r="H45" s="102">
        <f>main_nipas!M3/1000</f>
        <v>3244.3476672774282</v>
      </c>
      <c r="I45" s="102">
        <f>main_nipas!N3/1000</f>
        <v>2682.7327596943151</v>
      </c>
      <c r="J45" s="102">
        <f>main_nipas!O3/1000</f>
        <v>2585.4886238257272</v>
      </c>
      <c r="K45" s="274">
        <f>main_nipas!P3/1000</f>
        <v>2651.9161476522054</v>
      </c>
      <c r="L45" s="104">
        <f>K45*(1+L47)</f>
        <v>2678.7676523688633</v>
      </c>
      <c r="M45" s="104">
        <f t="shared" ref="M45:AA45" si="12">L45*(1+M47)</f>
        <v>2677.9504893689368</v>
      </c>
      <c r="N45" s="104">
        <f t="shared" si="12"/>
        <v>2638.8210968652602</v>
      </c>
      <c r="O45" s="104">
        <f t="shared" si="12"/>
        <v>2641.7835781343911</v>
      </c>
      <c r="P45" s="104">
        <f t="shared" si="12"/>
        <v>2646.3454669005164</v>
      </c>
      <c r="Q45" s="104">
        <f t="shared" si="12"/>
        <v>2652.0011890581568</v>
      </c>
      <c r="R45" s="104">
        <f t="shared" si="12"/>
        <v>2660.7909658575213</v>
      </c>
      <c r="S45" s="104">
        <f t="shared" si="12"/>
        <v>2687.6862156136722</v>
      </c>
      <c r="T45" s="104">
        <f t="shared" si="12"/>
        <v>2713.5292734886671</v>
      </c>
      <c r="U45" s="104">
        <f t="shared" si="12"/>
        <v>2734.4663678309867</v>
      </c>
      <c r="V45" s="104">
        <f t="shared" si="12"/>
        <v>2752.3962570079857</v>
      </c>
      <c r="W45" s="104">
        <f t="shared" si="12"/>
        <v>2815.9208927009422</v>
      </c>
      <c r="X45" s="104">
        <f t="shared" si="12"/>
        <v>2869.5470194281525</v>
      </c>
      <c r="Y45" s="104">
        <f t="shared" si="12"/>
        <v>2914.4044023320184</v>
      </c>
      <c r="Z45" s="104">
        <f t="shared" si="12"/>
        <v>2949.5493977539186</v>
      </c>
      <c r="AA45" s="104">
        <f t="shared" si="12"/>
        <v>2968.4835783421649</v>
      </c>
      <c r="AB45" s="95"/>
    </row>
    <row r="46" spans="1:28" x14ac:dyDescent="0.2">
      <c r="B46" t="s">
        <v>178</v>
      </c>
      <c r="D46" s="102">
        <f>D16</f>
        <v>1617.8</v>
      </c>
      <c r="E46" s="102">
        <f t="shared" ref="E46:AA46" si="13">E16</f>
        <v>3991.2</v>
      </c>
      <c r="F46" s="102">
        <f t="shared" si="13"/>
        <v>2671.1</v>
      </c>
      <c r="G46" s="149">
        <f t="shared" si="13"/>
        <v>2333.9915869000388</v>
      </c>
      <c r="H46" s="102">
        <f t="shared" si="13"/>
        <v>2068.5630978317022</v>
      </c>
      <c r="I46" s="102">
        <f t="shared" si="13"/>
        <v>1854.7401002166671</v>
      </c>
      <c r="J46" s="102">
        <f t="shared" si="13"/>
        <v>1705.479653085818</v>
      </c>
      <c r="K46" s="274">
        <f t="shared" si="13"/>
        <v>1751.959108413354</v>
      </c>
      <c r="L46" s="102">
        <f t="shared" si="13"/>
        <v>1769.6982583878359</v>
      </c>
      <c r="M46" s="102">
        <f t="shared" si="13"/>
        <v>1769.1584086787691</v>
      </c>
      <c r="N46" s="102">
        <f t="shared" si="13"/>
        <v>1743.308007766135</v>
      </c>
      <c r="O46" s="149">
        <f t="shared" si="13"/>
        <v>1745.2651382913789</v>
      </c>
      <c r="P46" s="102">
        <f t="shared" si="13"/>
        <v>1748.278899711572</v>
      </c>
      <c r="Q46" s="102">
        <f t="shared" si="13"/>
        <v>1752.0152900787809</v>
      </c>
      <c r="R46" s="102">
        <f t="shared" si="13"/>
        <v>1757.822159024543</v>
      </c>
      <c r="S46" s="149">
        <f t="shared" si="13"/>
        <v>1775.5902086761339</v>
      </c>
      <c r="T46" s="102">
        <f t="shared" si="13"/>
        <v>1792.663139384533</v>
      </c>
      <c r="U46" s="102">
        <f t="shared" si="13"/>
        <v>1806.4949994790579</v>
      </c>
      <c r="V46" s="102">
        <f t="shared" si="13"/>
        <v>1818.3401827003661</v>
      </c>
      <c r="W46" s="149">
        <f t="shared" si="13"/>
        <v>1860.3070315426439</v>
      </c>
      <c r="X46" s="102">
        <f t="shared" si="13"/>
        <v>1895.734539781108</v>
      </c>
      <c r="Y46" s="102">
        <f t="shared" si="13"/>
        <v>1925.3690742770759</v>
      </c>
      <c r="Z46" s="102">
        <f t="shared" si="13"/>
        <v>1948.5872272714889</v>
      </c>
      <c r="AA46" s="149">
        <f t="shared" si="13"/>
        <v>1961.095884519679</v>
      </c>
      <c r="AB46" s="95"/>
    </row>
    <row r="47" spans="1:28" s="171" customFormat="1" ht="12" x14ac:dyDescent="0.15">
      <c r="B47" s="213" t="s">
        <v>280</v>
      </c>
      <c r="D47" s="237"/>
      <c r="E47" s="252"/>
      <c r="F47" s="252"/>
      <c r="G47" s="238"/>
      <c r="H47" s="252"/>
      <c r="I47" s="252"/>
      <c r="J47" s="252"/>
      <c r="K47" s="256"/>
      <c r="L47" s="239">
        <f t="shared" ref="L47" si="14">(L46/K46)-1</f>
        <v>1.0125321926347519E-2</v>
      </c>
      <c r="M47" s="239">
        <f t="shared" ref="M47" si="15">(M46/L46)-1</f>
        <v>-3.0505183949192105E-4</v>
      </c>
      <c r="N47" s="239">
        <f t="shared" ref="N47" si="16">(N46/M46)-1</f>
        <v>-1.461169377813909E-2</v>
      </c>
      <c r="O47" s="256">
        <f t="shared" ref="O47" si="17">(O46/N46)-1</f>
        <v>1.1226533214585555E-3</v>
      </c>
      <c r="P47" s="239">
        <f t="shared" ref="P47" si="18">(P46/O46)-1</f>
        <v>1.7268215321963876E-3</v>
      </c>
      <c r="Q47" s="239">
        <f t="shared" ref="Q47" si="19">(Q46/P46)-1</f>
        <v>2.1371820982483136E-3</v>
      </c>
      <c r="R47" s="239">
        <f t="shared" ref="R47" si="20">(R46/Q46)-1</f>
        <v>3.3143939888224949E-3</v>
      </c>
      <c r="S47" s="256">
        <f t="shared" ref="S47" si="21">(S46/R46)-1</f>
        <v>1.0107990481500684E-2</v>
      </c>
      <c r="T47" s="239">
        <f t="shared" ref="T47" si="22">(T46/S46)-1</f>
        <v>9.6153552914264306E-3</v>
      </c>
      <c r="U47" s="239">
        <f t="shared" ref="U47" si="23">(U46/T46)-1</f>
        <v>7.7158166476685164E-3</v>
      </c>
      <c r="V47" s="239">
        <f t="shared" ref="V47" si="24">(V46/U46)-1</f>
        <v>6.5569975143711101E-3</v>
      </c>
      <c r="W47" s="256">
        <f t="shared" ref="W47" si="25">(W46/V46)-1</f>
        <v>2.3079756605254076E-2</v>
      </c>
      <c r="X47" s="239">
        <f t="shared" ref="X47" si="26">(X46/W46)-1</f>
        <v>1.904390384907928E-2</v>
      </c>
      <c r="Y47" s="239">
        <f t="shared" ref="Y47" si="27">(Y46/X46)-1</f>
        <v>1.5632217419739414E-2</v>
      </c>
      <c r="Z47" s="239">
        <f t="shared" ref="Z47" si="28">(Z46/Y46)-1</f>
        <v>1.2059066131583585E-2</v>
      </c>
      <c r="AA47" s="256">
        <f t="shared" ref="AA47" si="29">(AA46/Z46)-1</f>
        <v>6.4193468340163484E-3</v>
      </c>
      <c r="AB47" s="253"/>
    </row>
    <row r="48" spans="1:28" s="97" customFormat="1" x14ac:dyDescent="0.2">
      <c r="B48" s="99" t="s">
        <v>179</v>
      </c>
      <c r="D48" s="103"/>
      <c r="E48" s="225"/>
      <c r="F48" s="225">
        <f t="shared" ref="F48:AA48" si="30">F45-F46</f>
        <v>823.78800000000001</v>
      </c>
      <c r="G48" s="150">
        <f t="shared" si="30"/>
        <v>521.13909259879028</v>
      </c>
      <c r="H48" s="225">
        <f t="shared" si="30"/>
        <v>1175.784569445726</v>
      </c>
      <c r="I48" s="225">
        <f t="shared" si="30"/>
        <v>827.99265947764798</v>
      </c>
      <c r="J48" s="225">
        <f t="shared" si="30"/>
        <v>880.00897073990927</v>
      </c>
      <c r="K48" s="275">
        <f t="shared" si="30"/>
        <v>899.95703923885139</v>
      </c>
      <c r="L48" s="225">
        <f t="shared" si="30"/>
        <v>909.06939398102736</v>
      </c>
      <c r="M48" s="225">
        <f t="shared" si="30"/>
        <v>908.79208069016772</v>
      </c>
      <c r="N48" s="225">
        <f t="shared" si="30"/>
        <v>895.51308909912518</v>
      </c>
      <c r="O48" s="150">
        <f t="shared" si="30"/>
        <v>896.51843984301217</v>
      </c>
      <c r="P48" s="225">
        <f t="shared" si="30"/>
        <v>898.06656718894442</v>
      </c>
      <c r="Q48" s="225">
        <f t="shared" si="30"/>
        <v>899.98589897937586</v>
      </c>
      <c r="R48" s="225">
        <f t="shared" si="30"/>
        <v>902.96880683297832</v>
      </c>
      <c r="S48" s="150">
        <f t="shared" si="30"/>
        <v>912.09600693753828</v>
      </c>
      <c r="T48" s="225">
        <f t="shared" si="30"/>
        <v>920.86613410413406</v>
      </c>
      <c r="U48" s="225">
        <f t="shared" si="30"/>
        <v>927.97136835192873</v>
      </c>
      <c r="V48" s="225">
        <f t="shared" si="30"/>
        <v>934.05607430761961</v>
      </c>
      <c r="W48" s="150">
        <f t="shared" si="30"/>
        <v>955.61386115829828</v>
      </c>
      <c r="X48" s="225">
        <f t="shared" si="30"/>
        <v>973.81247964704448</v>
      </c>
      <c r="Y48" s="225">
        <f t="shared" si="30"/>
        <v>989.03532805494251</v>
      </c>
      <c r="Z48" s="225">
        <f t="shared" si="30"/>
        <v>1000.9621704824297</v>
      </c>
      <c r="AA48" s="150">
        <f t="shared" si="30"/>
        <v>1007.387693822486</v>
      </c>
      <c r="AB48" s="254"/>
    </row>
    <row r="49" spans="2:28" s="97" customFormat="1" x14ac:dyDescent="0.2">
      <c r="B49" s="99"/>
      <c r="D49" s="103"/>
      <c r="E49" s="225"/>
      <c r="F49" s="225"/>
      <c r="G49" s="150"/>
      <c r="H49" s="225"/>
      <c r="I49" s="225"/>
      <c r="J49" s="225"/>
      <c r="K49" s="150"/>
      <c r="L49" s="225"/>
      <c r="M49" s="225"/>
      <c r="N49" s="225"/>
      <c r="O49" s="183"/>
      <c r="P49" s="254"/>
      <c r="Q49" s="254"/>
      <c r="R49" s="254"/>
      <c r="S49" s="183"/>
      <c r="T49" s="254"/>
      <c r="U49" s="254"/>
      <c r="V49" s="254"/>
      <c r="W49" s="183"/>
      <c r="X49" s="254"/>
      <c r="Y49" s="254"/>
      <c r="Z49" s="254"/>
      <c r="AA49" s="183"/>
      <c r="AB49" s="254"/>
    </row>
    <row r="50" spans="2:28" s="97" customFormat="1" x14ac:dyDescent="0.2">
      <c r="B50" s="99"/>
      <c r="D50" s="103"/>
      <c r="E50" s="225"/>
      <c r="F50" s="225"/>
      <c r="G50" s="150"/>
      <c r="H50" s="225"/>
      <c r="I50" s="225"/>
      <c r="J50" s="225"/>
      <c r="K50" s="150"/>
      <c r="L50" s="225"/>
      <c r="M50" s="225"/>
      <c r="N50" s="225"/>
      <c r="O50" s="183"/>
      <c r="P50" s="254"/>
      <c r="Q50" s="254"/>
      <c r="R50" s="254"/>
      <c r="S50" s="183"/>
      <c r="T50" s="254"/>
      <c r="U50" s="254"/>
      <c r="V50" s="254"/>
      <c r="W50" s="183"/>
      <c r="X50" s="254"/>
      <c r="Y50" s="254"/>
      <c r="Z50" s="254"/>
      <c r="AA50" s="183"/>
      <c r="AB50" s="254"/>
    </row>
  </sheetData>
  <mergeCells count="10">
    <mergeCell ref="A1:B1"/>
    <mergeCell ref="J1:J3"/>
    <mergeCell ref="V1:Y1"/>
    <mergeCell ref="A2:A5"/>
    <mergeCell ref="C7:F7"/>
    <mergeCell ref="G7:J7"/>
    <mergeCell ref="K7:N7"/>
    <mergeCell ref="O7:R7"/>
    <mergeCell ref="S7:V7"/>
    <mergeCell ref="W7:Z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FBF1-BB27-2541-88CA-5AE1F2ACBE56}">
  <dimension ref="A1:I23"/>
  <sheetViews>
    <sheetView workbookViewId="0">
      <selection activeCell="J11" sqref="J11"/>
    </sheetView>
  </sheetViews>
  <sheetFormatPr baseColWidth="10" defaultColWidth="10.83203125" defaultRowHeight="15" x14ac:dyDescent="0.2"/>
  <cols>
    <col min="1" max="1" width="10.5" bestFit="1" customWidth="1"/>
    <col min="2" max="2" width="23.1640625" bestFit="1" customWidth="1"/>
    <col min="3" max="3" width="23.5" bestFit="1" customWidth="1"/>
    <col min="4" max="4" width="23" bestFit="1" customWidth="1"/>
    <col min="5" max="5" width="24.33203125" bestFit="1" customWidth="1"/>
    <col min="6" max="6" width="25.1640625" bestFit="1" customWidth="1"/>
    <col min="7" max="7" width="25.5" bestFit="1" customWidth="1"/>
    <col min="8" max="8" width="20.5" bestFit="1" customWidth="1"/>
    <col min="9" max="9" width="18.33203125" customWidth="1"/>
  </cols>
  <sheetData>
    <row r="1" spans="1:9" x14ac:dyDescent="0.2">
      <c r="A1" s="270" t="s">
        <v>257</v>
      </c>
      <c r="B1" s="270" t="s">
        <v>250</v>
      </c>
      <c r="C1" s="270" t="s">
        <v>251</v>
      </c>
      <c r="D1" s="270" t="s">
        <v>252</v>
      </c>
      <c r="E1" s="270" t="s">
        <v>253</v>
      </c>
      <c r="F1" s="270" t="s">
        <v>254</v>
      </c>
      <c r="G1" s="270" t="s">
        <v>255</v>
      </c>
      <c r="H1" s="270" t="s">
        <v>256</v>
      </c>
      <c r="I1" s="270" t="s">
        <v>289</v>
      </c>
    </row>
    <row r="2" spans="1:9" x14ac:dyDescent="0.2">
      <c r="A2" s="271">
        <v>44104</v>
      </c>
      <c r="B2" s="272">
        <f t="array" ref="B2:B23">TRANSPOSE('add-ons calculations nipas'!F27:AA27)</f>
        <v>-15.297000000000025</v>
      </c>
      <c r="C2" s="270">
        <f t="array" ref="C2:C23">TRANSPOSE('add-ons calculations nipas'!F34:AA34)</f>
        <v>683.88</v>
      </c>
      <c r="D2" s="270">
        <f t="array" ref="D2:D23">TRANSPOSE('add-ons calculations'!F40:AA40)</f>
        <v>4.8999999999978172E-2</v>
      </c>
      <c r="E2" s="270">
        <f t="array" ref="E2:E23">TRANSPOSE('add-ons calculations'!F46:AA46)</f>
        <v>0</v>
      </c>
      <c r="F2" s="270">
        <f t="array" ref="F2:F23">TRANSPOSE('add-ons calculations nipas'!F41:AA41)</f>
        <v>3.2999999999901775E-2</v>
      </c>
      <c r="G2" s="270">
        <f t="array" ref="G2:G23">TRANSPOSE('add-ons calculations nipas'!F48:AA48)</f>
        <v>823.78800000000001</v>
      </c>
      <c r="H2" s="270">
        <f t="array" ref="H2:H23">TRANSPOSE('add-ons calculations'!F67:AA67)</f>
        <v>0.57999999999992724</v>
      </c>
      <c r="I2" s="270">
        <f t="array" ref="I2:I23">TRANSPOSE('add-ons calculations'!F74:AA74)</f>
        <v>44.85238194444446</v>
      </c>
    </row>
    <row r="3" spans="1:9" x14ac:dyDescent="0.2">
      <c r="A3" s="271">
        <v>44196</v>
      </c>
      <c r="B3" s="270">
        <v>-29.642475517646631</v>
      </c>
      <c r="C3" s="270">
        <v>718.96612748239181</v>
      </c>
      <c r="D3" s="270">
        <v>4.9990862646382084E-2</v>
      </c>
      <c r="E3" s="270">
        <v>0</v>
      </c>
      <c r="F3" s="270">
        <v>23.142985628403267</v>
      </c>
      <c r="G3" s="270">
        <v>521.13909259879028</v>
      </c>
      <c r="H3" s="270">
        <v>-833.94013103694624</v>
      </c>
      <c r="I3" s="270">
        <v>69.293656609261546</v>
      </c>
    </row>
    <row r="4" spans="1:9" x14ac:dyDescent="0.2">
      <c r="A4" s="271">
        <v>44286</v>
      </c>
      <c r="B4" s="270">
        <v>-43.765601471299647</v>
      </c>
      <c r="C4" s="270">
        <v>756.43646274752768</v>
      </c>
      <c r="D4" s="270">
        <v>5.0819956777559128E-2</v>
      </c>
      <c r="E4" s="270">
        <v>0</v>
      </c>
      <c r="F4" s="270">
        <v>58.379353230327069</v>
      </c>
      <c r="G4" s="270">
        <v>1175.784569445726</v>
      </c>
      <c r="H4" s="270">
        <v>-426.91177522010059</v>
      </c>
      <c r="I4" s="270">
        <v>127.66634709591</v>
      </c>
    </row>
    <row r="5" spans="1:9" x14ac:dyDescent="0.2">
      <c r="A5" s="271">
        <v>44377</v>
      </c>
      <c r="B5" s="270">
        <v>-63.369858256487646</v>
      </c>
      <c r="C5" s="270">
        <v>788.42127504542532</v>
      </c>
      <c r="D5" s="270">
        <v>5.1628067362116781E-2</v>
      </c>
      <c r="E5" s="270">
        <v>0</v>
      </c>
      <c r="F5" s="270">
        <v>93.890603611585107</v>
      </c>
      <c r="G5" s="270">
        <v>827.99265947764798</v>
      </c>
      <c r="H5" s="270">
        <v>-431.32456398056468</v>
      </c>
      <c r="I5" s="270">
        <v>115.71788019966229</v>
      </c>
    </row>
    <row r="6" spans="1:9" x14ac:dyDescent="0.2">
      <c r="A6" s="271">
        <v>44469</v>
      </c>
      <c r="B6" s="270">
        <v>-90.045016006506785</v>
      </c>
      <c r="C6" s="270">
        <v>811.56513372945358</v>
      </c>
      <c r="D6" s="270">
        <v>5.2491808747618052E-2</v>
      </c>
      <c r="E6" s="270">
        <v>0</v>
      </c>
      <c r="F6" s="270">
        <v>129.68010301235745</v>
      </c>
      <c r="G6" s="270">
        <v>880.00897073990927</v>
      </c>
      <c r="H6" s="270">
        <v>-1086.0898722425786</v>
      </c>
      <c r="I6" s="270">
        <v>131.34120345955321</v>
      </c>
    </row>
    <row r="7" spans="1:9" x14ac:dyDescent="0.2">
      <c r="A7" s="271">
        <v>44561</v>
      </c>
      <c r="B7" s="270">
        <v>-82.025340150088255</v>
      </c>
      <c r="C7" s="270">
        <v>798.22202453105353</v>
      </c>
      <c r="D7" s="270">
        <v>5.3070320278948202E-2</v>
      </c>
      <c r="E7" s="270">
        <v>0</v>
      </c>
      <c r="F7" s="270">
        <v>136.22786454811614</v>
      </c>
      <c r="G7" s="270">
        <v>899.95703923885139</v>
      </c>
      <c r="H7" s="270">
        <v>-1112.559918312772</v>
      </c>
      <c r="I7" s="270">
        <v>115.54367465655329</v>
      </c>
    </row>
    <row r="8" spans="1:9" x14ac:dyDescent="0.2">
      <c r="A8" s="271">
        <v>44651</v>
      </c>
      <c r="B8" s="270">
        <v>-74.005664293669838</v>
      </c>
      <c r="C8" s="270">
        <v>783.05120321857328</v>
      </c>
      <c r="D8" s="270">
        <v>0</v>
      </c>
      <c r="E8" s="270">
        <v>0</v>
      </c>
      <c r="F8" s="270">
        <v>142.77562608387473</v>
      </c>
      <c r="G8" s="270">
        <v>909.06939398102736</v>
      </c>
      <c r="H8" s="270">
        <v>-1163.3117757737041</v>
      </c>
      <c r="I8" s="270">
        <v>99.159465844497163</v>
      </c>
    </row>
    <row r="9" spans="1:9" x14ac:dyDescent="0.2">
      <c r="A9" s="271">
        <v>44742</v>
      </c>
      <c r="B9" s="270">
        <v>-65.985988437251422</v>
      </c>
      <c r="C9" s="270">
        <v>952.13354927113153</v>
      </c>
      <c r="D9" s="270">
        <v>0</v>
      </c>
      <c r="E9" s="270">
        <v>0</v>
      </c>
      <c r="F9" s="270">
        <v>149.32338761963342</v>
      </c>
      <c r="G9" s="270">
        <v>908.79208069016772</v>
      </c>
      <c r="H9" s="270">
        <v>-1168.3939307885266</v>
      </c>
      <c r="I9" s="270">
        <v>88.714788339062352</v>
      </c>
    </row>
    <row r="10" spans="1:9" x14ac:dyDescent="0.2">
      <c r="A10" s="271">
        <v>44834</v>
      </c>
      <c r="B10" s="270">
        <v>-65.308969409592919</v>
      </c>
      <c r="C10" s="270">
        <v>1112.3093404317283</v>
      </c>
      <c r="D10" s="270">
        <v>0</v>
      </c>
      <c r="E10" s="270">
        <v>0</v>
      </c>
      <c r="F10" s="270">
        <v>155.87114915539212</v>
      </c>
      <c r="G10" s="270">
        <v>895.51308909912518</v>
      </c>
      <c r="H10" s="270">
        <v>-1173.5410146130612</v>
      </c>
      <c r="I10" s="270">
        <v>77.730357216756403</v>
      </c>
    </row>
    <row r="11" spans="1:9" x14ac:dyDescent="0.2">
      <c r="A11" s="271">
        <v>44926</v>
      </c>
      <c r="B11" s="270">
        <v>-64.638594958081057</v>
      </c>
      <c r="C11" s="270">
        <v>1262.0912202197103</v>
      </c>
      <c r="D11" s="270">
        <v>0</v>
      </c>
      <c r="E11" s="270">
        <v>0</v>
      </c>
      <c r="F11" s="270">
        <v>157.46577946648722</v>
      </c>
      <c r="G11" s="270">
        <v>896.51843984301217</v>
      </c>
      <c r="H11" s="270">
        <v>-1178.7530272473091</v>
      </c>
      <c r="I11" s="270">
        <v>67.23297832179702</v>
      </c>
    </row>
    <row r="12" spans="1:9" x14ac:dyDescent="0.2">
      <c r="A12" s="271">
        <v>45016</v>
      </c>
      <c r="B12" s="270">
        <v>-63.968220506569196</v>
      </c>
      <c r="C12" s="270">
        <v>1409.379264637942</v>
      </c>
      <c r="D12" s="270">
        <v>0</v>
      </c>
      <c r="E12" s="270">
        <v>0</v>
      </c>
      <c r="F12" s="270">
        <v>159.06040977758232</v>
      </c>
      <c r="G12" s="270">
        <v>898.06656718894442</v>
      </c>
      <c r="H12" s="270">
        <v>-1184.0417739294007</v>
      </c>
      <c r="I12" s="270">
        <v>56.184960332640401</v>
      </c>
    </row>
    <row r="13" spans="1:9" x14ac:dyDescent="0.2">
      <c r="A13" s="271">
        <v>45107</v>
      </c>
      <c r="B13" s="270">
        <v>-63.297846055057335</v>
      </c>
      <c r="C13" s="270">
        <v>1564.5050773611024</v>
      </c>
      <c r="D13" s="270">
        <v>0</v>
      </c>
      <c r="E13" s="270">
        <v>0</v>
      </c>
      <c r="F13" s="270">
        <v>160.65504008867765</v>
      </c>
      <c r="G13" s="270">
        <v>899.98589897937586</v>
      </c>
      <c r="H13" s="270">
        <v>-1189.3541310877511</v>
      </c>
      <c r="I13" s="270">
        <v>60.681221313274534</v>
      </c>
    </row>
    <row r="14" spans="1:9" x14ac:dyDescent="0.2">
      <c r="A14" s="271">
        <v>45199</v>
      </c>
      <c r="B14" s="270">
        <v>-62.627471603545473</v>
      </c>
      <c r="C14" s="270">
        <v>1718.9183656929056</v>
      </c>
      <c r="D14" s="270">
        <v>0</v>
      </c>
      <c r="E14" s="270">
        <v>0</v>
      </c>
      <c r="F14" s="270">
        <v>162.24967039977275</v>
      </c>
      <c r="G14" s="270">
        <v>902.96880683297832</v>
      </c>
      <c r="H14" s="270">
        <v>-1194.7432222939442</v>
      </c>
      <c r="I14" s="270">
        <v>47.547539065059539</v>
      </c>
    </row>
    <row r="15" spans="1:9" x14ac:dyDescent="0.2">
      <c r="A15" s="271">
        <v>45291</v>
      </c>
      <c r="B15" s="270">
        <v>-63.333188871989364</v>
      </c>
      <c r="C15" s="270">
        <v>1713.5764527231584</v>
      </c>
      <c r="D15" s="270">
        <v>0</v>
      </c>
      <c r="E15" s="270">
        <v>0</v>
      </c>
      <c r="F15" s="270">
        <v>163.17646819130709</v>
      </c>
      <c r="G15" s="270">
        <v>912.09600693753828</v>
      </c>
      <c r="H15" s="270">
        <v>-1200.2090475479797</v>
      </c>
      <c r="I15" s="270">
        <v>45.661372118098029</v>
      </c>
    </row>
    <row r="16" spans="1:9" x14ac:dyDescent="0.2">
      <c r="A16" s="271">
        <v>45382</v>
      </c>
      <c r="B16" s="270">
        <v>-64.038906140433255</v>
      </c>
      <c r="C16" s="270">
        <v>1712.5096861015568</v>
      </c>
      <c r="D16" s="270">
        <v>0</v>
      </c>
      <c r="E16" s="270">
        <v>0</v>
      </c>
      <c r="F16" s="270">
        <v>164.10326598284132</v>
      </c>
      <c r="G16" s="270">
        <v>920.86613410413406</v>
      </c>
      <c r="H16" s="270">
        <v>-1205.733898992665</v>
      </c>
      <c r="I16" s="270">
        <v>45.975992958117956</v>
      </c>
    </row>
    <row r="17" spans="1:9" x14ac:dyDescent="0.2">
      <c r="A17" s="271">
        <v>45473</v>
      </c>
      <c r="B17" s="270">
        <v>-64.74462340887726</v>
      </c>
      <c r="C17" s="270">
        <v>1715.3618036324156</v>
      </c>
      <c r="D17" s="270">
        <v>0</v>
      </c>
      <c r="E17" s="270">
        <v>0</v>
      </c>
      <c r="F17" s="270">
        <v>165.03006377437578</v>
      </c>
      <c r="G17" s="270">
        <v>927.97136835192873</v>
      </c>
      <c r="H17" s="270">
        <v>-1211.2705556754795</v>
      </c>
      <c r="I17" s="270">
        <v>46.297859579612521</v>
      </c>
    </row>
    <row r="18" spans="1:9" x14ac:dyDescent="0.2">
      <c r="A18" s="271">
        <v>45565</v>
      </c>
      <c r="B18" s="270">
        <v>-65.450340677321265</v>
      </c>
      <c r="C18" s="270">
        <v>1723.9141162941337</v>
      </c>
      <c r="D18" s="270">
        <v>0</v>
      </c>
      <c r="E18" s="270">
        <v>0</v>
      </c>
      <c r="F18" s="270">
        <v>165.95686156591012</v>
      </c>
      <c r="G18" s="270">
        <v>934.05607430761961</v>
      </c>
      <c r="H18" s="270">
        <v>-1216.8367254536176</v>
      </c>
      <c r="I18" s="270">
        <v>46.628917748543074</v>
      </c>
    </row>
    <row r="19" spans="1:9" x14ac:dyDescent="0.2">
      <c r="A19" s="271">
        <v>45657</v>
      </c>
      <c r="B19" s="270">
        <v>-66.344320936584836</v>
      </c>
      <c r="C19" s="270">
        <v>1711.581639679541</v>
      </c>
      <c r="D19" s="270">
        <v>0</v>
      </c>
      <c r="E19" s="270">
        <v>0</v>
      </c>
      <c r="F19" s="270">
        <v>170.82335072988235</v>
      </c>
      <c r="G19" s="270">
        <v>955.61386115829828</v>
      </c>
      <c r="H19" s="270">
        <v>-1222.4324083270799</v>
      </c>
      <c r="I19" s="270">
        <v>46.720623828499299</v>
      </c>
    </row>
    <row r="20" spans="1:9" x14ac:dyDescent="0.2">
      <c r="A20" s="271">
        <v>45747</v>
      </c>
      <c r="B20" s="270">
        <v>-67.238301195848408</v>
      </c>
      <c r="C20" s="270">
        <v>1698.5366386735911</v>
      </c>
      <c r="D20" s="270">
        <v>0</v>
      </c>
      <c r="E20" s="270">
        <v>0</v>
      </c>
      <c r="F20" s="270">
        <v>175.68983989385447</v>
      </c>
      <c r="G20" s="270">
        <v>973.81247964704448</v>
      </c>
      <c r="H20" s="270">
        <v>-1228.0398964386723</v>
      </c>
      <c r="I20" s="270">
        <v>46.930226557055903</v>
      </c>
    </row>
    <row r="21" spans="1:9" x14ac:dyDescent="0.2">
      <c r="A21" s="271">
        <v>45838</v>
      </c>
      <c r="B21" s="270">
        <v>-68.132281455111979</v>
      </c>
      <c r="C21" s="270">
        <v>1688.3417352330689</v>
      </c>
      <c r="D21" s="270">
        <v>0</v>
      </c>
      <c r="E21" s="270">
        <v>0</v>
      </c>
      <c r="F21" s="270">
        <v>180.55632905782682</v>
      </c>
      <c r="G21" s="270">
        <v>989.03532805494251</v>
      </c>
      <c r="H21" s="270">
        <v>-1233.6178714549401</v>
      </c>
      <c r="I21" s="270">
        <v>47.032571404843281</v>
      </c>
    </row>
    <row r="22" spans="1:9" x14ac:dyDescent="0.2">
      <c r="A22" s="271">
        <v>45930</v>
      </c>
      <c r="B22" s="270">
        <v>-69.026261714375551</v>
      </c>
      <c r="C22" s="270">
        <v>1681.3531915536532</v>
      </c>
      <c r="D22" s="270">
        <v>0</v>
      </c>
      <c r="E22" s="270">
        <v>0</v>
      </c>
      <c r="F22" s="270">
        <v>185.42281822179916</v>
      </c>
      <c r="G22" s="270">
        <v>1000.9621704824297</v>
      </c>
      <c r="H22" s="270">
        <v>-1239.2017490902733</v>
      </c>
      <c r="I22" s="270">
        <v>47.141596715840137</v>
      </c>
    </row>
    <row r="23" spans="1:9" x14ac:dyDescent="0.2">
      <c r="A23" s="271">
        <v>46022</v>
      </c>
      <c r="B23" s="270">
        <v>-69.95653401573486</v>
      </c>
      <c r="C23" s="270">
        <v>1672.9826863614726</v>
      </c>
      <c r="D23" s="270">
        <v>0</v>
      </c>
      <c r="E23" s="270">
        <v>0</v>
      </c>
      <c r="F23" s="270">
        <v>188.70328522765635</v>
      </c>
      <c r="G23" s="270">
        <v>1007.387693822486</v>
      </c>
      <c r="H23" s="270">
        <v>-1244.7856267256061</v>
      </c>
      <c r="I23" s="270">
        <v>47.208731610573466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D553-49A9-442A-A3CE-215FCFDE89C7}">
  <dimension ref="A1:I34"/>
  <sheetViews>
    <sheetView workbookViewId="0">
      <selection sqref="A1:XFD1048576"/>
    </sheetView>
  </sheetViews>
  <sheetFormatPr baseColWidth="10" defaultColWidth="8.83203125" defaultRowHeight="15" x14ac:dyDescent="0.2"/>
  <sheetData>
    <row r="1" spans="1:9" s="298" customFormat="1" x14ac:dyDescent="0.2">
      <c r="A1" s="298" t="s">
        <v>324</v>
      </c>
      <c r="B1" s="298" t="s">
        <v>325</v>
      </c>
      <c r="C1" s="298" t="s">
        <v>326</v>
      </c>
      <c r="D1" s="298" t="s">
        <v>327</v>
      </c>
      <c r="E1" s="298" t="s">
        <v>328</v>
      </c>
      <c r="F1" s="298" t="s">
        <v>329</v>
      </c>
      <c r="G1" s="298" t="s">
        <v>330</v>
      </c>
      <c r="H1" s="298" t="s">
        <v>331</v>
      </c>
      <c r="I1" s="298" t="s">
        <v>332</v>
      </c>
    </row>
    <row r="2" spans="1:9" x14ac:dyDescent="0.2">
      <c r="A2" t="s">
        <v>294</v>
      </c>
      <c r="B2">
        <v>20909.900000000001</v>
      </c>
      <c r="C2">
        <v>21115.3</v>
      </c>
      <c r="D2">
        <v>21329.9</v>
      </c>
      <c r="E2">
        <v>21540.3</v>
      </c>
      <c r="F2">
        <v>21747.4</v>
      </c>
      <c r="G2">
        <v>21561.1</v>
      </c>
      <c r="H2">
        <v>19520.099999999999</v>
      </c>
      <c r="I2">
        <v>21170.3</v>
      </c>
    </row>
    <row r="3" spans="1:9" x14ac:dyDescent="0.2">
      <c r="A3" t="s">
        <v>295</v>
      </c>
      <c r="B3">
        <v>18813.900000000001</v>
      </c>
      <c r="C3">
        <v>18950.3</v>
      </c>
      <c r="D3">
        <v>19020.599999999999</v>
      </c>
      <c r="E3">
        <v>19141.7</v>
      </c>
      <c r="F3">
        <v>19254</v>
      </c>
      <c r="G3">
        <v>19010.8</v>
      </c>
      <c r="H3">
        <v>17302.5</v>
      </c>
      <c r="I3">
        <v>18596.5</v>
      </c>
    </row>
    <row r="4" spans="1:9" x14ac:dyDescent="0.2">
      <c r="A4" t="s">
        <v>296</v>
      </c>
      <c r="B4">
        <v>1634.2</v>
      </c>
      <c r="C4">
        <v>1695.5</v>
      </c>
      <c r="D4">
        <v>1703.1</v>
      </c>
      <c r="E4">
        <v>1713.2</v>
      </c>
      <c r="F4">
        <v>1740.2</v>
      </c>
      <c r="G4">
        <v>1756.6</v>
      </c>
      <c r="H4">
        <v>1600.1</v>
      </c>
      <c r="I4">
        <v>1687.4</v>
      </c>
    </row>
    <row r="5" spans="1:9" x14ac:dyDescent="0.2">
      <c r="A5" t="s">
        <v>297</v>
      </c>
      <c r="B5">
        <v>183.5</v>
      </c>
      <c r="C5">
        <v>172.1</v>
      </c>
      <c r="D5">
        <v>168.3</v>
      </c>
      <c r="E5">
        <v>175.1</v>
      </c>
      <c r="F5">
        <v>179.2</v>
      </c>
      <c r="G5">
        <v>183.8</v>
      </c>
      <c r="H5">
        <v>131.4</v>
      </c>
      <c r="I5">
        <v>144.69999999999999</v>
      </c>
    </row>
    <row r="6" spans="1:9" x14ac:dyDescent="0.2">
      <c r="A6" t="s">
        <v>298</v>
      </c>
      <c r="B6">
        <v>1355.2</v>
      </c>
      <c r="C6">
        <v>1386.7</v>
      </c>
      <c r="D6">
        <v>1392.6</v>
      </c>
      <c r="E6">
        <v>1397.2</v>
      </c>
      <c r="F6">
        <v>1411.7</v>
      </c>
      <c r="G6">
        <v>1431.2</v>
      </c>
      <c r="H6">
        <v>1369.2</v>
      </c>
      <c r="I6">
        <v>1430.2</v>
      </c>
    </row>
    <row r="7" spans="1:9" x14ac:dyDescent="0.2">
      <c r="A7" t="s">
        <v>299</v>
      </c>
      <c r="B7">
        <v>234.7</v>
      </c>
      <c r="C7">
        <v>213.8</v>
      </c>
      <c r="D7">
        <v>224.2</v>
      </c>
      <c r="E7">
        <v>201.6</v>
      </c>
      <c r="F7">
        <v>229.7</v>
      </c>
      <c r="G7">
        <v>180.5</v>
      </c>
      <c r="H7">
        <v>171.5</v>
      </c>
      <c r="I7">
        <v>207</v>
      </c>
    </row>
    <row r="8" spans="1:9" x14ac:dyDescent="0.2">
      <c r="A8" t="s">
        <v>300</v>
      </c>
      <c r="B8">
        <v>456.5</v>
      </c>
      <c r="C8">
        <v>475.2</v>
      </c>
      <c r="D8">
        <v>519.4</v>
      </c>
      <c r="E8">
        <v>483.9</v>
      </c>
      <c r="F8">
        <v>480.9</v>
      </c>
      <c r="G8">
        <v>495.8</v>
      </c>
      <c r="H8">
        <v>496.4</v>
      </c>
      <c r="I8">
        <v>506.6</v>
      </c>
    </row>
    <row r="9" spans="1:9" x14ac:dyDescent="0.2">
      <c r="A9" t="s">
        <v>301</v>
      </c>
      <c r="B9">
        <v>1295.5</v>
      </c>
      <c r="C9">
        <v>1301.5999999999999</v>
      </c>
      <c r="D9">
        <v>1312.4</v>
      </c>
      <c r="E9">
        <v>1326.5</v>
      </c>
      <c r="F9">
        <v>1330.4</v>
      </c>
      <c r="G9">
        <v>1346.2</v>
      </c>
      <c r="H9">
        <v>1264.3</v>
      </c>
      <c r="I9">
        <v>1344.5</v>
      </c>
    </row>
    <row r="10" spans="1:9" x14ac:dyDescent="0.2">
      <c r="A10" t="s">
        <v>333</v>
      </c>
      <c r="B10">
        <v>8600</v>
      </c>
      <c r="C10">
        <v>8932</v>
      </c>
      <c r="D10">
        <v>8944</v>
      </c>
      <c r="E10">
        <v>8604</v>
      </c>
      <c r="F10">
        <v>7908</v>
      </c>
      <c r="G10">
        <v>7020</v>
      </c>
      <c r="H10">
        <v>6744</v>
      </c>
      <c r="I10">
        <v>7248</v>
      </c>
    </row>
    <row r="11" spans="1:9" x14ac:dyDescent="0.2">
      <c r="A11" t="s">
        <v>334</v>
      </c>
      <c r="B11">
        <v>12969</v>
      </c>
      <c r="C11">
        <v>13054</v>
      </c>
      <c r="D11">
        <v>13132</v>
      </c>
      <c r="E11">
        <v>13183</v>
      </c>
      <c r="F11">
        <v>13235</v>
      </c>
      <c r="G11">
        <v>13345</v>
      </c>
      <c r="H11">
        <v>12362</v>
      </c>
      <c r="I11">
        <v>13001</v>
      </c>
    </row>
    <row r="12" spans="1:9" x14ac:dyDescent="0.2">
      <c r="A12" t="s">
        <v>303</v>
      </c>
      <c r="B12">
        <v>63.5</v>
      </c>
      <c r="C12">
        <v>68.5</v>
      </c>
      <c r="D12">
        <v>68.7</v>
      </c>
      <c r="E12">
        <v>69.8</v>
      </c>
      <c r="F12">
        <v>71</v>
      </c>
      <c r="G12">
        <v>62.7</v>
      </c>
      <c r="H12">
        <v>54.2</v>
      </c>
      <c r="I12">
        <v>90.2</v>
      </c>
    </row>
    <row r="13" spans="1:9" x14ac:dyDescent="0.2">
      <c r="A13" t="s">
        <v>304</v>
      </c>
      <c r="B13">
        <v>2220523</v>
      </c>
      <c r="C13">
        <v>2298792</v>
      </c>
      <c r="D13">
        <v>2315842</v>
      </c>
      <c r="E13">
        <v>2331428</v>
      </c>
      <c r="F13">
        <v>2347737</v>
      </c>
      <c r="G13">
        <v>2422546</v>
      </c>
      <c r="H13">
        <v>4815254</v>
      </c>
      <c r="I13">
        <v>3494888</v>
      </c>
    </row>
    <row r="14" spans="1:9" x14ac:dyDescent="0.2">
      <c r="A14" t="s">
        <v>305</v>
      </c>
      <c r="B14">
        <v>753311</v>
      </c>
      <c r="C14">
        <v>767353</v>
      </c>
      <c r="D14">
        <v>779707</v>
      </c>
      <c r="E14">
        <v>789893</v>
      </c>
      <c r="F14">
        <v>797912</v>
      </c>
      <c r="G14">
        <v>804655</v>
      </c>
      <c r="H14">
        <v>824058</v>
      </c>
      <c r="I14">
        <v>842733</v>
      </c>
    </row>
    <row r="15" spans="1:9" x14ac:dyDescent="0.2">
      <c r="A15" t="s">
        <v>306</v>
      </c>
      <c r="H15">
        <v>1078100</v>
      </c>
      <c r="I15">
        <v>15600</v>
      </c>
    </row>
    <row r="16" spans="1:9" x14ac:dyDescent="0.2">
      <c r="A16" t="s">
        <v>307</v>
      </c>
      <c r="B16">
        <v>27025</v>
      </c>
      <c r="C16">
        <v>28029</v>
      </c>
      <c r="D16">
        <v>27483</v>
      </c>
      <c r="E16">
        <v>27578</v>
      </c>
      <c r="F16">
        <v>27884</v>
      </c>
      <c r="G16">
        <v>43429</v>
      </c>
      <c r="H16">
        <v>1084572</v>
      </c>
      <c r="I16">
        <v>775154</v>
      </c>
    </row>
    <row r="17" spans="1:9" x14ac:dyDescent="0.2">
      <c r="A17" t="s">
        <v>308</v>
      </c>
      <c r="H17">
        <v>19100</v>
      </c>
      <c r="I17">
        <v>27000</v>
      </c>
    </row>
    <row r="18" spans="1:9" x14ac:dyDescent="0.2">
      <c r="A18" t="s">
        <v>309</v>
      </c>
      <c r="H18">
        <v>160900</v>
      </c>
      <c r="I18">
        <v>58400</v>
      </c>
    </row>
    <row r="19" spans="1:9" x14ac:dyDescent="0.2">
      <c r="A19" t="s">
        <v>310</v>
      </c>
      <c r="B19">
        <v>79458</v>
      </c>
      <c r="C19">
        <v>71318</v>
      </c>
      <c r="D19">
        <v>61083</v>
      </c>
      <c r="E19">
        <v>81998</v>
      </c>
      <c r="F19">
        <v>81147</v>
      </c>
      <c r="G19">
        <v>75093</v>
      </c>
      <c r="H19">
        <v>1086548</v>
      </c>
      <c r="I19">
        <v>1213480</v>
      </c>
    </row>
    <row r="20" spans="1:9" x14ac:dyDescent="0.2">
      <c r="A20" t="s">
        <v>311</v>
      </c>
      <c r="H20">
        <v>609300</v>
      </c>
      <c r="I20">
        <v>865600</v>
      </c>
    </row>
    <row r="21" spans="1:9" x14ac:dyDescent="0.2">
      <c r="A21" t="s">
        <v>312</v>
      </c>
      <c r="H21">
        <v>63800</v>
      </c>
      <c r="I21">
        <v>15000</v>
      </c>
    </row>
    <row r="22" spans="1:9" x14ac:dyDescent="0.2">
      <c r="A22" t="s">
        <v>313</v>
      </c>
      <c r="H22">
        <v>73300</v>
      </c>
      <c r="I22">
        <v>73300</v>
      </c>
    </row>
    <row r="23" spans="1:9" x14ac:dyDescent="0.2">
      <c r="A23" t="s">
        <v>314</v>
      </c>
      <c r="H23">
        <v>140000</v>
      </c>
      <c r="I23">
        <v>140000</v>
      </c>
    </row>
    <row r="24" spans="1:9" x14ac:dyDescent="0.2">
      <c r="A24" t="s">
        <v>315</v>
      </c>
      <c r="B24">
        <v>586475</v>
      </c>
      <c r="C24">
        <v>594213</v>
      </c>
      <c r="D24">
        <v>612547</v>
      </c>
      <c r="E24">
        <v>610331</v>
      </c>
      <c r="F24">
        <v>615406</v>
      </c>
      <c r="G24">
        <v>627805</v>
      </c>
      <c r="H24">
        <v>1396890</v>
      </c>
      <c r="I24">
        <v>728172</v>
      </c>
    </row>
    <row r="25" spans="1:9" x14ac:dyDescent="0.2">
      <c r="A25" t="s">
        <v>318</v>
      </c>
      <c r="B25">
        <v>1368395</v>
      </c>
      <c r="C25">
        <v>1388750</v>
      </c>
      <c r="D25">
        <v>1410626</v>
      </c>
      <c r="E25">
        <v>1429281</v>
      </c>
      <c r="F25">
        <v>1447946</v>
      </c>
      <c r="G25">
        <v>1452551</v>
      </c>
      <c r="H25">
        <v>1504782</v>
      </c>
      <c r="I25">
        <v>1487035</v>
      </c>
    </row>
    <row r="26" spans="1:9" x14ac:dyDescent="0.2">
      <c r="A26" t="s">
        <v>317</v>
      </c>
      <c r="B26">
        <v>1241599</v>
      </c>
      <c r="C26">
        <v>1245767</v>
      </c>
      <c r="D26">
        <v>1273567</v>
      </c>
      <c r="E26">
        <v>1288518</v>
      </c>
      <c r="F26">
        <v>1301120</v>
      </c>
      <c r="G26">
        <v>1306142</v>
      </c>
      <c r="H26">
        <v>1356816</v>
      </c>
      <c r="I26">
        <v>1335133</v>
      </c>
    </row>
    <row r="27" spans="1:9" x14ac:dyDescent="0.2">
      <c r="A27" t="s">
        <v>319</v>
      </c>
      <c r="B27">
        <v>389624</v>
      </c>
      <c r="C27">
        <v>404529</v>
      </c>
      <c r="D27">
        <v>419672</v>
      </c>
      <c r="E27">
        <v>418824</v>
      </c>
      <c r="F27">
        <v>411409</v>
      </c>
      <c r="G27">
        <v>423429</v>
      </c>
      <c r="H27">
        <v>512640</v>
      </c>
      <c r="I27">
        <v>486072</v>
      </c>
    </row>
    <row r="28" spans="1:9" x14ac:dyDescent="0.2">
      <c r="A28" t="s">
        <v>320</v>
      </c>
      <c r="B28">
        <v>728844</v>
      </c>
      <c r="C28">
        <v>738714</v>
      </c>
      <c r="D28">
        <v>755204</v>
      </c>
      <c r="E28">
        <v>763370</v>
      </c>
      <c r="F28">
        <v>760967</v>
      </c>
      <c r="G28">
        <v>767087</v>
      </c>
      <c r="H28">
        <v>812158</v>
      </c>
      <c r="I28">
        <v>828480</v>
      </c>
    </row>
    <row r="29" spans="1:9" x14ac:dyDescent="0.2">
      <c r="A29" t="s">
        <v>321</v>
      </c>
      <c r="B29">
        <v>589819</v>
      </c>
      <c r="C29">
        <v>599372</v>
      </c>
      <c r="D29">
        <v>614976</v>
      </c>
      <c r="E29">
        <v>622265</v>
      </c>
      <c r="F29">
        <v>619362</v>
      </c>
      <c r="G29">
        <v>624096</v>
      </c>
      <c r="H29">
        <v>668823</v>
      </c>
      <c r="I29">
        <v>683703</v>
      </c>
    </row>
    <row r="30" spans="1:9" x14ac:dyDescent="0.2">
      <c r="A30" t="s">
        <v>322</v>
      </c>
      <c r="B30">
        <v>1997129</v>
      </c>
      <c r="C30">
        <v>2012720</v>
      </c>
      <c r="D30">
        <v>2025477</v>
      </c>
      <c r="E30">
        <v>2028275</v>
      </c>
      <c r="F30">
        <v>2035602</v>
      </c>
      <c r="G30">
        <v>2041017</v>
      </c>
      <c r="H30">
        <v>2013139</v>
      </c>
      <c r="I30">
        <v>1993051</v>
      </c>
    </row>
    <row r="31" spans="1:9" x14ac:dyDescent="0.2">
      <c r="A31" t="s">
        <v>323</v>
      </c>
      <c r="B31">
        <v>2279638</v>
      </c>
      <c r="C31">
        <v>2292717</v>
      </c>
      <c r="D31">
        <v>2327018</v>
      </c>
      <c r="E31">
        <v>2337774</v>
      </c>
      <c r="F31">
        <v>2357385</v>
      </c>
      <c r="G31">
        <v>2381563</v>
      </c>
      <c r="H31">
        <v>2334544</v>
      </c>
      <c r="I31">
        <v>2329605</v>
      </c>
    </row>
    <row r="32" spans="1:9" x14ac:dyDescent="0.2">
      <c r="A32" t="s">
        <v>302</v>
      </c>
      <c r="B32">
        <v>21.568999999999999</v>
      </c>
      <c r="C32">
        <v>21.986000000000001</v>
      </c>
      <c r="D32">
        <v>22.076000000000001</v>
      </c>
      <c r="E32">
        <v>21.786999999999999</v>
      </c>
      <c r="F32">
        <v>21.143000000000001</v>
      </c>
      <c r="G32">
        <v>20.364999999999998</v>
      </c>
      <c r="H32">
        <v>19.106000000000002</v>
      </c>
      <c r="I32">
        <v>20.248999999999999</v>
      </c>
    </row>
    <row r="33" spans="1:9" x14ac:dyDescent="0.2">
      <c r="A33" t="s">
        <v>336</v>
      </c>
      <c r="H33">
        <v>277100</v>
      </c>
      <c r="I33">
        <v>228300</v>
      </c>
    </row>
    <row r="34" spans="1:9" x14ac:dyDescent="0.2">
      <c r="A34" t="s">
        <v>316</v>
      </c>
      <c r="H34">
        <v>690700</v>
      </c>
      <c r="I34">
        <v>39200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A138-E000-4F43-8051-048875C71ACF}">
  <dimension ref="A1:B10"/>
  <sheetViews>
    <sheetView workbookViewId="0">
      <selection activeCell="B3" sqref="B3"/>
    </sheetView>
  </sheetViews>
  <sheetFormatPr baseColWidth="10" defaultColWidth="10.83203125" defaultRowHeight="15" x14ac:dyDescent="0.2"/>
  <sheetData>
    <row r="1" spans="1:2" x14ac:dyDescent="0.2">
      <c r="A1" t="s">
        <v>257</v>
      </c>
      <c r="B1" t="s">
        <v>290</v>
      </c>
    </row>
    <row r="2" spans="1:2" x14ac:dyDescent="0.2">
      <c r="A2" s="190">
        <v>44104</v>
      </c>
      <c r="B2">
        <v>337800</v>
      </c>
    </row>
    <row r="3" spans="1:2" x14ac:dyDescent="0.2">
      <c r="A3" s="190">
        <v>44196</v>
      </c>
      <c r="B3">
        <v>244000</v>
      </c>
    </row>
    <row r="4" spans="1:2" x14ac:dyDescent="0.2">
      <c r="A4" s="190">
        <v>44286</v>
      </c>
      <c r="B4">
        <v>152000</v>
      </c>
    </row>
    <row r="5" spans="1:2" x14ac:dyDescent="0.2">
      <c r="A5" s="190">
        <v>44377</v>
      </c>
      <c r="B5">
        <v>44000</v>
      </c>
    </row>
    <row r="6" spans="1:2" x14ac:dyDescent="0.2">
      <c r="A6" s="190">
        <v>44469</v>
      </c>
      <c r="B6">
        <v>44000</v>
      </c>
    </row>
    <row r="7" spans="1:2" x14ac:dyDescent="0.2">
      <c r="A7" s="190">
        <v>44561</v>
      </c>
      <c r="B7">
        <v>44000</v>
      </c>
    </row>
    <row r="8" spans="1:2" x14ac:dyDescent="0.2">
      <c r="A8" s="190">
        <v>44651</v>
      </c>
      <c r="B8">
        <v>44000</v>
      </c>
    </row>
    <row r="9" spans="1:2" x14ac:dyDescent="0.2">
      <c r="A9" s="190">
        <v>44742</v>
      </c>
      <c r="B9">
        <v>44000</v>
      </c>
    </row>
    <row r="10" spans="1:2" x14ac:dyDescent="0.2">
      <c r="A10" s="190">
        <v>44834</v>
      </c>
      <c r="B10">
        <v>44000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C5" sqref="C5"/>
    </sheetView>
  </sheetViews>
  <sheetFormatPr baseColWidth="10" defaultColWidth="12" defaultRowHeight="16" x14ac:dyDescent="0.2"/>
  <cols>
    <col min="1" max="1" width="24.6640625" style="158" customWidth="1"/>
    <col min="2" max="2" width="16.6640625" style="158" customWidth="1"/>
    <col min="3" max="3" width="7.5" style="158" bestFit="1" customWidth="1"/>
    <col min="4" max="16384" width="12" style="158"/>
  </cols>
  <sheetData>
    <row r="2" spans="1:16" x14ac:dyDescent="0.2">
      <c r="B2" s="158" t="s">
        <v>233</v>
      </c>
    </row>
    <row r="3" spans="1:16" x14ac:dyDescent="0.2">
      <c r="B3" s="158" t="s">
        <v>234</v>
      </c>
    </row>
    <row r="4" spans="1:16" x14ac:dyDescent="0.2">
      <c r="A4" s="158" t="s">
        <v>235</v>
      </c>
      <c r="C4" s="158" t="s">
        <v>236</v>
      </c>
      <c r="D4" s="158">
        <v>1</v>
      </c>
      <c r="E4" s="158">
        <v>2</v>
      </c>
      <c r="F4" s="158">
        <v>3</v>
      </c>
      <c r="G4" s="158">
        <v>4</v>
      </c>
      <c r="H4" s="158">
        <v>5</v>
      </c>
      <c r="I4" s="158">
        <v>6</v>
      </c>
      <c r="J4" s="158">
        <v>7</v>
      </c>
      <c r="K4" s="158">
        <v>8</v>
      </c>
      <c r="L4" s="158">
        <v>9</v>
      </c>
      <c r="M4" s="158">
        <v>10</v>
      </c>
      <c r="N4" s="158">
        <v>11</v>
      </c>
      <c r="O4" s="158">
        <v>12</v>
      </c>
    </row>
    <row r="5" spans="1:16" x14ac:dyDescent="0.2">
      <c r="A5" s="158" t="s">
        <v>237</v>
      </c>
      <c r="B5" s="158">
        <v>0.4</v>
      </c>
      <c r="C5" s="159">
        <v>0.9</v>
      </c>
      <c r="D5" s="158">
        <f>1/12</f>
        <v>8.3333333333333329E-2</v>
      </c>
      <c r="E5" s="158">
        <f>D5</f>
        <v>8.3333333333333329E-2</v>
      </c>
      <c r="F5" s="158">
        <f t="shared" ref="F5:O5" si="0">E5</f>
        <v>8.3333333333333329E-2</v>
      </c>
      <c r="G5" s="158">
        <f t="shared" si="0"/>
        <v>8.3333333333333329E-2</v>
      </c>
      <c r="H5" s="158">
        <f t="shared" si="0"/>
        <v>8.3333333333333329E-2</v>
      </c>
      <c r="I5" s="158">
        <f t="shared" si="0"/>
        <v>8.3333333333333329E-2</v>
      </c>
      <c r="J5" s="158">
        <f t="shared" si="0"/>
        <v>8.3333333333333329E-2</v>
      </c>
      <c r="K5" s="158">
        <f t="shared" si="0"/>
        <v>8.3333333333333329E-2</v>
      </c>
      <c r="L5" s="158">
        <f t="shared" si="0"/>
        <v>8.3333333333333329E-2</v>
      </c>
      <c r="M5" s="158">
        <f t="shared" si="0"/>
        <v>8.3333333333333329E-2</v>
      </c>
      <c r="N5" s="158">
        <f t="shared" si="0"/>
        <v>8.3333333333333329E-2</v>
      </c>
      <c r="O5" s="158">
        <f t="shared" si="0"/>
        <v>8.3333333333333329E-2</v>
      </c>
      <c r="P5" s="158">
        <f>SUM(D5:O5)</f>
        <v>1</v>
      </c>
    </row>
    <row r="6" spans="1:16" x14ac:dyDescent="0.2">
      <c r="A6" s="158" t="s">
        <v>13</v>
      </c>
      <c r="B6" s="158">
        <v>0.9</v>
      </c>
      <c r="C6" s="159">
        <f>1-C5</f>
        <v>9.9999999999999978E-2</v>
      </c>
      <c r="D6" s="160">
        <f>D16</f>
        <v>0.35</v>
      </c>
      <c r="E6" s="160">
        <v>0.2</v>
      </c>
      <c r="F6" s="160">
        <v>0.15</v>
      </c>
      <c r="G6" s="160">
        <v>0.1</v>
      </c>
      <c r="H6" s="158">
        <v>0.05</v>
      </c>
      <c r="I6" s="160">
        <v>0.05</v>
      </c>
      <c r="J6" s="160">
        <v>0.05</v>
      </c>
      <c r="K6" s="160">
        <v>0.05</v>
      </c>
      <c r="P6" s="158">
        <f>SUM(D6:O6)</f>
        <v>1.0000000000000002</v>
      </c>
    </row>
    <row r="7" spans="1:16" x14ac:dyDescent="0.2">
      <c r="B7" s="158" t="s">
        <v>238</v>
      </c>
      <c r="D7" s="158">
        <f>SUMPRODUCT(C5:C6,B5:B6)</f>
        <v>0.45</v>
      </c>
      <c r="E7" s="158">
        <f>SUMPRODUCT(E5:E6,$C5:$C6)</f>
        <v>9.5000000000000001E-2</v>
      </c>
      <c r="F7" s="158">
        <f t="shared" ref="F7:O7" si="1">SUMPRODUCT(F5:F6,$C5:$C6)</f>
        <v>0.09</v>
      </c>
      <c r="G7" s="158">
        <f t="shared" si="1"/>
        <v>8.4999999999999992E-2</v>
      </c>
      <c r="H7" s="158">
        <f t="shared" si="1"/>
        <v>0.08</v>
      </c>
      <c r="I7" s="158">
        <f t="shared" si="1"/>
        <v>0.08</v>
      </c>
      <c r="J7" s="158">
        <f t="shared" si="1"/>
        <v>0.08</v>
      </c>
      <c r="K7" s="158">
        <f t="shared" si="1"/>
        <v>0.08</v>
      </c>
      <c r="L7" s="158">
        <f t="shared" si="1"/>
        <v>7.4999999999999997E-2</v>
      </c>
      <c r="M7" s="158">
        <f t="shared" si="1"/>
        <v>7.4999999999999997E-2</v>
      </c>
      <c r="N7" s="158">
        <f t="shared" si="1"/>
        <v>7.4999999999999997E-2</v>
      </c>
      <c r="O7" s="158">
        <f t="shared" si="1"/>
        <v>7.4999999999999997E-2</v>
      </c>
    </row>
    <row r="8" spans="1:16" x14ac:dyDescent="0.2">
      <c r="B8" s="161" t="s">
        <v>239</v>
      </c>
      <c r="C8" s="161"/>
      <c r="D8" s="162">
        <f>SUMPRODUCT(B5:B6,C5:C6)</f>
        <v>0.45</v>
      </c>
    </row>
    <row r="9" spans="1:16" x14ac:dyDescent="0.2">
      <c r="B9" s="158" t="s">
        <v>240</v>
      </c>
      <c r="D9" s="163">
        <f>SUMPRODUCT(D5:D6,$C5:$C6)</f>
        <v>0.10999999999999999</v>
      </c>
      <c r="E9" s="163">
        <f t="shared" ref="E9:O9" si="2">SUMPRODUCT(E5:E6,$C5:$C6)</f>
        <v>9.5000000000000001E-2</v>
      </c>
      <c r="F9" s="163">
        <f t="shared" si="2"/>
        <v>0.09</v>
      </c>
      <c r="G9" s="163">
        <f t="shared" si="2"/>
        <v>8.4999999999999992E-2</v>
      </c>
      <c r="H9" s="163">
        <f t="shared" si="2"/>
        <v>0.08</v>
      </c>
      <c r="I9" s="163">
        <f t="shared" si="2"/>
        <v>0.08</v>
      </c>
      <c r="J9" s="163">
        <f t="shared" si="2"/>
        <v>0.08</v>
      </c>
      <c r="K9" s="163">
        <f t="shared" si="2"/>
        <v>0.08</v>
      </c>
      <c r="L9" s="163">
        <f t="shared" si="2"/>
        <v>7.4999999999999997E-2</v>
      </c>
      <c r="M9" s="163">
        <f t="shared" si="2"/>
        <v>7.4999999999999997E-2</v>
      </c>
      <c r="N9" s="163">
        <f t="shared" si="2"/>
        <v>7.4999999999999997E-2</v>
      </c>
      <c r="O9" s="163">
        <f t="shared" si="2"/>
        <v>7.4999999999999997E-2</v>
      </c>
      <c r="P9" s="159">
        <f>SUM(D9:O9)</f>
        <v>0.99999999999999978</v>
      </c>
    </row>
    <row r="11" spans="1:16" x14ac:dyDescent="0.2">
      <c r="D11" s="164"/>
    </row>
    <row r="14" spans="1:16" x14ac:dyDescent="0.2">
      <c r="A14" s="158" t="s">
        <v>241</v>
      </c>
      <c r="C14" s="158" t="s">
        <v>236</v>
      </c>
      <c r="D14" s="158">
        <v>1</v>
      </c>
      <c r="E14" s="158">
        <v>2</v>
      </c>
      <c r="F14" s="158">
        <v>3</v>
      </c>
      <c r="G14" s="158">
        <v>4</v>
      </c>
      <c r="H14" s="158">
        <v>5</v>
      </c>
      <c r="I14" s="158">
        <v>6</v>
      </c>
      <c r="J14" s="158">
        <v>7</v>
      </c>
      <c r="K14" s="158">
        <v>8</v>
      </c>
    </row>
    <row r="15" spans="1:16" x14ac:dyDescent="0.2">
      <c r="A15" s="158" t="s">
        <v>156</v>
      </c>
      <c r="B15" s="158">
        <v>0.9</v>
      </c>
      <c r="C15" s="159">
        <f>D28</f>
        <v>0.62091040922434837</v>
      </c>
      <c r="D15" s="158">
        <v>0.25</v>
      </c>
      <c r="E15" s="158">
        <v>0.25</v>
      </c>
      <c r="F15" s="158">
        <v>0.25</v>
      </c>
      <c r="G15" s="158">
        <v>0.25</v>
      </c>
      <c r="L15" s="158">
        <f>SUM(D15:K15)</f>
        <v>1</v>
      </c>
    </row>
    <row r="16" spans="1:16" x14ac:dyDescent="0.2">
      <c r="A16" s="278" t="s">
        <v>141</v>
      </c>
      <c r="B16" s="158">
        <v>0.9</v>
      </c>
      <c r="C16" s="159">
        <f>D26</f>
        <v>0.18843065822516181</v>
      </c>
      <c r="D16" s="160">
        <v>0.35</v>
      </c>
      <c r="E16" s="160">
        <v>0.35</v>
      </c>
      <c r="F16" s="160">
        <v>0.1</v>
      </c>
      <c r="G16" s="160">
        <v>0.1</v>
      </c>
      <c r="H16" s="158">
        <v>0.05</v>
      </c>
      <c r="I16" s="160">
        <v>0.05</v>
      </c>
      <c r="J16" s="160">
        <v>0</v>
      </c>
      <c r="K16" s="160">
        <v>0</v>
      </c>
      <c r="L16" s="158">
        <f>SUM(D16:K16)</f>
        <v>1</v>
      </c>
    </row>
    <row r="17" spans="1:12" x14ac:dyDescent="0.2">
      <c r="A17" s="158" t="s">
        <v>20</v>
      </c>
      <c r="B17" s="158">
        <v>0.7</v>
      </c>
      <c r="C17" s="159">
        <f>D27</f>
        <v>0.19065893255048985</v>
      </c>
      <c r="D17" s="165">
        <v>0.35</v>
      </c>
      <c r="E17" s="165">
        <v>0.15</v>
      </c>
      <c r="F17" s="165">
        <f>(1-D17-E17)/6</f>
        <v>8.3333333333333329E-2</v>
      </c>
      <c r="G17" s="165">
        <f>F17</f>
        <v>8.3333333333333329E-2</v>
      </c>
      <c r="H17" s="165">
        <f t="shared" ref="H17:K17" si="3">G17</f>
        <v>8.3333333333333329E-2</v>
      </c>
      <c r="I17" s="165">
        <f t="shared" si="3"/>
        <v>8.3333333333333329E-2</v>
      </c>
      <c r="J17" s="165">
        <f t="shared" si="3"/>
        <v>8.3333333333333329E-2</v>
      </c>
      <c r="K17" s="165">
        <f t="shared" si="3"/>
        <v>8.3333333333333329E-2</v>
      </c>
      <c r="L17" s="158">
        <f>SUM(D17:K17)</f>
        <v>1.0000000000000002</v>
      </c>
    </row>
    <row r="18" spans="1:12" x14ac:dyDescent="0.2">
      <c r="B18" s="158" t="s">
        <v>238</v>
      </c>
      <c r="D18" s="158">
        <f>D15*$C$15+D16*$C$16+D17*$C17</f>
        <v>0.2879089590775652</v>
      </c>
      <c r="E18" s="158">
        <f t="shared" ref="E18:K18" si="4">E15*$C$15+E16*$C$16+E17*$C17</f>
        <v>0.2497771725674672</v>
      </c>
      <c r="F18" s="158">
        <f t="shared" si="4"/>
        <v>0.18995891250781077</v>
      </c>
      <c r="G18" s="158">
        <f t="shared" si="4"/>
        <v>0.18995891250781077</v>
      </c>
      <c r="H18" s="158">
        <f t="shared" si="4"/>
        <v>2.5309777290465581E-2</v>
      </c>
      <c r="I18" s="158">
        <f t="shared" si="4"/>
        <v>2.5309777290465581E-2</v>
      </c>
      <c r="J18" s="158">
        <f t="shared" si="4"/>
        <v>1.5888244379207488E-2</v>
      </c>
      <c r="K18" s="158">
        <f t="shared" si="4"/>
        <v>1.5888244379207488E-2</v>
      </c>
    </row>
    <row r="19" spans="1:12" x14ac:dyDescent="0.2">
      <c r="B19" s="158" t="s">
        <v>242</v>
      </c>
      <c r="D19" s="158">
        <f>SUMPRODUCT(C15:C17,B15:B17)</f>
        <v>0.86186821348990206</v>
      </c>
    </row>
    <row r="20" spans="1:12" x14ac:dyDescent="0.2">
      <c r="B20" s="162" t="s">
        <v>240</v>
      </c>
      <c r="C20" s="162"/>
      <c r="D20" s="166">
        <f>SUMPRODUCT(D15:D17,$C15:$C17)</f>
        <v>0.2879089590775652</v>
      </c>
      <c r="E20" s="166">
        <f t="shared" ref="E20:K20" si="5">SUMPRODUCT(E15:E17,$C15:$C17)</f>
        <v>0.2497771725674672</v>
      </c>
      <c r="F20" s="166">
        <f t="shared" si="5"/>
        <v>0.18995891250781077</v>
      </c>
      <c r="G20" s="166">
        <f t="shared" si="5"/>
        <v>0.18995891250781077</v>
      </c>
      <c r="H20" s="166">
        <f t="shared" si="5"/>
        <v>2.5309777290465581E-2</v>
      </c>
      <c r="I20" s="166">
        <f t="shared" si="5"/>
        <v>2.5309777290465581E-2</v>
      </c>
      <c r="J20" s="166">
        <f t="shared" si="5"/>
        <v>1.5888244379207488E-2</v>
      </c>
      <c r="K20" s="166">
        <f t="shared" si="5"/>
        <v>1.5888244379207488E-2</v>
      </c>
      <c r="L20" s="164">
        <f>SUM(D20:K20)</f>
        <v>1</v>
      </c>
    </row>
    <row r="21" spans="1:12" x14ac:dyDescent="0.2">
      <c r="B21" s="162"/>
      <c r="C21" s="162"/>
      <c r="D21" s="167">
        <v>0.2879089590775652</v>
      </c>
      <c r="E21" s="167">
        <v>0.2497771725674672</v>
      </c>
      <c r="F21" s="167">
        <v>0.18995891250781077</v>
      </c>
      <c r="G21" s="167">
        <v>0.18995891250781077</v>
      </c>
      <c r="H21" s="167">
        <v>2.5309777290465581E-2</v>
      </c>
      <c r="I21" s="167">
        <v>2.5309777290465581E-2</v>
      </c>
      <c r="J21" s="167">
        <v>1.5888244379207488E-2</v>
      </c>
      <c r="K21" s="167">
        <v>1.5888244379207488E-2</v>
      </c>
      <c r="L21" s="164">
        <f>SUM(D21:K21)</f>
        <v>1</v>
      </c>
    </row>
    <row r="22" spans="1:12" x14ac:dyDescent="0.2">
      <c r="A22" s="158" t="s">
        <v>243</v>
      </c>
    </row>
    <row r="23" spans="1:12" x14ac:dyDescent="0.2">
      <c r="A23" s="158" t="s">
        <v>244</v>
      </c>
    </row>
    <row r="24" spans="1:12" x14ac:dyDescent="0.2">
      <c r="C24" s="158" t="s">
        <v>111</v>
      </c>
    </row>
    <row r="25" spans="1:12" x14ac:dyDescent="0.2">
      <c r="B25" s="158" t="s">
        <v>34</v>
      </c>
      <c r="C25" s="158">
        <v>5654.6</v>
      </c>
    </row>
    <row r="26" spans="1:12" x14ac:dyDescent="0.2">
      <c r="B26" s="158" t="s">
        <v>245</v>
      </c>
      <c r="C26" s="158">
        <v>1065.5</v>
      </c>
      <c r="D26" s="158">
        <f>C26/C25</f>
        <v>0.18843065822516181</v>
      </c>
    </row>
    <row r="27" spans="1:12" x14ac:dyDescent="0.2">
      <c r="B27" s="158" t="s">
        <v>246</v>
      </c>
      <c r="C27" s="158">
        <v>1078.0999999999999</v>
      </c>
      <c r="D27" s="158">
        <f>C27/C25</f>
        <v>0.19065893255048985</v>
      </c>
    </row>
    <row r="28" spans="1:12" x14ac:dyDescent="0.2">
      <c r="B28" s="158" t="s">
        <v>156</v>
      </c>
      <c r="D28" s="158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70F9-06FB-4DC0-BB6E-D3D452EF4E7C}">
  <dimension ref="A2:P28"/>
  <sheetViews>
    <sheetView zoomScale="120" zoomScaleNormal="120" workbookViewId="0">
      <selection activeCell="B16" sqref="B16"/>
    </sheetView>
  </sheetViews>
  <sheetFormatPr baseColWidth="10" defaultColWidth="12" defaultRowHeight="16" x14ac:dyDescent="0.2"/>
  <cols>
    <col min="1" max="1" width="24.6640625" style="158" customWidth="1"/>
    <col min="2" max="2" width="16.6640625" style="158" customWidth="1"/>
    <col min="3" max="3" width="7.5" style="158" bestFit="1" customWidth="1"/>
    <col min="4" max="16384" width="12" style="158"/>
  </cols>
  <sheetData>
    <row r="2" spans="1:16" x14ac:dyDescent="0.2">
      <c r="B2" s="158" t="s">
        <v>233</v>
      </c>
    </row>
    <row r="3" spans="1:16" x14ac:dyDescent="0.2">
      <c r="B3" s="158" t="s">
        <v>234</v>
      </c>
    </row>
    <row r="4" spans="1:16" x14ac:dyDescent="0.2">
      <c r="A4" s="158" t="s">
        <v>235</v>
      </c>
      <c r="C4" s="158" t="s">
        <v>236</v>
      </c>
      <c r="D4" s="158">
        <v>1</v>
      </c>
      <c r="E4" s="158">
        <v>2</v>
      </c>
      <c r="F4" s="158">
        <v>3</v>
      </c>
      <c r="G4" s="158">
        <v>4</v>
      </c>
      <c r="H4" s="158">
        <v>5</v>
      </c>
      <c r="I4" s="158">
        <v>6</v>
      </c>
      <c r="J4" s="158">
        <v>7</v>
      </c>
      <c r="K4" s="158">
        <v>8</v>
      </c>
      <c r="L4" s="158">
        <v>9</v>
      </c>
      <c r="M4" s="158">
        <v>10</v>
      </c>
      <c r="N4" s="158">
        <v>11</v>
      </c>
      <c r="O4" s="158">
        <v>12</v>
      </c>
    </row>
    <row r="5" spans="1:16" x14ac:dyDescent="0.2">
      <c r="A5" s="158" t="s">
        <v>237</v>
      </c>
      <c r="B5" s="158">
        <v>0.4</v>
      </c>
      <c r="C5" s="159">
        <v>0.75</v>
      </c>
      <c r="D5" s="158">
        <f>1/12</f>
        <v>8.3333333333333329E-2</v>
      </c>
      <c r="E5" s="158">
        <f>D5</f>
        <v>8.3333333333333329E-2</v>
      </c>
      <c r="F5" s="158">
        <f t="shared" ref="F5:O5" si="0">E5</f>
        <v>8.3333333333333329E-2</v>
      </c>
      <c r="G5" s="158">
        <f t="shared" si="0"/>
        <v>8.3333333333333329E-2</v>
      </c>
      <c r="H5" s="158">
        <f t="shared" si="0"/>
        <v>8.3333333333333329E-2</v>
      </c>
      <c r="I5" s="158">
        <f t="shared" si="0"/>
        <v>8.3333333333333329E-2</v>
      </c>
      <c r="J5" s="158">
        <f t="shared" si="0"/>
        <v>8.3333333333333329E-2</v>
      </c>
      <c r="K5" s="158">
        <f t="shared" si="0"/>
        <v>8.3333333333333329E-2</v>
      </c>
      <c r="L5" s="158">
        <f t="shared" si="0"/>
        <v>8.3333333333333329E-2</v>
      </c>
      <c r="M5" s="158">
        <f t="shared" si="0"/>
        <v>8.3333333333333329E-2</v>
      </c>
      <c r="N5" s="158">
        <f t="shared" si="0"/>
        <v>8.3333333333333329E-2</v>
      </c>
      <c r="O5" s="158">
        <f t="shared" si="0"/>
        <v>8.3333333333333329E-2</v>
      </c>
      <c r="P5" s="158">
        <f>SUM(D5:O5)</f>
        <v>1</v>
      </c>
    </row>
    <row r="6" spans="1:16" x14ac:dyDescent="0.2">
      <c r="A6" s="158" t="s">
        <v>13</v>
      </c>
      <c r="B6" s="158">
        <v>0.9</v>
      </c>
      <c r="C6" s="159">
        <f>1-C5</f>
        <v>0.25</v>
      </c>
      <c r="D6" s="160">
        <f>D16</f>
        <v>0.35</v>
      </c>
      <c r="E6" s="160">
        <v>0.2</v>
      </c>
      <c r="F6" s="160">
        <v>0.15</v>
      </c>
      <c r="G6" s="160">
        <v>0.1</v>
      </c>
      <c r="H6" s="158">
        <v>0.05</v>
      </c>
      <c r="I6" s="160">
        <v>0.05</v>
      </c>
      <c r="J6" s="160">
        <v>0.05</v>
      </c>
      <c r="K6" s="160">
        <v>0.05</v>
      </c>
      <c r="P6" s="158">
        <f>SUM(D6:O6)</f>
        <v>1.0000000000000002</v>
      </c>
    </row>
    <row r="7" spans="1:16" x14ac:dyDescent="0.2">
      <c r="B7" s="158" t="s">
        <v>238</v>
      </c>
      <c r="D7" s="158">
        <f>SUMPRODUCT(C5:C6,B5:B6)</f>
        <v>0.52500000000000002</v>
      </c>
      <c r="E7" s="158">
        <f>SUMPRODUCT(E5:E6,$C5:$C6)</f>
        <v>0.1125</v>
      </c>
      <c r="F7" s="158">
        <f t="shared" ref="F7:O7" si="1">SUMPRODUCT(F5:F6,$C5:$C6)</f>
        <v>0.1</v>
      </c>
      <c r="G7" s="158">
        <f t="shared" si="1"/>
        <v>8.7499999999999994E-2</v>
      </c>
      <c r="H7" s="158">
        <f t="shared" si="1"/>
        <v>7.4999999999999997E-2</v>
      </c>
      <c r="I7" s="158">
        <f t="shared" si="1"/>
        <v>7.4999999999999997E-2</v>
      </c>
      <c r="J7" s="158">
        <f t="shared" si="1"/>
        <v>7.4999999999999997E-2</v>
      </c>
      <c r="K7" s="158">
        <f t="shared" si="1"/>
        <v>7.4999999999999997E-2</v>
      </c>
      <c r="L7" s="158">
        <f t="shared" si="1"/>
        <v>6.25E-2</v>
      </c>
      <c r="M7" s="158">
        <f t="shared" si="1"/>
        <v>6.25E-2</v>
      </c>
      <c r="N7" s="158">
        <f t="shared" si="1"/>
        <v>6.25E-2</v>
      </c>
      <c r="O7" s="158">
        <f t="shared" si="1"/>
        <v>6.25E-2</v>
      </c>
    </row>
    <row r="8" spans="1:16" x14ac:dyDescent="0.2">
      <c r="B8" s="161" t="s">
        <v>239</v>
      </c>
      <c r="C8" s="161"/>
      <c r="D8" s="162">
        <f>SUMPRODUCT(B5:B6,C5:C6)</f>
        <v>0.52500000000000002</v>
      </c>
    </row>
    <row r="9" spans="1:16" x14ac:dyDescent="0.2">
      <c r="B9" s="158" t="s">
        <v>240</v>
      </c>
      <c r="D9" s="163">
        <f>SUMPRODUCT(D5:D6,$C5:$C6)</f>
        <v>0.15</v>
      </c>
      <c r="E9" s="163">
        <f t="shared" ref="E9:O9" si="2">SUMPRODUCT(E5:E6,$C5:$C6)</f>
        <v>0.1125</v>
      </c>
      <c r="F9" s="163">
        <f t="shared" si="2"/>
        <v>0.1</v>
      </c>
      <c r="G9" s="163">
        <f t="shared" si="2"/>
        <v>8.7499999999999994E-2</v>
      </c>
      <c r="H9" s="163">
        <f t="shared" si="2"/>
        <v>7.4999999999999997E-2</v>
      </c>
      <c r="I9" s="163">
        <f t="shared" si="2"/>
        <v>7.4999999999999997E-2</v>
      </c>
      <c r="J9" s="163">
        <f t="shared" si="2"/>
        <v>7.4999999999999997E-2</v>
      </c>
      <c r="K9" s="163">
        <f t="shared" si="2"/>
        <v>7.4999999999999997E-2</v>
      </c>
      <c r="L9" s="163">
        <f t="shared" si="2"/>
        <v>6.25E-2</v>
      </c>
      <c r="M9" s="163">
        <f t="shared" si="2"/>
        <v>6.25E-2</v>
      </c>
      <c r="N9" s="163">
        <f t="shared" si="2"/>
        <v>6.25E-2</v>
      </c>
      <c r="O9" s="163">
        <f t="shared" si="2"/>
        <v>6.25E-2</v>
      </c>
      <c r="P9" s="159">
        <f>SUM(D9:O9)</f>
        <v>0.99999999999999989</v>
      </c>
    </row>
    <row r="11" spans="1:16" x14ac:dyDescent="0.2">
      <c r="D11" s="164"/>
    </row>
    <row r="14" spans="1:16" x14ac:dyDescent="0.2">
      <c r="A14" s="158" t="s">
        <v>241</v>
      </c>
      <c r="C14" s="158" t="s">
        <v>236</v>
      </c>
      <c r="D14" s="158">
        <v>1</v>
      </c>
      <c r="E14" s="158">
        <v>2</v>
      </c>
      <c r="F14" s="158">
        <v>3</v>
      </c>
      <c r="G14" s="158">
        <v>4</v>
      </c>
      <c r="H14" s="158">
        <v>5</v>
      </c>
      <c r="I14" s="158">
        <v>6</v>
      </c>
      <c r="J14" s="158">
        <v>7</v>
      </c>
      <c r="K14" s="158">
        <v>8</v>
      </c>
    </row>
    <row r="15" spans="1:16" x14ac:dyDescent="0.2">
      <c r="A15" s="158" t="s">
        <v>156</v>
      </c>
      <c r="B15" s="158">
        <v>0.9</v>
      </c>
      <c r="C15" s="159">
        <f>D28</f>
        <v>0.62091040922434837</v>
      </c>
      <c r="D15" s="158">
        <v>0.25</v>
      </c>
      <c r="E15" s="158">
        <v>0.25</v>
      </c>
      <c r="F15" s="158">
        <v>0.25</v>
      </c>
      <c r="G15" s="158">
        <v>0.25</v>
      </c>
      <c r="L15" s="158">
        <f>SUM(D15:K15)</f>
        <v>1</v>
      </c>
    </row>
    <row r="16" spans="1:16" x14ac:dyDescent="0.2">
      <c r="A16" s="278" t="s">
        <v>141</v>
      </c>
      <c r="B16" s="158">
        <v>0.9</v>
      </c>
      <c r="C16" s="159">
        <f>D26</f>
        <v>0.18843065822516181</v>
      </c>
      <c r="D16" s="160">
        <v>0.35</v>
      </c>
      <c r="E16" s="160">
        <v>0.35</v>
      </c>
      <c r="F16" s="160">
        <v>0.1</v>
      </c>
      <c r="G16" s="160">
        <v>0.1</v>
      </c>
      <c r="H16" s="158">
        <v>0.05</v>
      </c>
      <c r="I16" s="160">
        <v>0.05</v>
      </c>
      <c r="J16" s="160">
        <v>0</v>
      </c>
      <c r="K16" s="160">
        <v>0</v>
      </c>
      <c r="L16" s="158">
        <f>SUM(D16:K16)</f>
        <v>1</v>
      </c>
    </row>
    <row r="17" spans="1:12" x14ac:dyDescent="0.2">
      <c r="A17" s="158" t="s">
        <v>20</v>
      </c>
      <c r="B17" s="158">
        <v>0.7</v>
      </c>
      <c r="C17" s="159">
        <f>D27</f>
        <v>0.19065893255048985</v>
      </c>
      <c r="D17" s="165">
        <v>0.35</v>
      </c>
      <c r="E17" s="165">
        <v>0.15</v>
      </c>
      <c r="F17" s="165">
        <f>(1-D17-E17)/6</f>
        <v>8.3333333333333329E-2</v>
      </c>
      <c r="G17" s="165">
        <f>F17</f>
        <v>8.3333333333333329E-2</v>
      </c>
      <c r="H17" s="165">
        <f t="shared" ref="H17:K17" si="3">G17</f>
        <v>8.3333333333333329E-2</v>
      </c>
      <c r="I17" s="165">
        <f t="shared" si="3"/>
        <v>8.3333333333333329E-2</v>
      </c>
      <c r="J17" s="165">
        <f t="shared" si="3"/>
        <v>8.3333333333333329E-2</v>
      </c>
      <c r="K17" s="165">
        <f t="shared" si="3"/>
        <v>8.3333333333333329E-2</v>
      </c>
      <c r="L17" s="158">
        <f>SUM(D17:K17)</f>
        <v>1.0000000000000002</v>
      </c>
    </row>
    <row r="18" spans="1:12" x14ac:dyDescent="0.2">
      <c r="B18" s="158" t="s">
        <v>238</v>
      </c>
      <c r="D18" s="158">
        <f>D15*$C$15+D16*$C$16+D17*$C17</f>
        <v>0.2879089590775652</v>
      </c>
      <c r="E18" s="158">
        <f t="shared" ref="E18:K18" si="4">E15*$C$15+E16*$C$16+E17*$C17</f>
        <v>0.2497771725674672</v>
      </c>
      <c r="F18" s="158">
        <f t="shared" si="4"/>
        <v>0.18995891250781077</v>
      </c>
      <c r="G18" s="158">
        <f t="shared" si="4"/>
        <v>0.18995891250781077</v>
      </c>
      <c r="H18" s="158">
        <f t="shared" si="4"/>
        <v>2.5309777290465581E-2</v>
      </c>
      <c r="I18" s="158">
        <f t="shared" si="4"/>
        <v>2.5309777290465581E-2</v>
      </c>
      <c r="J18" s="158">
        <f t="shared" si="4"/>
        <v>1.5888244379207488E-2</v>
      </c>
      <c r="K18" s="158">
        <f t="shared" si="4"/>
        <v>1.5888244379207488E-2</v>
      </c>
    </row>
    <row r="19" spans="1:12" x14ac:dyDescent="0.2">
      <c r="B19" s="158" t="s">
        <v>242</v>
      </c>
      <c r="D19" s="158">
        <f>SUMPRODUCT(C15:C17,B15:B17)</f>
        <v>0.86186821348990206</v>
      </c>
    </row>
    <row r="20" spans="1:12" x14ac:dyDescent="0.2">
      <c r="B20" s="162" t="s">
        <v>240</v>
      </c>
      <c r="C20" s="162"/>
      <c r="D20" s="166">
        <f>SUMPRODUCT(D15:D17,$C15:$C17)</f>
        <v>0.2879089590775652</v>
      </c>
      <c r="E20" s="166">
        <f t="shared" ref="E20:K20" si="5">SUMPRODUCT(E15:E17,$C15:$C17)</f>
        <v>0.2497771725674672</v>
      </c>
      <c r="F20" s="166">
        <f t="shared" si="5"/>
        <v>0.18995891250781077</v>
      </c>
      <c r="G20" s="166">
        <f t="shared" si="5"/>
        <v>0.18995891250781077</v>
      </c>
      <c r="H20" s="166">
        <f t="shared" si="5"/>
        <v>2.5309777290465581E-2</v>
      </c>
      <c r="I20" s="166">
        <f t="shared" si="5"/>
        <v>2.5309777290465581E-2</v>
      </c>
      <c r="J20" s="166">
        <f t="shared" si="5"/>
        <v>1.5888244379207488E-2</v>
      </c>
      <c r="K20" s="166">
        <f t="shared" si="5"/>
        <v>1.5888244379207488E-2</v>
      </c>
      <c r="L20" s="164">
        <f>SUM(D20:K20)</f>
        <v>1</v>
      </c>
    </row>
    <row r="21" spans="1:12" x14ac:dyDescent="0.2">
      <c r="B21" s="162"/>
      <c r="C21" s="162"/>
      <c r="D21" s="167">
        <v>0.2879089590775652</v>
      </c>
      <c r="E21" s="167">
        <v>0.2497771725674672</v>
      </c>
      <c r="F21" s="167">
        <v>0.18995891250781077</v>
      </c>
      <c r="G21" s="167">
        <v>0.18995891250781077</v>
      </c>
      <c r="H21" s="167">
        <v>2.5309777290465581E-2</v>
      </c>
      <c r="I21" s="167">
        <v>2.5309777290465581E-2</v>
      </c>
      <c r="J21" s="167">
        <v>1.5888244379207488E-2</v>
      </c>
      <c r="K21" s="167">
        <v>1.5888244379207488E-2</v>
      </c>
      <c r="L21" s="164">
        <f>SUM(D21:K21)</f>
        <v>1</v>
      </c>
    </row>
    <row r="22" spans="1:12" x14ac:dyDescent="0.2">
      <c r="A22" s="158" t="s">
        <v>243</v>
      </c>
    </row>
    <row r="23" spans="1:12" x14ac:dyDescent="0.2">
      <c r="A23" s="158" t="s">
        <v>244</v>
      </c>
    </row>
    <row r="24" spans="1:12" x14ac:dyDescent="0.2">
      <c r="C24" s="158" t="s">
        <v>111</v>
      </c>
    </row>
    <row r="25" spans="1:12" x14ac:dyDescent="0.2">
      <c r="B25" s="158" t="s">
        <v>34</v>
      </c>
      <c r="C25" s="158">
        <v>5654.6</v>
      </c>
    </row>
    <row r="26" spans="1:12" x14ac:dyDescent="0.2">
      <c r="B26" s="158" t="s">
        <v>245</v>
      </c>
      <c r="C26" s="158">
        <v>1065.5</v>
      </c>
      <c r="D26" s="158">
        <f>C26/C25</f>
        <v>0.18843065822516181</v>
      </c>
    </row>
    <row r="27" spans="1:12" x14ac:dyDescent="0.2">
      <c r="B27" s="158" t="s">
        <v>246</v>
      </c>
      <c r="C27" s="158">
        <v>1078.0999999999999</v>
      </c>
      <c r="D27" s="158">
        <f>C27/C25</f>
        <v>0.19065893255048985</v>
      </c>
    </row>
    <row r="28" spans="1:12" x14ac:dyDescent="0.2">
      <c r="B28" s="158" t="s">
        <v>156</v>
      </c>
      <c r="D28" s="158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workbookViewId="0">
      <selection activeCell="H13" sqref="H13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30</v>
      </c>
      <c r="B1" s="5"/>
      <c r="C1" s="5"/>
      <c r="D1" s="5"/>
      <c r="E1" s="5"/>
    </row>
    <row r="2" spans="1:19" s="6" customFormat="1" ht="15" customHeight="1" x14ac:dyDescent="0.15">
      <c r="A2" s="7" t="s">
        <v>31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329" t="s">
        <v>32</v>
      </c>
      <c r="B5" s="330"/>
      <c r="C5" s="330"/>
      <c r="D5" s="330"/>
      <c r="E5" s="330"/>
      <c r="F5" s="330"/>
      <c r="G5" s="330"/>
      <c r="H5" s="330"/>
      <c r="I5" s="330"/>
      <c r="J5" s="330"/>
      <c r="K5" s="330"/>
      <c r="L5" s="330"/>
      <c r="M5" s="330"/>
      <c r="N5" s="330"/>
      <c r="O5" s="330"/>
      <c r="P5" s="330"/>
      <c r="Q5" s="330"/>
      <c r="R5" s="330"/>
      <c r="S5" s="330"/>
    </row>
    <row r="6" spans="1:19" s="6" customFormat="1" ht="15" customHeight="1" x14ac:dyDescent="0.15">
      <c r="A6" s="331" t="s">
        <v>33</v>
      </c>
      <c r="B6" s="331"/>
      <c r="C6" s="331"/>
      <c r="D6" s="331"/>
      <c r="E6" s="331"/>
      <c r="F6" s="331"/>
      <c r="G6" s="331"/>
      <c r="H6" s="331"/>
      <c r="I6" s="331"/>
      <c r="J6" s="331"/>
      <c r="K6" s="331"/>
      <c r="L6" s="331"/>
      <c r="M6" s="331"/>
      <c r="N6" s="331"/>
      <c r="O6" s="331"/>
      <c r="P6" s="331"/>
      <c r="Q6" s="331"/>
      <c r="R6" s="331"/>
      <c r="S6" s="331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30"/>
      <c r="B8" s="130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1"/>
      <c r="R8" s="332"/>
      <c r="S8" s="333"/>
    </row>
    <row r="9" spans="1:19" s="6" customFormat="1" ht="15" customHeight="1" x14ac:dyDescent="0.15">
      <c r="A9" s="130"/>
      <c r="B9" s="130"/>
      <c r="C9" s="14"/>
      <c r="D9" s="14"/>
      <c r="E9" s="14"/>
      <c r="F9" s="15" t="s">
        <v>35</v>
      </c>
      <c r="G9" s="16"/>
      <c r="H9" s="17"/>
      <c r="I9" s="16"/>
      <c r="J9" s="17"/>
      <c r="K9" s="131"/>
      <c r="L9" s="131"/>
      <c r="M9" s="131"/>
      <c r="N9" s="131"/>
      <c r="O9" s="131"/>
      <c r="P9" s="131"/>
      <c r="Q9" s="17"/>
      <c r="R9" s="18"/>
      <c r="S9" s="18"/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15">
      <c r="A11" s="130"/>
      <c r="B11" s="28" t="s">
        <v>2</v>
      </c>
      <c r="C11" s="28"/>
      <c r="D11" s="28"/>
      <c r="E11" s="28"/>
      <c r="F11" s="25">
        <v>409.42099999999999</v>
      </c>
      <c r="G11" s="25">
        <v>466.24400000000003</v>
      </c>
      <c r="H11" s="25">
        <v>537.41499999999996</v>
      </c>
      <c r="I11" s="25">
        <v>516.01800000000003</v>
      </c>
      <c r="J11" s="25">
        <v>494.83100000000002</v>
      </c>
      <c r="K11" s="25">
        <v>517.13499999999999</v>
      </c>
      <c r="L11" s="25">
        <v>545.38900000000001</v>
      </c>
      <c r="M11" s="25"/>
      <c r="N11" s="25"/>
      <c r="O11" s="25"/>
      <c r="P11" s="25"/>
      <c r="Q11" s="25"/>
      <c r="R11" s="25"/>
      <c r="S11" s="25"/>
    </row>
    <row r="12" spans="1:19" s="6" customFormat="1" ht="15" customHeight="1" x14ac:dyDescent="0.15">
      <c r="A12" s="130"/>
      <c r="B12" s="28"/>
      <c r="C12" s="28"/>
      <c r="D12" s="28" t="s">
        <v>221</v>
      </c>
      <c r="E12" s="28" t="s">
        <v>219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227</v>
      </c>
      <c r="O12" s="25"/>
      <c r="P12" s="25"/>
      <c r="Q12" s="25"/>
      <c r="R12" s="25"/>
      <c r="S12" s="25"/>
    </row>
    <row r="13" spans="1:19" s="6" customFormat="1" ht="15" customHeight="1" x14ac:dyDescent="0.15">
      <c r="A13" s="130" t="s">
        <v>220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657.17435271149407</v>
      </c>
      <c r="H13" s="25">
        <f t="shared" si="0"/>
        <v>725.7777402928042</v>
      </c>
      <c r="I13" s="25">
        <f t="shared" si="0"/>
        <v>727.33117238501666</v>
      </c>
      <c r="J13" s="25">
        <f t="shared" si="0"/>
        <v>729.33608178939096</v>
      </c>
      <c r="K13" s="25">
        <f t="shared" si="0"/>
        <v>762.21015792494131</v>
      </c>
      <c r="L13" s="25">
        <f t="shared" si="0"/>
        <v>803.85399522470118</v>
      </c>
      <c r="M13" s="25"/>
      <c r="N13" s="25" t="s">
        <v>226</v>
      </c>
      <c r="O13" s="25"/>
      <c r="P13" s="25"/>
      <c r="Q13" s="25"/>
      <c r="R13" s="25"/>
      <c r="S13" s="25"/>
    </row>
    <row r="14" spans="1:19" x14ac:dyDescent="0.2">
      <c r="F14" s="25"/>
      <c r="G14" s="25"/>
      <c r="H14" s="25"/>
      <c r="I14" s="25"/>
      <c r="J14" s="25"/>
      <c r="K14" s="25"/>
      <c r="L14" s="25"/>
      <c r="M14" s="25"/>
      <c r="N14" t="s">
        <v>225</v>
      </c>
    </row>
    <row r="15" spans="1:19" x14ac:dyDescent="0.2">
      <c r="A15" t="s">
        <v>224</v>
      </c>
      <c r="F15" s="94">
        <f>main!K96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" x14ac:dyDescent="0.2">
      <c r="A19" t="s">
        <v>222</v>
      </c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baseColWidth="10" defaultColWidth="8.83203125" defaultRowHeight="15" x14ac:dyDescent="0.2"/>
  <cols>
    <col min="2" max="2" width="23.6640625" customWidth="1"/>
    <col min="4" max="6" width="9.33203125" bestFit="1" customWidth="1"/>
    <col min="7" max="7" width="9.1640625" style="118" customWidth="1"/>
    <col min="8" max="10" width="9.33203125" style="95" bestFit="1" customWidth="1"/>
    <col min="11" max="11" width="9.33203125" style="118" bestFit="1" customWidth="1"/>
  </cols>
  <sheetData>
    <row r="1" spans="1:32" ht="19" x14ac:dyDescent="0.25">
      <c r="A1" s="316" t="s">
        <v>208</v>
      </c>
      <c r="B1" s="316"/>
      <c r="C1" s="35"/>
      <c r="H1"/>
      <c r="I1"/>
      <c r="J1"/>
      <c r="X1" t="s">
        <v>28</v>
      </c>
      <c r="Z1" s="334" t="s">
        <v>84</v>
      </c>
      <c r="AA1" s="334"/>
      <c r="AB1" s="334"/>
      <c r="AC1" s="315"/>
      <c r="AD1" s="315"/>
      <c r="AE1" s="315"/>
      <c r="AF1" s="315"/>
    </row>
    <row r="2" spans="1:32" x14ac:dyDescent="0.2">
      <c r="A2" s="335" t="s">
        <v>192</v>
      </c>
      <c r="B2" s="107"/>
      <c r="C2" t="s">
        <v>193</v>
      </c>
    </row>
    <row r="3" spans="1:32" x14ac:dyDescent="0.2">
      <c r="A3" s="335"/>
      <c r="B3" s="108"/>
      <c r="C3" t="s">
        <v>194</v>
      </c>
    </row>
    <row r="4" spans="1:32" x14ac:dyDescent="0.2">
      <c r="A4" s="335"/>
      <c r="B4" s="109"/>
      <c r="C4" t="s">
        <v>195</v>
      </c>
    </row>
    <row r="5" spans="1:32" x14ac:dyDescent="0.2">
      <c r="A5" s="335"/>
      <c r="B5" s="98"/>
      <c r="C5" t="s">
        <v>182</v>
      </c>
    </row>
    <row r="7" spans="1:32" x14ac:dyDescent="0.2">
      <c r="C7" s="325" t="s">
        <v>160</v>
      </c>
      <c r="D7" s="326"/>
      <c r="E7" s="326"/>
      <c r="F7" s="327"/>
      <c r="G7" s="325" t="s">
        <v>166</v>
      </c>
      <c r="H7" s="326"/>
      <c r="I7" s="326"/>
      <c r="J7" s="327"/>
      <c r="K7" s="325" t="s">
        <v>177</v>
      </c>
      <c r="L7" s="326"/>
      <c r="M7" s="326"/>
      <c r="N7" s="327"/>
    </row>
    <row r="8" spans="1:32" s="2" customFormat="1" x14ac:dyDescent="0.2">
      <c r="B8" s="2" t="s">
        <v>200</v>
      </c>
      <c r="C8" s="96" t="s">
        <v>5</v>
      </c>
      <c r="D8" s="96" t="s">
        <v>6</v>
      </c>
      <c r="E8" s="96" t="s">
        <v>7</v>
      </c>
      <c r="F8" s="96" t="s">
        <v>8</v>
      </c>
      <c r="G8" s="119" t="s">
        <v>5</v>
      </c>
      <c r="H8" s="96" t="s">
        <v>6</v>
      </c>
      <c r="I8" s="96" t="s">
        <v>7</v>
      </c>
      <c r="J8" s="96" t="s">
        <v>8</v>
      </c>
      <c r="K8" s="124" t="s">
        <v>5</v>
      </c>
      <c r="L8" s="96"/>
      <c r="M8" s="96"/>
      <c r="N8" s="96"/>
    </row>
    <row r="9" spans="1:32" s="2" customFormat="1" ht="19" x14ac:dyDescent="0.25">
      <c r="A9" s="106" t="s">
        <v>165</v>
      </c>
      <c r="B9" s="106"/>
      <c r="C9" s="78"/>
      <c r="D9" s="78"/>
      <c r="E9" s="78"/>
      <c r="F9" s="78"/>
      <c r="G9" s="120"/>
      <c r="H9" s="78"/>
      <c r="I9" s="78"/>
      <c r="J9" s="78"/>
      <c r="K9" s="125"/>
      <c r="L9" s="78"/>
      <c r="M9" s="78"/>
      <c r="N9" s="78"/>
    </row>
    <row r="10" spans="1:32" ht="16" x14ac:dyDescent="0.2">
      <c r="B10" s="86" t="s">
        <v>171</v>
      </c>
      <c r="D10">
        <v>179.27799999999999</v>
      </c>
      <c r="E10">
        <v>61.09</v>
      </c>
      <c r="F10">
        <v>63.009813793412498</v>
      </c>
      <c r="G10" s="118">
        <v>65.414387073439201</v>
      </c>
      <c r="H10">
        <v>67.818960353465997</v>
      </c>
      <c r="I10">
        <v>70.223533633492494</v>
      </c>
      <c r="J10">
        <v>72.628106913519204</v>
      </c>
      <c r="K10" s="118">
        <v>71.905190915813407</v>
      </c>
    </row>
    <row r="11" spans="1:32" ht="16" x14ac:dyDescent="0.2">
      <c r="B11" s="86" t="s">
        <v>172</v>
      </c>
      <c r="D11">
        <v>186.02099999999999</v>
      </c>
      <c r="E11">
        <v>465.21800000000002</v>
      </c>
      <c r="F11">
        <v>405.08098280863499</v>
      </c>
      <c r="G11" s="118">
        <v>404.20608325604502</v>
      </c>
      <c r="H11">
        <v>395.88157173561501</v>
      </c>
      <c r="I11">
        <v>388.889110037249</v>
      </c>
      <c r="J11">
        <v>377.60448780112102</v>
      </c>
      <c r="K11" s="118">
        <v>397.47458006632002</v>
      </c>
    </row>
    <row r="12" spans="1:32" ht="16" x14ac:dyDescent="0.2">
      <c r="B12" s="86" t="s">
        <v>173</v>
      </c>
      <c r="D12">
        <v>1862.4</v>
      </c>
      <c r="E12">
        <v>1816.2</v>
      </c>
      <c r="F12">
        <v>1895.1488054536601</v>
      </c>
      <c r="G12" s="118">
        <v>1933.47191075455</v>
      </c>
      <c r="H12">
        <v>1965.5383751259999</v>
      </c>
      <c r="I12">
        <v>1996.7932691808101</v>
      </c>
      <c r="J12">
        <v>2030.19976826113</v>
      </c>
      <c r="K12" s="118">
        <v>2052.5745731536199</v>
      </c>
    </row>
    <row r="13" spans="1:32" ht="16" x14ac:dyDescent="0.2">
      <c r="B13" s="86" t="s">
        <v>174</v>
      </c>
      <c r="D13">
        <v>62.7</v>
      </c>
      <c r="E13">
        <v>54.4</v>
      </c>
      <c r="F13">
        <v>56.7647258103067</v>
      </c>
      <c r="G13" s="118">
        <v>57.912604308472503</v>
      </c>
      <c r="H13">
        <v>58.8730798407964</v>
      </c>
      <c r="I13">
        <v>59.809246692784903</v>
      </c>
      <c r="J13">
        <v>60.809859813569702</v>
      </c>
      <c r="K13" s="118">
        <v>61.480044477236603</v>
      </c>
    </row>
    <row r="14" spans="1:32" ht="16" x14ac:dyDescent="0.2">
      <c r="B14" s="86" t="s">
        <v>175</v>
      </c>
      <c r="D14">
        <v>0.6</v>
      </c>
      <c r="E14">
        <v>0.6</v>
      </c>
      <c r="F14">
        <v>0.60199647986336002</v>
      </c>
      <c r="G14" s="118">
        <v>0.60396796467365799</v>
      </c>
      <c r="H14">
        <v>0.60601443464314297</v>
      </c>
      <c r="I14">
        <v>0.60820462616773796</v>
      </c>
      <c r="J14">
        <v>0.61056978306376897</v>
      </c>
      <c r="K14" s="118">
        <v>0.61311927847613501</v>
      </c>
    </row>
    <row r="15" spans="1:32" ht="16" x14ac:dyDescent="0.2">
      <c r="B15" s="86" t="s">
        <v>176</v>
      </c>
      <c r="D15">
        <v>1249.5219999999999</v>
      </c>
      <c r="E15">
        <v>1420.71</v>
      </c>
      <c r="F15">
        <v>1460.7042835549901</v>
      </c>
      <c r="G15" s="118">
        <v>1471.3575997539101</v>
      </c>
      <c r="H15">
        <v>1482.0109159528199</v>
      </c>
      <c r="I15">
        <v>1492.66423215174</v>
      </c>
      <c r="J15">
        <v>1503.31754835066</v>
      </c>
      <c r="K15" s="118">
        <v>1536.3491403461601</v>
      </c>
    </row>
    <row r="16" spans="1:32" ht="16" x14ac:dyDescent="0.2">
      <c r="B16" s="86" t="s">
        <v>167</v>
      </c>
      <c r="D16">
        <v>1574.779</v>
      </c>
      <c r="E16">
        <v>3690.1819999999998</v>
      </c>
      <c r="F16">
        <v>4022.3023522170502</v>
      </c>
      <c r="G16" s="118">
        <v>3550.4202533538501</v>
      </c>
      <c r="H16">
        <v>3177.8359541396499</v>
      </c>
      <c r="I16">
        <v>2876.7404548976301</v>
      </c>
      <c r="J16">
        <v>2665.0830973586999</v>
      </c>
      <c r="K16" s="118">
        <v>2744.7441275841602</v>
      </c>
    </row>
    <row r="17" spans="1:12" ht="16" x14ac:dyDescent="0.2">
      <c r="B17" s="86" t="s">
        <v>168</v>
      </c>
      <c r="D17">
        <v>3376.8</v>
      </c>
      <c r="E17">
        <v>3097</v>
      </c>
      <c r="F17">
        <v>3089.7317557359202</v>
      </c>
      <c r="G17" s="118">
        <v>3117.4031672383799</v>
      </c>
      <c r="H17">
        <v>3145.07457874083</v>
      </c>
      <c r="I17">
        <v>3172.7459902432902</v>
      </c>
      <c r="J17">
        <v>3200.4174017457399</v>
      </c>
      <c r="K17" s="118">
        <v>3246.3114308992499</v>
      </c>
    </row>
    <row r="18" spans="1:12" ht="16" x14ac:dyDescent="0.2">
      <c r="B18" s="86" t="s">
        <v>169</v>
      </c>
      <c r="D18">
        <v>180.5</v>
      </c>
      <c r="E18">
        <v>173.4</v>
      </c>
      <c r="F18">
        <v>179.704320447226</v>
      </c>
      <c r="G18" s="118">
        <v>188.57281638621899</v>
      </c>
      <c r="H18">
        <v>197.44131232521099</v>
      </c>
      <c r="I18">
        <v>206.30980826420301</v>
      </c>
      <c r="J18">
        <v>215.17830420319501</v>
      </c>
      <c r="K18" s="118">
        <v>252.77338989879101</v>
      </c>
    </row>
    <row r="19" spans="1:12" ht="16" x14ac:dyDescent="0.2">
      <c r="B19" s="86" t="s">
        <v>170</v>
      </c>
      <c r="D19">
        <v>74.5</v>
      </c>
      <c r="E19">
        <v>1086.2</v>
      </c>
      <c r="F19">
        <v>1089.81429404597</v>
      </c>
      <c r="G19" s="118">
        <v>1093.3833387142099</v>
      </c>
      <c r="H19">
        <v>1097.08813151564</v>
      </c>
      <c r="I19">
        <v>1101.05310823899</v>
      </c>
      <c r="J19">
        <v>1105.3348306064399</v>
      </c>
      <c r="K19" s="118">
        <v>1109.9502671346299</v>
      </c>
    </row>
    <row r="20" spans="1:12" x14ac:dyDescent="0.2">
      <c r="B20" t="s">
        <v>196</v>
      </c>
      <c r="D20">
        <v>182.97800000000001</v>
      </c>
      <c r="E20">
        <v>181.51</v>
      </c>
      <c r="F20">
        <v>793.87394730358403</v>
      </c>
      <c r="G20" s="118">
        <v>781.13535139200803</v>
      </c>
      <c r="H20">
        <v>763.35143409724697</v>
      </c>
      <c r="I20">
        <v>746.40840369968305</v>
      </c>
      <c r="J20">
        <v>730.58655583171605</v>
      </c>
      <c r="K20" s="118">
        <v>748.69791667930303</v>
      </c>
    </row>
    <row r="23" spans="1:12" ht="19" x14ac:dyDescent="0.25">
      <c r="A23" s="110" t="s">
        <v>185</v>
      </c>
      <c r="B23" s="110"/>
    </row>
    <row r="24" spans="1:12" x14ac:dyDescent="0.2">
      <c r="B24" t="s">
        <v>186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1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1">
        <f t="shared" si="0"/>
        <v>239.86837218421365</v>
      </c>
      <c r="L24" s="100"/>
    </row>
    <row r="25" spans="1:12" x14ac:dyDescent="0.2">
      <c r="B25" t="s">
        <v>187</v>
      </c>
      <c r="D25" s="102"/>
      <c r="E25" s="102">
        <v>-142.69999999999999</v>
      </c>
      <c r="F25" s="102">
        <v>-128.40406144067796</v>
      </c>
      <c r="G25" s="122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2">
        <v>-46.377972457627124</v>
      </c>
    </row>
    <row r="26" spans="1:12" x14ac:dyDescent="0.2">
      <c r="B26" t="s">
        <v>180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2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2">
        <f t="shared" si="1"/>
        <v>193.49039972658653</v>
      </c>
    </row>
    <row r="27" spans="1:12" x14ac:dyDescent="0.2">
      <c r="B27" t="s">
        <v>178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2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2">
        <f t="shared" si="2"/>
        <v>71.905190915813407</v>
      </c>
    </row>
    <row r="28" spans="1:12" s="97" customFormat="1" x14ac:dyDescent="0.2">
      <c r="B28" s="99" t="s">
        <v>179</v>
      </c>
      <c r="D28" s="103"/>
      <c r="E28" s="103"/>
      <c r="F28" s="103">
        <f t="shared" ref="F28:K28" si="3">F26-F27</f>
        <v>18.780427482549435</v>
      </c>
      <c r="G28" s="123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3">
        <f t="shared" si="3"/>
        <v>121.58520881077312</v>
      </c>
    </row>
    <row r="29" spans="1:12" x14ac:dyDescent="0.2">
      <c r="D29" s="102"/>
      <c r="E29" s="102"/>
      <c r="F29" s="102"/>
      <c r="G29" s="122"/>
      <c r="H29" s="104"/>
      <c r="I29" s="104"/>
      <c r="J29" s="104"/>
      <c r="K29" s="122"/>
    </row>
    <row r="30" spans="1:12" x14ac:dyDescent="0.2">
      <c r="D30" s="102"/>
      <c r="E30" s="102"/>
      <c r="F30" s="102"/>
      <c r="G30" s="122"/>
      <c r="H30" s="104"/>
      <c r="I30" s="104"/>
      <c r="J30" s="104"/>
      <c r="K30" s="122"/>
    </row>
    <row r="31" spans="1:12" ht="19" x14ac:dyDescent="0.25">
      <c r="A31" s="110" t="s">
        <v>188</v>
      </c>
      <c r="B31" s="110"/>
    </row>
    <row r="32" spans="1:12" x14ac:dyDescent="0.2">
      <c r="B32" t="s">
        <v>186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1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1">
        <f t="shared" si="4"/>
        <v>148.84423247697106</v>
      </c>
      <c r="L32" s="100"/>
    </row>
    <row r="33" spans="1:11" x14ac:dyDescent="0.2">
      <c r="B33" t="s">
        <v>187</v>
      </c>
      <c r="D33" s="102">
        <v>16</v>
      </c>
      <c r="E33" s="102">
        <v>325</v>
      </c>
      <c r="F33" s="102">
        <f>305</f>
        <v>305</v>
      </c>
      <c r="G33" s="122">
        <f>47</f>
        <v>47</v>
      </c>
      <c r="H33" s="102">
        <v>47</v>
      </c>
      <c r="I33" s="102">
        <v>47</v>
      </c>
      <c r="J33" s="102">
        <v>47</v>
      </c>
      <c r="K33" s="122">
        <v>43</v>
      </c>
    </row>
    <row r="34" spans="1:11" x14ac:dyDescent="0.2">
      <c r="B34" t="s">
        <v>180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2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2">
        <f t="shared" si="5"/>
        <v>191.84423247697106</v>
      </c>
    </row>
    <row r="35" spans="1:11" x14ac:dyDescent="0.2">
      <c r="B35" t="s">
        <v>178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2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2">
        <f t="shared" si="6"/>
        <v>397.47458006632002</v>
      </c>
    </row>
    <row r="36" spans="1:11" s="97" customFormat="1" x14ac:dyDescent="0.2">
      <c r="B36" s="99" t="s">
        <v>179</v>
      </c>
      <c r="D36" s="103"/>
      <c r="E36" s="103"/>
      <c r="F36" s="103">
        <f t="shared" ref="F36:K36" si="7">F34-F35</f>
        <v>41.53919719136502</v>
      </c>
      <c r="G36" s="123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3">
        <f t="shared" si="7"/>
        <v>-205.63034758934896</v>
      </c>
    </row>
    <row r="37" spans="1:11" s="97" customFormat="1" x14ac:dyDescent="0.2">
      <c r="B37" s="99"/>
      <c r="D37" s="103"/>
      <c r="E37" s="103"/>
      <c r="F37" s="103"/>
      <c r="G37" s="123"/>
      <c r="H37" s="103"/>
      <c r="I37" s="103"/>
      <c r="J37" s="103"/>
      <c r="K37" s="123"/>
    </row>
    <row r="38" spans="1:11" s="97" customFormat="1" x14ac:dyDescent="0.2">
      <c r="B38" s="99"/>
      <c r="D38" s="103"/>
      <c r="E38" s="103"/>
      <c r="F38" s="103"/>
      <c r="G38" s="123"/>
      <c r="H38" s="103"/>
      <c r="I38" s="103"/>
      <c r="J38" s="103"/>
      <c r="K38" s="123"/>
    </row>
    <row r="39" spans="1:11" ht="19" x14ac:dyDescent="0.25">
      <c r="A39" s="110" t="s">
        <v>184</v>
      </c>
      <c r="B39" s="110"/>
      <c r="D39" s="102"/>
      <c r="E39" s="102"/>
      <c r="F39" s="102"/>
      <c r="G39" s="122"/>
      <c r="H39" s="104"/>
      <c r="I39" s="104"/>
      <c r="J39" s="104"/>
      <c r="K39" s="122"/>
    </row>
    <row r="40" spans="1:11" x14ac:dyDescent="0.2">
      <c r="B40" t="s">
        <v>180</v>
      </c>
      <c r="D40" s="100">
        <v>1835.9308286849882</v>
      </c>
      <c r="E40" s="100">
        <v>1798.0730623309571</v>
      </c>
      <c r="F40" s="100">
        <v>1841.3301065807598</v>
      </c>
      <c r="G40" s="121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1">
        <v>1892.015583446143</v>
      </c>
    </row>
    <row r="41" spans="1:11" x14ac:dyDescent="0.2">
      <c r="B41" t="s">
        <v>181</v>
      </c>
      <c r="D41" s="101">
        <v>1842.1</v>
      </c>
      <c r="E41" s="101">
        <v>1797.1</v>
      </c>
      <c r="F41" s="102">
        <f>F40/E40*E41</f>
        <v>1840.3336348560522</v>
      </c>
      <c r="G41" s="122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2">
        <f t="shared" si="8"/>
        <v>1890.9916822863934</v>
      </c>
    </row>
    <row r="42" spans="1:11" x14ac:dyDescent="0.2">
      <c r="B42" t="s">
        <v>178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2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2">
        <f t="shared" si="9"/>
        <v>2052.5745731536199</v>
      </c>
    </row>
    <row r="43" spans="1:11" s="97" customFormat="1" x14ac:dyDescent="0.2">
      <c r="B43" s="99" t="s">
        <v>179</v>
      </c>
      <c r="D43" s="103"/>
      <c r="E43" s="103"/>
      <c r="F43" s="103">
        <f t="shared" ref="F43:K43" si="10">F41-F42</f>
        <v>-54.815170597607903</v>
      </c>
      <c r="G43" s="123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3">
        <f t="shared" si="10"/>
        <v>-161.58289086722652</v>
      </c>
    </row>
    <row r="44" spans="1:11" x14ac:dyDescent="0.2">
      <c r="D44" s="102"/>
      <c r="E44" s="102"/>
      <c r="F44" s="102"/>
      <c r="G44" s="122"/>
      <c r="H44" s="104"/>
      <c r="I44" s="104"/>
      <c r="J44" s="104"/>
      <c r="K44" s="122"/>
    </row>
    <row r="45" spans="1:11" x14ac:dyDescent="0.2">
      <c r="D45" s="102"/>
      <c r="E45" s="102"/>
      <c r="F45" s="102"/>
      <c r="G45" s="122"/>
      <c r="H45" s="104"/>
      <c r="I45" s="104"/>
      <c r="J45" s="104"/>
      <c r="K45" s="122"/>
    </row>
    <row r="46" spans="1:11" ht="19" x14ac:dyDescent="0.25">
      <c r="A46" s="110" t="s">
        <v>183</v>
      </c>
      <c r="B46" s="110"/>
      <c r="D46" s="102"/>
      <c r="E46" s="102"/>
      <c r="F46" s="102"/>
      <c r="G46" s="122"/>
      <c r="H46" s="104"/>
      <c r="I46" s="104"/>
      <c r="J46" s="104"/>
      <c r="K46" s="122"/>
    </row>
    <row r="47" spans="1:11" x14ac:dyDescent="0.2">
      <c r="B47" t="s">
        <v>180</v>
      </c>
      <c r="D47" s="100">
        <v>58.885625915856416</v>
      </c>
      <c r="E47" s="100">
        <v>51.906166397249173</v>
      </c>
      <c r="F47" s="100">
        <v>67.757273586954582</v>
      </c>
      <c r="G47" s="121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1">
        <v>74.827748020610457</v>
      </c>
    </row>
    <row r="48" spans="1:11" x14ac:dyDescent="0.2">
      <c r="B48" t="s">
        <v>181</v>
      </c>
      <c r="D48" s="101">
        <v>62.7</v>
      </c>
      <c r="E48" s="101">
        <v>67.833333333333329</v>
      </c>
      <c r="F48" s="102">
        <f>F47/E47*E48</f>
        <v>88.548279404917352</v>
      </c>
      <c r="G48" s="122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2">
        <f t="shared" si="11"/>
        <v>97.788296196225005</v>
      </c>
    </row>
    <row r="49" spans="1:12" x14ac:dyDescent="0.2">
      <c r="B49" t="s">
        <v>178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2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2">
        <f t="shared" si="12"/>
        <v>61.480044477236603</v>
      </c>
    </row>
    <row r="50" spans="1:12" s="97" customFormat="1" x14ac:dyDescent="0.2">
      <c r="B50" s="99" t="s">
        <v>179</v>
      </c>
      <c r="D50" s="103"/>
      <c r="E50" s="103"/>
      <c r="F50" s="103">
        <f t="shared" ref="F50:K50" si="13">F48-F49</f>
        <v>31.783553594610652</v>
      </c>
      <c r="G50" s="123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3">
        <f t="shared" si="13"/>
        <v>36.308251718988402</v>
      </c>
    </row>
    <row r="51" spans="1:12" x14ac:dyDescent="0.2">
      <c r="D51" s="102"/>
      <c r="E51" s="102"/>
      <c r="F51" s="102"/>
      <c r="G51" s="122"/>
      <c r="H51" s="104"/>
      <c r="I51" s="104"/>
      <c r="J51" s="104"/>
      <c r="K51" s="122"/>
    </row>
    <row r="53" spans="1:12" ht="19" x14ac:dyDescent="0.25">
      <c r="A53" s="105" t="s">
        <v>189</v>
      </c>
      <c r="B53" s="105"/>
    </row>
    <row r="54" spans="1:12" x14ac:dyDescent="0.2">
      <c r="B54" t="s">
        <v>186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1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1">
        <f t="shared" si="14"/>
        <v>1389.2655192702591</v>
      </c>
      <c r="L54" s="100"/>
    </row>
    <row r="55" spans="1:12" x14ac:dyDescent="0.2">
      <c r="B55" t="s">
        <v>187</v>
      </c>
      <c r="D55" s="102"/>
      <c r="E55" s="100">
        <v>153.80000000000001</v>
      </c>
      <c r="F55" s="100">
        <v>286.06375423728815</v>
      </c>
      <c r="G55" s="121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1">
        <v>77.568110169491518</v>
      </c>
    </row>
    <row r="56" spans="1:12" x14ac:dyDescent="0.2">
      <c r="B56" t="s">
        <v>180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2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2">
        <f t="shared" si="15"/>
        <v>1466.8336294397507</v>
      </c>
    </row>
    <row r="57" spans="1:12" x14ac:dyDescent="0.2">
      <c r="B57" t="s">
        <v>178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2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2">
        <f t="shared" si="16"/>
        <v>1536.3491403461601</v>
      </c>
    </row>
    <row r="58" spans="1:12" s="97" customFormat="1" x14ac:dyDescent="0.2">
      <c r="B58" s="99" t="s">
        <v>179</v>
      </c>
      <c r="D58" s="103"/>
      <c r="E58" s="103"/>
      <c r="F58" s="103">
        <f t="shared" ref="F58:K58" si="17">F56-F57</f>
        <v>146.22205438907508</v>
      </c>
      <c r="G58" s="123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3">
        <f t="shared" si="17"/>
        <v>-69.515510906409418</v>
      </c>
    </row>
    <row r="59" spans="1:12" x14ac:dyDescent="0.2">
      <c r="D59" s="102"/>
      <c r="E59" s="102"/>
      <c r="F59" s="102"/>
      <c r="G59" s="122"/>
      <c r="H59" s="104"/>
      <c r="I59" s="104"/>
      <c r="J59" s="104"/>
      <c r="K59" s="122"/>
    </row>
    <row r="60" spans="1:12" x14ac:dyDescent="0.2">
      <c r="D60" s="102"/>
      <c r="E60" s="102"/>
      <c r="F60" s="102"/>
      <c r="G60" s="122"/>
      <c r="H60" s="104"/>
      <c r="I60" s="104"/>
      <c r="J60" s="104"/>
      <c r="K60" s="122"/>
    </row>
    <row r="61" spans="1:12" ht="19" x14ac:dyDescent="0.25">
      <c r="A61" s="105" t="s">
        <v>190</v>
      </c>
      <c r="B61" s="105"/>
    </row>
    <row r="62" spans="1:12" x14ac:dyDescent="0.2">
      <c r="B62" t="s">
        <v>186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1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1">
        <f t="shared" si="18"/>
        <v>1921.5847294471066</v>
      </c>
      <c r="L62" s="100"/>
    </row>
    <row r="63" spans="1:12" x14ac:dyDescent="0.2">
      <c r="B63" t="s">
        <v>187</v>
      </c>
      <c r="D63" s="102"/>
      <c r="E63" s="100">
        <v>1879.9622614871093</v>
      </c>
      <c r="F63" s="100">
        <v>528.73890499481013</v>
      </c>
      <c r="G63" s="121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1">
        <v>85.98974092242338</v>
      </c>
    </row>
    <row r="64" spans="1:12" x14ac:dyDescent="0.2">
      <c r="B64" t="s">
        <v>180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2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2">
        <f t="shared" si="19"/>
        <v>2007.57447036953</v>
      </c>
    </row>
    <row r="65" spans="1:11" x14ac:dyDescent="0.2">
      <c r="B65" t="s">
        <v>178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2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2">
        <f t="shared" si="20"/>
        <v>2744.7441275841602</v>
      </c>
    </row>
    <row r="66" spans="1:11" s="97" customFormat="1" x14ac:dyDescent="0.2">
      <c r="B66" s="99" t="s">
        <v>179</v>
      </c>
      <c r="D66" s="103"/>
      <c r="E66" s="103"/>
      <c r="F66" s="103">
        <f t="shared" ref="F66:K66" si="21">F64-F65</f>
        <v>-1665.2415113242209</v>
      </c>
      <c r="G66" s="123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3">
        <f t="shared" si="21"/>
        <v>-737.16965721463021</v>
      </c>
    </row>
    <row r="67" spans="1:11" s="97" customFormat="1" x14ac:dyDescent="0.2">
      <c r="B67" s="99"/>
      <c r="D67" s="103"/>
      <c r="E67" s="103"/>
      <c r="F67" s="103"/>
      <c r="G67" s="123"/>
      <c r="H67" s="103"/>
      <c r="I67" s="103"/>
      <c r="J67" s="103"/>
      <c r="K67" s="123"/>
    </row>
    <row r="68" spans="1:11" s="97" customFormat="1" x14ac:dyDescent="0.2">
      <c r="B68" s="99"/>
      <c r="D68" s="103"/>
      <c r="E68" s="103"/>
      <c r="F68" s="103"/>
      <c r="G68" s="123"/>
      <c r="H68" s="103"/>
      <c r="I68" s="103"/>
      <c r="J68" s="103"/>
      <c r="K68" s="123"/>
    </row>
    <row r="69" spans="1:11" ht="19" x14ac:dyDescent="0.25">
      <c r="A69" s="105" t="s">
        <v>191</v>
      </c>
      <c r="B69" s="105"/>
      <c r="D69" s="102"/>
      <c r="E69" s="102"/>
      <c r="F69" s="102"/>
      <c r="G69" s="122"/>
      <c r="H69" s="104"/>
      <c r="I69" s="104"/>
      <c r="J69" s="104"/>
      <c r="K69" s="122"/>
    </row>
    <row r="70" spans="1:11" x14ac:dyDescent="0.2">
      <c r="B70" t="s">
        <v>4</v>
      </c>
      <c r="D70" s="100"/>
      <c r="E70" s="102">
        <f>main!L50/1000</f>
        <v>1086.548</v>
      </c>
      <c r="F70" s="102">
        <f>main!M50/1000</f>
        <v>1213.48</v>
      </c>
      <c r="G70" s="102">
        <f>main!N50/1000</f>
        <v>382.93200834658188</v>
      </c>
      <c r="H70" s="102">
        <f>main!O50/1000</f>
        <v>794.08358333333342</v>
      </c>
      <c r="I70" s="102">
        <f>main!P50/1000</f>
        <v>794.08358333333342</v>
      </c>
      <c r="J70" s="102">
        <f>main!Q50/1000</f>
        <v>144.08358333333331</v>
      </c>
      <c r="K70" s="102">
        <f>main!R50/1000</f>
        <v>122.75024999999999</v>
      </c>
    </row>
    <row r="71" spans="1:11" x14ac:dyDescent="0.2">
      <c r="B71" t="s">
        <v>178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2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2">
        <f t="shared" si="22"/>
        <v>1109.9502671346299</v>
      </c>
    </row>
    <row r="72" spans="1:11" s="97" customFormat="1" x14ac:dyDescent="0.2">
      <c r="B72" s="99" t="s">
        <v>179</v>
      </c>
      <c r="D72" s="103"/>
      <c r="E72" s="103"/>
      <c r="F72" s="103">
        <f>F70-F71</f>
        <v>123.66570595403005</v>
      </c>
      <c r="G72" s="103">
        <f t="shared" ref="G72:K72" si="23">G70-G71</f>
        <v>-710.45133036762809</v>
      </c>
      <c r="H72" s="103">
        <f t="shared" si="23"/>
        <v>-303.00454818230662</v>
      </c>
      <c r="I72" s="103">
        <f t="shared" si="23"/>
        <v>-306.96952490565661</v>
      </c>
      <c r="J72" s="103">
        <f t="shared" si="23"/>
        <v>-961.25124727310663</v>
      </c>
      <c r="K72" s="103">
        <f t="shared" si="23"/>
        <v>-987.20001713462989</v>
      </c>
    </row>
    <row r="73" spans="1:11" x14ac:dyDescent="0.2">
      <c r="D73" s="102"/>
      <c r="E73" s="102"/>
      <c r="F73" s="102"/>
      <c r="G73" s="122"/>
      <c r="H73" s="104"/>
      <c r="I73" s="104"/>
      <c r="J73" s="104"/>
      <c r="K73" s="122"/>
    </row>
    <row r="74" spans="1:11" x14ac:dyDescent="0.2">
      <c r="D74" s="102"/>
      <c r="E74" s="102"/>
      <c r="F74" s="102"/>
      <c r="G74" s="122"/>
      <c r="H74" s="104"/>
      <c r="I74" s="104"/>
      <c r="J74" s="104"/>
      <c r="K74" s="122"/>
    </row>
    <row r="75" spans="1:11" ht="19" x14ac:dyDescent="0.25">
      <c r="A75" s="105" t="s">
        <v>197</v>
      </c>
      <c r="B75" s="105"/>
      <c r="D75" s="102"/>
      <c r="E75" s="102"/>
      <c r="F75" s="102"/>
      <c r="G75" s="122"/>
      <c r="H75" s="104"/>
      <c r="I75" s="104"/>
      <c r="J75" s="104"/>
      <c r="K75" s="122"/>
    </row>
    <row r="76" spans="1:11" x14ac:dyDescent="0.2">
      <c r="B76" t="s">
        <v>186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1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1">
        <f t="shared" si="24"/>
        <v>3301.0791480964817</v>
      </c>
    </row>
    <row r="77" spans="1:11" x14ac:dyDescent="0.2">
      <c r="B77" t="s">
        <v>187</v>
      </c>
      <c r="F77" s="102">
        <f>((SUM($F$78:$I$79)/4)/6)*4</f>
        <v>120</v>
      </c>
      <c r="G77" s="122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2">
        <f t="shared" si="25"/>
        <v>120</v>
      </c>
    </row>
    <row r="78" spans="1:11" x14ac:dyDescent="0.2">
      <c r="B78" s="111" t="s">
        <v>198</v>
      </c>
      <c r="F78" s="102">
        <v>300</v>
      </c>
      <c r="G78" s="122">
        <v>150</v>
      </c>
      <c r="H78" s="102">
        <v>100</v>
      </c>
      <c r="I78" s="102">
        <v>50</v>
      </c>
      <c r="J78" s="102"/>
      <c r="K78" s="122"/>
    </row>
    <row r="79" spans="1:11" x14ac:dyDescent="0.2">
      <c r="B79" s="112" t="s">
        <v>199</v>
      </c>
      <c r="F79" s="102">
        <v>17</v>
      </c>
      <c r="G79" s="122">
        <v>50</v>
      </c>
      <c r="H79" s="102">
        <v>35</v>
      </c>
      <c r="I79" s="102">
        <v>18</v>
      </c>
      <c r="J79" s="102"/>
      <c r="K79" s="122"/>
    </row>
    <row r="80" spans="1:11" x14ac:dyDescent="0.2">
      <c r="B80" t="s">
        <v>180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2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2">
        <f t="shared" si="26"/>
        <v>3421.0791480964817</v>
      </c>
    </row>
    <row r="81" spans="2:11" x14ac:dyDescent="0.2">
      <c r="B81" t="s">
        <v>178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2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2">
        <f t="shared" si="27"/>
        <v>748.69791667930303</v>
      </c>
    </row>
    <row r="82" spans="2:11" s="97" customFormat="1" x14ac:dyDescent="0.2">
      <c r="B82" s="99" t="s">
        <v>179</v>
      </c>
      <c r="D82" s="103"/>
      <c r="E82" s="103"/>
      <c r="F82" s="103">
        <f>F80-F81</f>
        <v>2826.3905455966024</v>
      </c>
      <c r="G82" s="123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3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X40"/>
  <sheetViews>
    <sheetView topLeftCell="C3" zoomScale="110" zoomScaleNormal="110" workbookViewId="0">
      <selection activeCell="O8" sqref="O8"/>
    </sheetView>
  </sheetViews>
  <sheetFormatPr baseColWidth="10" defaultColWidth="8.83203125" defaultRowHeight="15" x14ac:dyDescent="0.2"/>
  <cols>
    <col min="1" max="1" width="6.5" customWidth="1"/>
    <col min="2" max="2" width="62.5" customWidth="1"/>
    <col min="3" max="3" width="15.83203125" customWidth="1"/>
    <col min="4" max="11" width="12.5" customWidth="1"/>
  </cols>
  <sheetData>
    <row r="1" spans="1:24" x14ac:dyDescent="0.2">
      <c r="L1" s="46"/>
      <c r="M1" s="46"/>
    </row>
    <row r="2" spans="1:24" x14ac:dyDescent="0.2">
      <c r="A2" s="341" t="s">
        <v>104</v>
      </c>
      <c r="B2" s="341"/>
      <c r="C2" s="341"/>
      <c r="D2" s="341"/>
      <c r="E2" s="341"/>
      <c r="F2" s="341"/>
      <c r="G2" s="341"/>
      <c r="H2" s="341"/>
      <c r="I2" s="341"/>
      <c r="J2" s="341"/>
      <c r="K2" s="77"/>
    </row>
    <row r="3" spans="1:24" x14ac:dyDescent="0.2">
      <c r="A3" s="341" t="s">
        <v>105</v>
      </c>
      <c r="B3" s="341"/>
      <c r="C3" s="341"/>
      <c r="D3" s="341"/>
      <c r="E3" s="341"/>
      <c r="F3" s="341"/>
      <c r="G3" s="341"/>
      <c r="H3" s="341"/>
      <c r="I3" s="341"/>
      <c r="J3" s="341"/>
      <c r="K3" s="77"/>
    </row>
    <row r="4" spans="1:24" ht="16" thickBot="1" x14ac:dyDescent="0.25">
      <c r="A4" s="342"/>
      <c r="B4" s="342"/>
      <c r="C4" s="342"/>
      <c r="D4" s="342"/>
      <c r="E4" s="342"/>
      <c r="F4" s="342"/>
      <c r="G4" s="342"/>
      <c r="H4" s="342"/>
      <c r="I4" s="342"/>
      <c r="J4" s="342"/>
      <c r="K4" s="347" t="s">
        <v>160</v>
      </c>
      <c r="L4" s="347"/>
      <c r="M4" s="347"/>
      <c r="N4" s="347"/>
    </row>
    <row r="5" spans="1:24" x14ac:dyDescent="0.2">
      <c r="A5" s="47"/>
      <c r="B5" s="48"/>
      <c r="C5" s="343" t="s">
        <v>106</v>
      </c>
      <c r="D5" s="344"/>
      <c r="E5" s="344"/>
      <c r="F5" s="344"/>
      <c r="G5" s="344"/>
      <c r="H5" s="344"/>
      <c r="I5" s="344"/>
      <c r="J5" s="345"/>
      <c r="K5" s="78"/>
      <c r="L5" s="346" t="s">
        <v>107</v>
      </c>
      <c r="M5" s="315"/>
      <c r="N5" s="315"/>
    </row>
    <row r="6" spans="1:24" x14ac:dyDescent="0.2">
      <c r="A6" s="1" t="s">
        <v>109</v>
      </c>
      <c r="B6" s="49"/>
      <c r="C6" s="337">
        <v>2020</v>
      </c>
      <c r="D6" s="338"/>
      <c r="E6" s="338"/>
      <c r="F6" s="338"/>
      <c r="G6" s="338"/>
      <c r="H6" s="338"/>
      <c r="I6" s="338"/>
      <c r="J6" s="339"/>
      <c r="K6" s="78" t="s">
        <v>135</v>
      </c>
      <c r="L6" t="s">
        <v>110</v>
      </c>
      <c r="M6" t="s">
        <v>111</v>
      </c>
      <c r="N6" t="s">
        <v>112</v>
      </c>
      <c r="O6" t="s">
        <v>135</v>
      </c>
      <c r="P6" t="s">
        <v>110</v>
      </c>
      <c r="Q6" t="s">
        <v>111</v>
      </c>
      <c r="R6" t="s">
        <v>112</v>
      </c>
      <c r="S6" t="s">
        <v>135</v>
      </c>
    </row>
    <row r="7" spans="1:24" x14ac:dyDescent="0.2">
      <c r="A7" s="50"/>
      <c r="B7" s="51"/>
      <c r="C7" s="52" t="s">
        <v>113</v>
      </c>
      <c r="D7" s="53" t="s">
        <v>114</v>
      </c>
      <c r="E7" s="54" t="s">
        <v>115</v>
      </c>
      <c r="F7" s="55" t="s">
        <v>116</v>
      </c>
      <c r="G7" s="55" t="s">
        <v>117</v>
      </c>
      <c r="H7" s="55" t="s">
        <v>118</v>
      </c>
      <c r="I7" s="55"/>
      <c r="J7" s="56" t="s">
        <v>119</v>
      </c>
      <c r="K7" s="78"/>
    </row>
    <row r="8" spans="1:24" x14ac:dyDescent="0.2">
      <c r="A8" s="57">
        <v>23</v>
      </c>
      <c r="B8" s="58" t="s">
        <v>130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193"/>
      <c r="J8" s="61">
        <v>1364</v>
      </c>
      <c r="K8" s="82">
        <v>27.8</v>
      </c>
      <c r="L8" s="73">
        <v>43.4</v>
      </c>
      <c r="M8" s="73">
        <v>1084</v>
      </c>
      <c r="N8" s="73">
        <v>775</v>
      </c>
      <c r="O8" s="73">
        <v>275</v>
      </c>
    </row>
    <row r="9" spans="1:24" ht="17" x14ac:dyDescent="0.2">
      <c r="B9" s="74" t="s">
        <v>131</v>
      </c>
      <c r="C9" s="62"/>
      <c r="D9" s="63"/>
      <c r="E9" s="64"/>
      <c r="F9" s="63"/>
      <c r="G9" s="64"/>
      <c r="H9" s="63"/>
      <c r="I9" s="194"/>
      <c r="J9" s="64"/>
      <c r="K9" s="82"/>
      <c r="L9" s="73"/>
      <c r="M9" s="73"/>
      <c r="N9" s="73"/>
      <c r="X9" s="72"/>
    </row>
    <row r="10" spans="1:24" x14ac:dyDescent="0.2">
      <c r="A10">
        <v>24</v>
      </c>
      <c r="B10" s="75" t="s">
        <v>132</v>
      </c>
      <c r="C10" s="62"/>
      <c r="D10" s="63"/>
      <c r="E10" s="64"/>
      <c r="F10" s="63">
        <v>1</v>
      </c>
      <c r="G10" s="64">
        <v>7.4</v>
      </c>
      <c r="H10" s="63">
        <v>12.8</v>
      </c>
      <c r="I10" s="194"/>
      <c r="J10" s="64">
        <v>16.899999999999999</v>
      </c>
      <c r="K10" s="82" t="s">
        <v>144</v>
      </c>
      <c r="L10" s="73"/>
      <c r="M10" s="73">
        <f t="shared" ref="M10:M12" si="0">AVERAGE(F10:H10)</f>
        <v>7.0666666666666673</v>
      </c>
      <c r="N10" s="73">
        <f t="shared" ref="N10:O12" si="1">4*N28</f>
        <v>24</v>
      </c>
      <c r="O10">
        <f t="shared" si="1"/>
        <v>60</v>
      </c>
    </row>
    <row r="11" spans="1:24" x14ac:dyDescent="0.2">
      <c r="A11" s="57">
        <v>25</v>
      </c>
      <c r="B11" s="76" t="s">
        <v>133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193"/>
      <c r="J11" s="61">
        <v>184.3</v>
      </c>
      <c r="K11" s="82" t="s">
        <v>143</v>
      </c>
      <c r="L11" s="73"/>
      <c r="M11" s="73">
        <f t="shared" si="0"/>
        <v>122.73333333333335</v>
      </c>
      <c r="N11" s="73">
        <f t="shared" si="1"/>
        <v>156</v>
      </c>
      <c r="O11">
        <f t="shared" si="1"/>
        <v>40</v>
      </c>
      <c r="P11">
        <v>0</v>
      </c>
      <c r="Q11">
        <v>0</v>
      </c>
      <c r="R11">
        <v>0</v>
      </c>
      <c r="S11">
        <v>0</v>
      </c>
    </row>
    <row r="12" spans="1:24" x14ac:dyDescent="0.2">
      <c r="A12">
        <v>26</v>
      </c>
      <c r="B12" s="75" t="s">
        <v>134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194"/>
      <c r="J12" s="64">
        <v>901.7</v>
      </c>
      <c r="K12" s="82" t="s">
        <v>142</v>
      </c>
      <c r="L12" s="73"/>
      <c r="M12" s="73">
        <f t="shared" si="0"/>
        <v>686.06666666666661</v>
      </c>
      <c r="N12" s="73">
        <f t="shared" si="1"/>
        <v>373</v>
      </c>
      <c r="O12">
        <f t="shared" si="1"/>
        <v>20</v>
      </c>
    </row>
    <row r="13" spans="1:24" x14ac:dyDescent="0.2">
      <c r="K13" s="35" t="s">
        <v>140</v>
      </c>
      <c r="M13" s="73">
        <f>12</f>
        <v>12</v>
      </c>
      <c r="N13" s="73">
        <f>12</f>
        <v>12</v>
      </c>
      <c r="O13">
        <f>4*O31</f>
        <v>8</v>
      </c>
    </row>
    <row r="15" spans="1:24" x14ac:dyDescent="0.2">
      <c r="K15" t="s">
        <v>137</v>
      </c>
    </row>
    <row r="17" spans="3:23" x14ac:dyDescent="0.2">
      <c r="D17" t="s">
        <v>120</v>
      </c>
      <c r="J17" s="79" t="s">
        <v>138</v>
      </c>
      <c r="K17" s="80">
        <f t="shared" ref="K17:L17" si="2">4*K37</f>
        <v>0</v>
      </c>
      <c r="L17" s="80">
        <f t="shared" si="2"/>
        <v>0</v>
      </c>
      <c r="M17" s="80">
        <f>4*M37</f>
        <v>834.93333333333328</v>
      </c>
      <c r="N17" s="80">
        <f t="shared" ref="N17:W17" si="3">4*N37</f>
        <v>589</v>
      </c>
      <c r="O17" s="80">
        <f t="shared" si="3"/>
        <v>188</v>
      </c>
      <c r="P17" s="80">
        <f t="shared" si="3"/>
        <v>184</v>
      </c>
      <c r="Q17" s="80">
        <f t="shared" si="3"/>
        <v>108</v>
      </c>
      <c r="R17" s="80">
        <f t="shared" si="3"/>
        <v>0</v>
      </c>
      <c r="S17" s="80">
        <f t="shared" si="3"/>
        <v>0</v>
      </c>
      <c r="T17" s="80">
        <f t="shared" si="3"/>
        <v>0</v>
      </c>
      <c r="U17" s="80">
        <f t="shared" si="3"/>
        <v>0</v>
      </c>
      <c r="V17" s="80">
        <f t="shared" si="3"/>
        <v>0</v>
      </c>
      <c r="W17" s="80">
        <f t="shared" si="3"/>
        <v>0</v>
      </c>
    </row>
    <row r="18" spans="3:23" x14ac:dyDescent="0.2">
      <c r="J18" s="79" t="s">
        <v>139</v>
      </c>
      <c r="K18" s="80">
        <f t="shared" ref="K18:L18" si="4">4*K38</f>
        <v>27.8</v>
      </c>
      <c r="L18" s="80">
        <f t="shared" si="4"/>
        <v>43.4</v>
      </c>
      <c r="M18" s="80">
        <f>4*M38</f>
        <v>249.06666666666672</v>
      </c>
      <c r="N18" s="80">
        <f t="shared" ref="N18:W18" si="5">4*N38</f>
        <v>186</v>
      </c>
      <c r="O18" s="80">
        <f t="shared" si="5"/>
        <v>87</v>
      </c>
      <c r="P18" s="80">
        <f t="shared" si="5"/>
        <v>60</v>
      </c>
      <c r="Q18" s="80">
        <f t="shared" si="5"/>
        <v>44</v>
      </c>
      <c r="R18" s="80">
        <f t="shared" si="5"/>
        <v>44</v>
      </c>
      <c r="S18" s="80">
        <f t="shared" si="5"/>
        <v>44</v>
      </c>
      <c r="T18" s="80">
        <f t="shared" si="5"/>
        <v>44</v>
      </c>
      <c r="U18" s="80">
        <f t="shared" si="5"/>
        <v>44</v>
      </c>
      <c r="V18" s="80">
        <f t="shared" si="5"/>
        <v>44</v>
      </c>
      <c r="W18" s="80">
        <f t="shared" si="5"/>
        <v>44</v>
      </c>
    </row>
    <row r="19" spans="3:23" x14ac:dyDescent="0.2">
      <c r="C19" s="65"/>
      <c r="D19" s="65"/>
      <c r="E19" s="65"/>
      <c r="F19" s="66">
        <v>2020</v>
      </c>
      <c r="G19" s="66">
        <v>2021</v>
      </c>
      <c r="H19">
        <v>2022</v>
      </c>
    </row>
    <row r="20" spans="3:23" ht="48" x14ac:dyDescent="0.2">
      <c r="C20" s="67"/>
      <c r="D20" s="67"/>
      <c r="E20" s="67"/>
      <c r="F20" s="68"/>
      <c r="G20" s="68"/>
      <c r="N20" s="81" t="s">
        <v>136</v>
      </c>
    </row>
    <row r="21" spans="3:23" x14ac:dyDescent="0.2">
      <c r="C21" s="69" t="s">
        <v>121</v>
      </c>
      <c r="D21" s="69"/>
      <c r="E21" s="69"/>
      <c r="F21" s="70"/>
      <c r="G21" s="67"/>
    </row>
    <row r="22" spans="3:23" x14ac:dyDescent="0.2">
      <c r="C22" s="69"/>
      <c r="D22" s="71" t="s">
        <v>122</v>
      </c>
      <c r="E22" s="69"/>
      <c r="F22" s="70">
        <v>285.56</v>
      </c>
      <c r="G22" s="70">
        <v>5</v>
      </c>
      <c r="H22">
        <v>0</v>
      </c>
      <c r="K22" s="315" t="s">
        <v>9</v>
      </c>
      <c r="L22" s="315"/>
      <c r="M22" s="315"/>
      <c r="N22" s="315"/>
      <c r="O22" s="315" t="s">
        <v>10</v>
      </c>
      <c r="P22" s="315"/>
      <c r="Q22" s="315"/>
      <c r="R22" s="315"/>
      <c r="S22" s="315" t="s">
        <v>11</v>
      </c>
      <c r="T22" s="315"/>
      <c r="U22" s="315"/>
      <c r="V22" s="315"/>
    </row>
    <row r="23" spans="3:23" x14ac:dyDescent="0.2">
      <c r="C23" s="67"/>
      <c r="D23" s="69" t="s">
        <v>123</v>
      </c>
      <c r="E23" s="67"/>
      <c r="F23" s="70">
        <v>67.209999999999994</v>
      </c>
      <c r="G23" s="70">
        <v>13.68</v>
      </c>
      <c r="H23">
        <v>0</v>
      </c>
      <c r="K23" s="340" t="s">
        <v>108</v>
      </c>
      <c r="L23" s="340"/>
      <c r="M23" s="340"/>
      <c r="N23" s="340"/>
      <c r="O23" s="35" t="s">
        <v>146</v>
      </c>
      <c r="P23" s="35"/>
      <c r="Q23" s="35"/>
      <c r="R23" s="35"/>
    </row>
    <row r="24" spans="3:23" x14ac:dyDescent="0.2">
      <c r="C24" s="67"/>
      <c r="D24" s="69" t="s">
        <v>124</v>
      </c>
      <c r="E24" s="67"/>
      <c r="F24" s="70">
        <v>11.12</v>
      </c>
      <c r="G24" s="70">
        <v>47.8</v>
      </c>
      <c r="H24">
        <v>0</v>
      </c>
      <c r="K24" s="35" t="s">
        <v>135</v>
      </c>
      <c r="L24" s="35" t="s">
        <v>110</v>
      </c>
      <c r="M24" s="35" t="s">
        <v>111</v>
      </c>
      <c r="N24" s="35" t="s">
        <v>112</v>
      </c>
      <c r="O24" s="35" t="s">
        <v>135</v>
      </c>
      <c r="P24" s="35" t="s">
        <v>6</v>
      </c>
      <c r="Q24" s="35" t="s">
        <v>7</v>
      </c>
      <c r="R24" s="35" t="s">
        <v>8</v>
      </c>
      <c r="S24" s="35" t="s">
        <v>5</v>
      </c>
      <c r="T24" s="35" t="s">
        <v>6</v>
      </c>
      <c r="U24" s="35" t="s">
        <v>7</v>
      </c>
      <c r="V24" s="35" t="s">
        <v>8</v>
      </c>
    </row>
    <row r="25" spans="3:23" x14ac:dyDescent="0.2">
      <c r="C25" s="67"/>
      <c r="D25" s="69" t="s">
        <v>58</v>
      </c>
      <c r="E25" s="67"/>
      <c r="F25" s="70">
        <v>6.2149999999999999</v>
      </c>
      <c r="G25" s="70">
        <v>5.0049999999999999</v>
      </c>
      <c r="H25">
        <v>0</v>
      </c>
      <c r="K25" s="35"/>
      <c r="L25" s="35"/>
      <c r="M25" s="35"/>
      <c r="N25" s="35"/>
      <c r="O25" s="35"/>
      <c r="P25" s="35"/>
      <c r="Q25" s="35"/>
      <c r="R25" s="35"/>
    </row>
    <row r="26" spans="3:23" x14ac:dyDescent="0.2">
      <c r="C26" s="67"/>
      <c r="D26" s="69"/>
      <c r="E26" s="67"/>
      <c r="F26" s="70" t="s">
        <v>97</v>
      </c>
      <c r="G26" s="70" t="s">
        <v>97</v>
      </c>
      <c r="K26" s="83">
        <f>K8/4</f>
        <v>6.95</v>
      </c>
      <c r="L26" s="83">
        <f>L8/4</f>
        <v>10.85</v>
      </c>
      <c r="M26" s="83">
        <f>M8/4</f>
        <v>271</v>
      </c>
      <c r="N26" s="83">
        <f>N8/4</f>
        <v>193.75</v>
      </c>
      <c r="O26" s="83">
        <f>O8/4</f>
        <v>68.75</v>
      </c>
      <c r="P26" s="84">
        <f>P33+P34</f>
        <v>51</v>
      </c>
      <c r="Q26" s="84">
        <f>Q33+Q34</f>
        <v>37</v>
      </c>
      <c r="R26" s="84">
        <f>R33+R34</f>
        <v>22</v>
      </c>
      <c r="S26" s="84">
        <f t="shared" ref="S26:V26" si="6">S33+S34</f>
        <v>20</v>
      </c>
      <c r="T26" s="84">
        <f t="shared" si="6"/>
        <v>15</v>
      </c>
      <c r="U26" s="84">
        <f t="shared" si="6"/>
        <v>15</v>
      </c>
      <c r="V26" s="84">
        <f t="shared" si="6"/>
        <v>15</v>
      </c>
    </row>
    <row r="27" spans="3:23" ht="30.5" customHeight="1" x14ac:dyDescent="0.2">
      <c r="C27" s="67"/>
      <c r="D27" s="69"/>
      <c r="E27" s="224" t="s">
        <v>125</v>
      </c>
      <c r="F27" s="70">
        <v>370.10500000000002</v>
      </c>
      <c r="G27" s="70">
        <v>71.484999999999999</v>
      </c>
      <c r="H27">
        <v>0</v>
      </c>
      <c r="K27" s="83"/>
      <c r="L27" s="83"/>
      <c r="M27" s="83"/>
      <c r="N27" s="83"/>
      <c r="O27" s="84"/>
      <c r="P27" s="35"/>
      <c r="Q27" s="35"/>
      <c r="R27" s="35"/>
      <c r="S27" s="72"/>
    </row>
    <row r="28" spans="3:23" x14ac:dyDescent="0.2">
      <c r="I28" s="336" t="s">
        <v>259</v>
      </c>
      <c r="J28" s="82" t="s">
        <v>144</v>
      </c>
      <c r="K28" s="83">
        <v>0</v>
      </c>
      <c r="L28" s="83">
        <f t="shared" ref="L28:M30" si="7">L10/4</f>
        <v>0</v>
      </c>
      <c r="M28" s="83">
        <f t="shared" si="7"/>
        <v>1.7666666666666668</v>
      </c>
      <c r="N28" s="83">
        <v>6</v>
      </c>
      <c r="O28" s="84">
        <v>15</v>
      </c>
      <c r="P28" s="35">
        <v>20</v>
      </c>
      <c r="Q28" s="35">
        <v>13</v>
      </c>
      <c r="R28" s="35">
        <v>0</v>
      </c>
      <c r="S28" s="72">
        <v>0</v>
      </c>
    </row>
    <row r="29" spans="3:23" x14ac:dyDescent="0.2">
      <c r="C29" t="s">
        <v>126</v>
      </c>
      <c r="F29">
        <f>557</f>
        <v>557</v>
      </c>
      <c r="G29">
        <v>166</v>
      </c>
      <c r="H29">
        <v>67</v>
      </c>
      <c r="I29" s="336"/>
      <c r="J29" s="82" t="s">
        <v>143</v>
      </c>
      <c r="K29" s="83">
        <v>0</v>
      </c>
      <c r="L29" s="83">
        <f t="shared" si="7"/>
        <v>0</v>
      </c>
      <c r="M29" s="83">
        <f t="shared" si="7"/>
        <v>30.683333333333337</v>
      </c>
      <c r="N29" s="83">
        <v>39</v>
      </c>
      <c r="O29" s="84">
        <v>10</v>
      </c>
      <c r="P29" s="35">
        <v>4</v>
      </c>
      <c r="Q29" s="35">
        <v>0</v>
      </c>
      <c r="R29" s="35">
        <v>0</v>
      </c>
      <c r="S29" s="72"/>
    </row>
    <row r="30" spans="3:23" x14ac:dyDescent="0.2">
      <c r="C30" t="s">
        <v>127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336"/>
      <c r="J30" s="82" t="s">
        <v>142</v>
      </c>
      <c r="K30" s="83">
        <v>0</v>
      </c>
      <c r="L30" s="83">
        <f t="shared" si="7"/>
        <v>0</v>
      </c>
      <c r="M30" s="83">
        <f t="shared" si="7"/>
        <v>171.51666666666665</v>
      </c>
      <c r="N30" s="83">
        <v>93.25</v>
      </c>
      <c r="O30" s="84">
        <v>5</v>
      </c>
      <c r="P30" s="84">
        <v>0</v>
      </c>
      <c r="Q30" s="35">
        <v>0</v>
      </c>
      <c r="R30" s="35">
        <v>0</v>
      </c>
      <c r="S30" s="72"/>
    </row>
    <row r="31" spans="3:23" x14ac:dyDescent="0.2">
      <c r="C31" s="177" t="s">
        <v>128</v>
      </c>
      <c r="F31" s="72">
        <f>F24</f>
        <v>11.12</v>
      </c>
      <c r="G31" s="72">
        <f>G24</f>
        <v>47.8</v>
      </c>
      <c r="H31">
        <f>24</f>
        <v>24</v>
      </c>
      <c r="I31" s="336"/>
      <c r="J31" s="35" t="s">
        <v>140</v>
      </c>
      <c r="K31" s="35"/>
      <c r="L31" s="35"/>
      <c r="M31" s="83">
        <f>M13/4</f>
        <v>3</v>
      </c>
      <c r="N31" s="83">
        <f>N13/4</f>
        <v>3</v>
      </c>
      <c r="O31" s="84">
        <v>2</v>
      </c>
      <c r="P31" s="35">
        <v>2</v>
      </c>
      <c r="Q31" s="35">
        <v>1</v>
      </c>
      <c r="R31" s="35">
        <v>0</v>
      </c>
      <c r="S31" s="72"/>
    </row>
    <row r="32" spans="3:23" x14ac:dyDescent="0.2">
      <c r="C32" s="177" t="s">
        <v>129</v>
      </c>
      <c r="F32" s="72">
        <f>F30-F31</f>
        <v>175.77499999999998</v>
      </c>
      <c r="G32" s="72">
        <f>G30-G31</f>
        <v>46.715000000000003</v>
      </c>
      <c r="H32">
        <f>H29-H31</f>
        <v>43</v>
      </c>
      <c r="N32" s="72"/>
    </row>
    <row r="33" spans="3:23" x14ac:dyDescent="0.2">
      <c r="C33" t="s">
        <v>145</v>
      </c>
      <c r="F33" s="72">
        <f>F29-F32</f>
        <v>381.22500000000002</v>
      </c>
      <c r="G33" s="72">
        <f t="shared" ref="G33:H33" si="8">G29-G32</f>
        <v>119.285</v>
      </c>
      <c r="H33" s="72">
        <f t="shared" si="8"/>
        <v>24</v>
      </c>
      <c r="I33" s="336" t="s">
        <v>141</v>
      </c>
      <c r="J33" s="85" t="s">
        <v>259</v>
      </c>
      <c r="M33" s="72">
        <f t="shared" ref="M33:V33" si="9">SUM(M28:M31)</f>
        <v>206.96666666666664</v>
      </c>
      <c r="N33" s="72">
        <f t="shared" si="9"/>
        <v>141.25</v>
      </c>
      <c r="O33" s="72">
        <f t="shared" si="9"/>
        <v>32</v>
      </c>
      <c r="P33" s="72">
        <f t="shared" si="9"/>
        <v>26</v>
      </c>
      <c r="Q33" s="72">
        <f t="shared" si="9"/>
        <v>14</v>
      </c>
      <c r="R33" s="72">
        <f t="shared" si="9"/>
        <v>0</v>
      </c>
      <c r="S33" s="72">
        <f t="shared" si="9"/>
        <v>0</v>
      </c>
      <c r="T33" s="72">
        <f t="shared" si="9"/>
        <v>0</v>
      </c>
      <c r="U33" s="72">
        <f t="shared" si="9"/>
        <v>0</v>
      </c>
      <c r="V33" s="72">
        <f t="shared" si="9"/>
        <v>0</v>
      </c>
    </row>
    <row r="34" spans="3:23" x14ac:dyDescent="0.2">
      <c r="I34" s="336"/>
      <c r="J34" t="s">
        <v>260</v>
      </c>
      <c r="K34" s="72">
        <f>K26-K33</f>
        <v>6.95</v>
      </c>
      <c r="L34" s="72">
        <f>L26-L33</f>
        <v>10.85</v>
      </c>
      <c r="M34" s="72">
        <f>M26-M33</f>
        <v>64.03333333333336</v>
      </c>
      <c r="N34" s="72">
        <f>N26-N33</f>
        <v>52.5</v>
      </c>
      <c r="O34" s="72">
        <f>O26-O33</f>
        <v>36.75</v>
      </c>
      <c r="P34" s="72">
        <v>25</v>
      </c>
      <c r="Q34" s="72">
        <v>23</v>
      </c>
      <c r="R34" s="72">
        <v>22</v>
      </c>
      <c r="S34" s="72">
        <v>20</v>
      </c>
      <c r="T34" s="72">
        <v>15</v>
      </c>
      <c r="U34">
        <v>15</v>
      </c>
      <c r="V34">
        <v>15</v>
      </c>
    </row>
    <row r="35" spans="3:23" x14ac:dyDescent="0.2">
      <c r="N35" s="72">
        <f>SUM(K34:N34)</f>
        <v>134.33333333333337</v>
      </c>
      <c r="R35" s="72"/>
    </row>
    <row r="36" spans="3:23" x14ac:dyDescent="0.2">
      <c r="C36" t="s">
        <v>269</v>
      </c>
    </row>
    <row r="37" spans="3:23" x14ac:dyDescent="0.2">
      <c r="C37" t="s">
        <v>270</v>
      </c>
      <c r="D37" s="72"/>
      <c r="E37" s="72"/>
      <c r="G37">
        <v>90</v>
      </c>
      <c r="J37" t="s">
        <v>145</v>
      </c>
      <c r="K37" s="72">
        <f>K33+K28</f>
        <v>0</v>
      </c>
      <c r="L37" s="72">
        <f t="shared" ref="L37" si="10">L33+L28</f>
        <v>0</v>
      </c>
      <c r="M37" s="72">
        <f>M33+M28</f>
        <v>208.73333333333332</v>
      </c>
      <c r="N37" s="72">
        <f>N33+N28</f>
        <v>147.25</v>
      </c>
      <c r="O37" s="72">
        <f>O33+O28</f>
        <v>47</v>
      </c>
      <c r="P37" s="72">
        <f t="shared" ref="P37:R37" si="11">P33+P28</f>
        <v>46</v>
      </c>
      <c r="Q37" s="72">
        <f t="shared" si="11"/>
        <v>27</v>
      </c>
      <c r="R37" s="72">
        <f t="shared" si="11"/>
        <v>0</v>
      </c>
      <c r="S37" s="72">
        <f t="shared" ref="S37" si="12">S33+S29+S30</f>
        <v>0</v>
      </c>
    </row>
    <row r="38" spans="3:23" x14ac:dyDescent="0.2">
      <c r="F38">
        <v>433</v>
      </c>
      <c r="J38" t="s">
        <v>129</v>
      </c>
      <c r="K38" s="72">
        <f>K26-K37</f>
        <v>6.95</v>
      </c>
      <c r="L38" s="72">
        <f t="shared" ref="L38:N38" si="13">L26-L37</f>
        <v>10.85</v>
      </c>
      <c r="M38" s="72">
        <f t="shared" si="13"/>
        <v>62.26666666666668</v>
      </c>
      <c r="N38" s="72">
        <f t="shared" si="13"/>
        <v>46.5</v>
      </c>
      <c r="O38" s="72">
        <f t="shared" ref="O38" si="14">O26-O37</f>
        <v>21.75</v>
      </c>
      <c r="P38" s="72">
        <v>15</v>
      </c>
      <c r="Q38" s="72">
        <v>11</v>
      </c>
      <c r="R38" s="72">
        <v>11</v>
      </c>
      <c r="S38" s="72">
        <v>11</v>
      </c>
      <c r="T38" s="72">
        <v>11</v>
      </c>
      <c r="U38" s="72">
        <v>11</v>
      </c>
      <c r="V38" s="72">
        <v>11</v>
      </c>
      <c r="W38" s="72">
        <v>11</v>
      </c>
    </row>
    <row r="40" spans="3:23" x14ac:dyDescent="0.2">
      <c r="O40" s="72"/>
      <c r="P40" s="72"/>
      <c r="Q40" s="72"/>
      <c r="R40" s="72"/>
      <c r="S40" s="72"/>
    </row>
  </sheetData>
  <mergeCells count="13">
    <mergeCell ref="A2:J2"/>
    <mergeCell ref="A3:J3"/>
    <mergeCell ref="A4:J4"/>
    <mergeCell ref="C5:J5"/>
    <mergeCell ref="L5:N5"/>
    <mergeCell ref="K4:N4"/>
    <mergeCell ref="O22:R22"/>
    <mergeCell ref="S22:V22"/>
    <mergeCell ref="I28:I31"/>
    <mergeCell ref="I33:I34"/>
    <mergeCell ref="C6:J6"/>
    <mergeCell ref="K23:N23"/>
    <mergeCell ref="K22:N2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E21" sqref="E21"/>
    </sheetView>
  </sheetViews>
  <sheetFormatPr baseColWidth="10" defaultColWidth="8.83203125" defaultRowHeight="15" x14ac:dyDescent="0.2"/>
  <sheetData>
    <row r="1" spans="1:18" x14ac:dyDescent="0.2">
      <c r="A1" t="s">
        <v>85</v>
      </c>
    </row>
    <row r="2" spans="1:18" x14ac:dyDescent="0.2">
      <c r="A2" t="s">
        <v>86</v>
      </c>
    </row>
    <row r="4" spans="1:18" x14ac:dyDescent="0.2">
      <c r="A4" s="36" t="s">
        <v>94</v>
      </c>
      <c r="B4" s="36"/>
      <c r="C4" s="36"/>
      <c r="D4" s="36"/>
      <c r="E4" s="37" t="s">
        <v>35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36</v>
      </c>
      <c r="R4" s="18" t="s">
        <v>36</v>
      </c>
    </row>
    <row r="5" spans="1:18" x14ac:dyDescent="0.2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2">
      <c r="A6" s="41"/>
      <c r="B6" s="41"/>
      <c r="C6" s="41"/>
      <c r="D6" s="41"/>
      <c r="E6" s="349" t="s">
        <v>87</v>
      </c>
      <c r="F6" s="349"/>
      <c r="G6" s="349"/>
      <c r="H6" s="349"/>
      <c r="I6" s="349"/>
      <c r="J6" s="349"/>
      <c r="K6" s="349"/>
      <c r="L6" s="349"/>
      <c r="M6" s="349"/>
      <c r="N6" s="349"/>
      <c r="O6" s="349"/>
      <c r="P6" s="349"/>
      <c r="Q6" s="349"/>
      <c r="R6" s="349"/>
    </row>
    <row r="7" spans="1:18" x14ac:dyDescent="0.2">
      <c r="A7" s="348" t="s">
        <v>88</v>
      </c>
      <c r="B7" s="348"/>
      <c r="C7" s="348"/>
      <c r="D7" s="348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2">
      <c r="A8" s="36"/>
      <c r="B8" s="348" t="s">
        <v>89</v>
      </c>
      <c r="C8" s="348"/>
      <c r="D8" s="348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2">
      <c r="A9" s="36"/>
      <c r="B9" s="348" t="s">
        <v>90</v>
      </c>
      <c r="C9" s="348"/>
      <c r="D9" s="348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2">
      <c r="A10" s="36"/>
      <c r="B10" s="348" t="s">
        <v>91</v>
      </c>
      <c r="C10" s="348"/>
      <c r="D10" s="348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2">
      <c r="A11" s="36"/>
      <c r="B11" s="348" t="s">
        <v>58</v>
      </c>
      <c r="C11" s="348"/>
      <c r="D11" s="348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2">
      <c r="A12" s="36"/>
      <c r="B12" s="36"/>
      <c r="C12" s="36"/>
      <c r="D12" s="36"/>
      <c r="E12" s="43" t="s">
        <v>40</v>
      </c>
      <c r="F12" s="43" t="s">
        <v>40</v>
      </c>
      <c r="G12" s="43" t="s">
        <v>40</v>
      </c>
      <c r="H12" s="43" t="s">
        <v>40</v>
      </c>
      <c r="I12" s="43" t="s">
        <v>40</v>
      </c>
      <c r="J12" s="43" t="s">
        <v>40</v>
      </c>
      <c r="K12" s="43" t="s">
        <v>40</v>
      </c>
      <c r="L12" s="43" t="s">
        <v>40</v>
      </c>
      <c r="M12" s="43" t="s">
        <v>40</v>
      </c>
      <c r="N12" s="43" t="s">
        <v>40</v>
      </c>
      <c r="O12" s="43" t="s">
        <v>40</v>
      </c>
      <c r="P12" s="43" t="s">
        <v>40</v>
      </c>
      <c r="Q12" s="43" t="s">
        <v>40</v>
      </c>
      <c r="R12" s="43" t="s">
        <v>40</v>
      </c>
    </row>
    <row r="13" spans="1:18" x14ac:dyDescent="0.2">
      <c r="A13" s="36"/>
      <c r="B13" s="36"/>
      <c r="C13" s="348" t="s">
        <v>34</v>
      </c>
      <c r="D13" s="348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2">
      <c r="A14" s="36"/>
      <c r="B14" s="36"/>
      <c r="C14" s="36"/>
      <c r="D14" s="36" t="s">
        <v>92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6" x14ac:dyDescent="0.2">
      <c r="A15" s="36"/>
      <c r="B15" s="36"/>
      <c r="C15" s="36"/>
      <c r="D15" s="36" t="s">
        <v>93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2">
      <c r="A17" t="s">
        <v>103</v>
      </c>
    </row>
    <row r="19" spans="1:20" x14ac:dyDescent="0.2">
      <c r="A19" s="36"/>
      <c r="B19" s="348" t="s">
        <v>89</v>
      </c>
      <c r="C19" s="348"/>
      <c r="D19" s="348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2">
      <c r="A20" s="36"/>
      <c r="B20" s="348" t="s">
        <v>90</v>
      </c>
      <c r="C20" s="348"/>
      <c r="D20" s="348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2">
      <c r="A21" s="36"/>
      <c r="B21" s="348" t="s">
        <v>91</v>
      </c>
      <c r="C21" s="348"/>
      <c r="D21" s="348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2">
      <c r="A22" s="36"/>
      <c r="B22" s="348" t="s">
        <v>58</v>
      </c>
      <c r="C22" s="348"/>
      <c r="D22" s="348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2">
      <c r="A23" s="36"/>
      <c r="B23" s="36"/>
      <c r="C23" s="36"/>
      <c r="D23" s="36"/>
      <c r="E23" s="43" t="s">
        <v>40</v>
      </c>
      <c r="F23" s="43" t="s">
        <v>40</v>
      </c>
      <c r="G23" s="43" t="s">
        <v>40</v>
      </c>
      <c r="H23" s="43" t="s">
        <v>40</v>
      </c>
      <c r="I23" s="43" t="s">
        <v>40</v>
      </c>
      <c r="J23" s="43" t="s">
        <v>40</v>
      </c>
      <c r="K23" s="43" t="s">
        <v>40</v>
      </c>
      <c r="L23" s="43" t="s">
        <v>40</v>
      </c>
      <c r="M23" s="43" t="s">
        <v>40</v>
      </c>
      <c r="N23" s="43" t="s">
        <v>40</v>
      </c>
      <c r="O23" s="43" t="s">
        <v>40</v>
      </c>
      <c r="P23" s="43" t="s">
        <v>40</v>
      </c>
      <c r="Q23" s="43" t="s">
        <v>40</v>
      </c>
      <c r="R23" s="43" t="s">
        <v>40</v>
      </c>
    </row>
    <row r="27" spans="1:20" x14ac:dyDescent="0.2">
      <c r="A27" s="24"/>
      <c r="B27" s="10"/>
      <c r="C27" s="24"/>
      <c r="D27" s="24"/>
      <c r="E27" s="24"/>
      <c r="F27" s="24"/>
      <c r="G27" s="24"/>
      <c r="H27" s="350" t="s">
        <v>95</v>
      </c>
      <c r="I27" s="350"/>
      <c r="J27" s="350"/>
      <c r="K27" s="350"/>
      <c r="L27" s="350"/>
      <c r="M27" s="350"/>
      <c r="N27" s="350"/>
      <c r="O27" s="350"/>
      <c r="P27" s="350"/>
      <c r="Q27" s="350"/>
      <c r="R27" s="350"/>
      <c r="S27" s="350"/>
      <c r="T27" s="350"/>
    </row>
    <row r="28" spans="1:20" x14ac:dyDescent="0.2">
      <c r="A28" s="24" t="s">
        <v>96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2">
      <c r="A29" s="24"/>
      <c r="B29" s="10" t="s">
        <v>89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2">
      <c r="A30" s="24"/>
      <c r="B30" s="10" t="s">
        <v>90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2">
      <c r="A31" s="24"/>
      <c r="B31" s="10" t="s">
        <v>91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2">
      <c r="A32" s="24"/>
      <c r="B32" s="10" t="s">
        <v>58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2">
      <c r="A33" s="24"/>
      <c r="B33" s="10"/>
      <c r="C33" s="24"/>
      <c r="D33" s="24"/>
      <c r="E33" s="24"/>
      <c r="F33" s="26" t="s">
        <v>97</v>
      </c>
      <c r="G33" s="26" t="s">
        <v>97</v>
      </c>
      <c r="H33" s="26" t="s">
        <v>97</v>
      </c>
      <c r="I33" s="26" t="s">
        <v>97</v>
      </c>
      <c r="J33" s="26" t="s">
        <v>97</v>
      </c>
      <c r="K33" s="26" t="s">
        <v>97</v>
      </c>
      <c r="L33" s="26" t="s">
        <v>97</v>
      </c>
      <c r="M33" s="26" t="s">
        <v>97</v>
      </c>
      <c r="N33" s="26" t="s">
        <v>97</v>
      </c>
      <c r="O33" s="26" t="s">
        <v>97</v>
      </c>
      <c r="P33" s="26"/>
      <c r="Q33" s="26" t="s">
        <v>97</v>
      </c>
      <c r="R33" s="26" t="s">
        <v>97</v>
      </c>
    </row>
    <row r="34" spans="1:18" x14ac:dyDescent="0.2">
      <c r="A34" s="24"/>
      <c r="B34" s="10"/>
      <c r="C34" s="24"/>
      <c r="D34" s="24" t="s">
        <v>98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2">
      <c r="A37" s="10"/>
      <c r="B37" s="10"/>
      <c r="C37" s="10"/>
      <c r="D37" s="10"/>
      <c r="E37" s="10"/>
      <c r="F37" s="351" t="s">
        <v>99</v>
      </c>
      <c r="G37" s="351"/>
      <c r="H37" s="351"/>
      <c r="I37" s="351"/>
      <c r="J37" s="351"/>
      <c r="K37" s="351"/>
      <c r="L37" s="351"/>
      <c r="M37" s="351"/>
      <c r="N37" s="351"/>
      <c r="O37" s="351"/>
      <c r="P37" s="351"/>
      <c r="Q37" s="351"/>
      <c r="R37" s="351"/>
    </row>
    <row r="38" spans="1:18" ht="16" x14ac:dyDescent="0.2">
      <c r="A38" s="24" t="s">
        <v>100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2">
      <c r="A39" s="24"/>
      <c r="B39" s="10" t="s">
        <v>89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2">
      <c r="A40" s="24"/>
      <c r="B40" s="10" t="s">
        <v>91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2">
      <c r="A41" s="24"/>
      <c r="B41" s="10" t="s">
        <v>90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2">
      <c r="A42" s="24"/>
      <c r="B42" s="10" t="s">
        <v>58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2">
      <c r="A43" s="24"/>
      <c r="B43" s="10"/>
      <c r="C43" s="24"/>
      <c r="D43" s="24"/>
      <c r="E43" s="24"/>
      <c r="F43" s="26" t="s">
        <v>97</v>
      </c>
      <c r="G43" s="26" t="s">
        <v>97</v>
      </c>
      <c r="H43" s="26" t="s">
        <v>97</v>
      </c>
      <c r="I43" s="26" t="s">
        <v>97</v>
      </c>
      <c r="J43" s="26" t="s">
        <v>97</v>
      </c>
      <c r="K43" s="26" t="s">
        <v>97</v>
      </c>
      <c r="L43" s="26" t="s">
        <v>97</v>
      </c>
      <c r="M43" s="26" t="s">
        <v>97</v>
      </c>
      <c r="N43" s="26" t="s">
        <v>97</v>
      </c>
      <c r="O43" s="26" t="s">
        <v>97</v>
      </c>
      <c r="P43" s="26" t="s">
        <v>97</v>
      </c>
      <c r="Q43" s="26" t="s">
        <v>97</v>
      </c>
      <c r="R43" s="26" t="s">
        <v>97</v>
      </c>
    </row>
    <row r="44" spans="1:18" x14ac:dyDescent="0.2">
      <c r="A44" s="24"/>
      <c r="B44" s="10"/>
      <c r="C44" s="24" t="s">
        <v>98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2">
      <c r="A48" s="10"/>
      <c r="B48" s="24"/>
      <c r="C48" s="10"/>
      <c r="D48" s="10"/>
      <c r="E48" s="10"/>
      <c r="F48" s="350" t="s">
        <v>101</v>
      </c>
      <c r="G48" s="350"/>
      <c r="H48" s="350"/>
      <c r="I48" s="350"/>
      <c r="J48" s="350"/>
      <c r="K48" s="350"/>
      <c r="L48" s="350"/>
      <c r="M48" s="350"/>
      <c r="N48" s="350"/>
      <c r="O48" s="350"/>
      <c r="P48" s="350"/>
      <c r="Q48" s="350"/>
      <c r="R48" s="350"/>
    </row>
    <row r="49" spans="1:18" x14ac:dyDescent="0.2">
      <c r="A49" s="24" t="s">
        <v>96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2">
      <c r="A50" s="24"/>
      <c r="B50" s="10" t="s">
        <v>89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2">
      <c r="A51" s="10"/>
      <c r="B51" s="10" t="s">
        <v>91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2">
      <c r="A52" s="10"/>
      <c r="B52" s="10" t="s">
        <v>90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2">
      <c r="A53" s="10"/>
      <c r="B53" s="10" t="s">
        <v>58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2">
      <c r="A54" s="10"/>
      <c r="B54" s="10"/>
      <c r="C54" s="10"/>
      <c r="D54" s="10"/>
      <c r="E54" s="10"/>
      <c r="F54" s="26" t="s">
        <v>97</v>
      </c>
      <c r="G54" s="26" t="s">
        <v>97</v>
      </c>
      <c r="H54" s="26" t="s">
        <v>97</v>
      </c>
      <c r="I54" s="26" t="s">
        <v>97</v>
      </c>
      <c r="J54" s="26" t="s">
        <v>97</v>
      </c>
      <c r="K54" s="26" t="s">
        <v>97</v>
      </c>
      <c r="L54" s="26" t="s">
        <v>97</v>
      </c>
      <c r="M54" s="26" t="s">
        <v>97</v>
      </c>
      <c r="N54" s="26" t="s">
        <v>97</v>
      </c>
      <c r="O54" s="26" t="s">
        <v>97</v>
      </c>
      <c r="P54" s="26" t="s">
        <v>97</v>
      </c>
      <c r="Q54" s="26" t="s">
        <v>97</v>
      </c>
      <c r="R54" s="26" t="s">
        <v>97</v>
      </c>
    </row>
    <row r="55" spans="1:18" x14ac:dyDescent="0.2">
      <c r="A55" s="10"/>
      <c r="B55" s="24"/>
      <c r="C55" s="10"/>
      <c r="D55" s="24" t="s">
        <v>98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C13:D13"/>
    <mergeCell ref="H27:T27"/>
    <mergeCell ref="F37:R37"/>
    <mergeCell ref="F48:R48"/>
    <mergeCell ref="B19:D19"/>
    <mergeCell ref="B20:D20"/>
    <mergeCell ref="B21:D21"/>
    <mergeCell ref="B22:D22"/>
    <mergeCell ref="B11:D11"/>
    <mergeCell ref="E6:R6"/>
    <mergeCell ref="A7:D7"/>
    <mergeCell ref="B8:D8"/>
    <mergeCell ref="B9:D9"/>
    <mergeCell ref="B10:D1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11" activePane="bottomLeft" state="frozen"/>
      <selection activeCell="A6" sqref="A6"/>
      <selection pane="bottomLeft" activeCell="J18" sqref="J18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30</v>
      </c>
      <c r="B1" s="5"/>
      <c r="C1" s="5"/>
      <c r="D1" s="5"/>
      <c r="E1" s="5"/>
    </row>
    <row r="2" spans="1:19" s="6" customFormat="1" ht="15" customHeight="1" x14ac:dyDescent="0.15">
      <c r="A2" s="7" t="s">
        <v>31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329" t="s">
        <v>32</v>
      </c>
      <c r="B5" s="330"/>
      <c r="C5" s="330"/>
      <c r="D5" s="330"/>
      <c r="E5" s="330"/>
      <c r="F5" s="330"/>
      <c r="G5" s="330"/>
      <c r="H5" s="330"/>
      <c r="I5" s="330"/>
      <c r="J5" s="330"/>
      <c r="K5" s="330"/>
      <c r="L5" s="330"/>
      <c r="M5" s="330"/>
      <c r="N5" s="330"/>
      <c r="O5" s="330"/>
      <c r="P5" s="330"/>
      <c r="Q5" s="330"/>
      <c r="R5" s="330"/>
      <c r="S5" s="330"/>
    </row>
    <row r="6" spans="1:19" s="6" customFormat="1" ht="15" customHeight="1" x14ac:dyDescent="0.15">
      <c r="A6" s="331" t="s">
        <v>33</v>
      </c>
      <c r="B6" s="331"/>
      <c r="C6" s="331"/>
      <c r="D6" s="331"/>
      <c r="E6" s="331"/>
      <c r="F6" s="331"/>
      <c r="G6" s="331"/>
      <c r="H6" s="331"/>
      <c r="I6" s="331"/>
      <c r="J6" s="331"/>
      <c r="K6" s="331"/>
      <c r="L6" s="331"/>
      <c r="M6" s="331"/>
      <c r="N6" s="331"/>
      <c r="O6" s="331"/>
      <c r="P6" s="331"/>
      <c r="Q6" s="331"/>
      <c r="R6" s="331"/>
      <c r="S6" s="331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332" t="s">
        <v>34</v>
      </c>
      <c r="S8" s="333"/>
    </row>
    <row r="9" spans="1:19" s="6" customFormat="1" ht="15" customHeight="1" x14ac:dyDescent="0.15">
      <c r="A9" s="10"/>
      <c r="B9" s="10"/>
      <c r="C9" s="14"/>
      <c r="D9" s="14"/>
      <c r="E9" s="14"/>
      <c r="F9" s="15" t="s">
        <v>35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36</v>
      </c>
      <c r="S9" s="18" t="s">
        <v>36</v>
      </c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15">
      <c r="A11" s="10" t="s">
        <v>37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15">
      <c r="A12" s="10"/>
      <c r="B12" s="10" t="s">
        <v>38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15">
      <c r="A13" s="10"/>
      <c r="B13" s="10" t="s">
        <v>39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15">
      <c r="A14" s="10"/>
      <c r="B14" s="10"/>
      <c r="C14" s="10"/>
      <c r="D14" s="10"/>
      <c r="E14" s="10"/>
      <c r="F14" s="26" t="s">
        <v>40</v>
      </c>
      <c r="G14" s="26" t="s">
        <v>40</v>
      </c>
      <c r="H14" s="26" t="s">
        <v>40</v>
      </c>
      <c r="I14" s="26" t="s">
        <v>40</v>
      </c>
      <c r="J14" s="26" t="s">
        <v>40</v>
      </c>
      <c r="K14" s="26" t="s">
        <v>40</v>
      </c>
      <c r="L14" s="26" t="s">
        <v>40</v>
      </c>
      <c r="M14" s="26" t="s">
        <v>40</v>
      </c>
      <c r="N14" s="26" t="s">
        <v>40</v>
      </c>
      <c r="O14" s="26" t="s">
        <v>40</v>
      </c>
      <c r="P14" s="26" t="s">
        <v>40</v>
      </c>
      <c r="Q14" s="26" t="s">
        <v>40</v>
      </c>
      <c r="R14" s="26" t="s">
        <v>40</v>
      </c>
      <c r="S14" s="26" t="s">
        <v>41</v>
      </c>
    </row>
    <row r="15" spans="1:19" s="6" customFormat="1" ht="16.5" customHeight="1" x14ac:dyDescent="0.15">
      <c r="A15" s="10"/>
      <c r="B15" s="10"/>
      <c r="C15" s="10"/>
      <c r="D15" s="10" t="s">
        <v>42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15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15">
      <c r="A17" s="10" t="s">
        <v>43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15">
      <c r="A18" s="10"/>
      <c r="B18" s="28" t="s">
        <v>44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15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15">
      <c r="A20" s="10"/>
      <c r="B20" s="28" t="s">
        <v>45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15">
      <c r="A21" s="10"/>
      <c r="B21" s="28" t="s">
        <v>46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15">
      <c r="A22" s="10"/>
      <c r="B22" s="10"/>
      <c r="C22" s="10"/>
      <c r="D22" s="10"/>
      <c r="E22" s="10"/>
      <c r="F22" s="26" t="s">
        <v>40</v>
      </c>
      <c r="G22" s="26" t="s">
        <v>40</v>
      </c>
      <c r="H22" s="26" t="s">
        <v>40</v>
      </c>
      <c r="I22" s="26" t="s">
        <v>40</v>
      </c>
      <c r="J22" s="26" t="s">
        <v>40</v>
      </c>
      <c r="K22" s="26" t="s">
        <v>40</v>
      </c>
      <c r="L22" s="26" t="s">
        <v>40</v>
      </c>
      <c r="M22" s="26" t="s">
        <v>40</v>
      </c>
      <c r="N22" s="26" t="s">
        <v>40</v>
      </c>
      <c r="O22" s="26" t="s">
        <v>40</v>
      </c>
      <c r="P22" s="26" t="s">
        <v>40</v>
      </c>
      <c r="Q22" s="26" t="s">
        <v>40</v>
      </c>
      <c r="R22" s="26" t="s">
        <v>40</v>
      </c>
      <c r="S22" s="26" t="s">
        <v>41</v>
      </c>
    </row>
    <row r="23" spans="1:20" s="6" customFormat="1" ht="15" customHeight="1" x14ac:dyDescent="0.15">
      <c r="A23" s="10"/>
      <c r="B23" s="10"/>
      <c r="C23" s="10"/>
      <c r="D23" s="10" t="s">
        <v>47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15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15">
      <c r="A25" s="10" t="s">
        <v>48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15">
      <c r="A26" s="10"/>
      <c r="B26" s="10" t="s">
        <v>49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15">
      <c r="A27" s="10"/>
      <c r="B27" s="10" t="s">
        <v>50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15">
      <c r="A28" s="10"/>
      <c r="B28" s="10" t="s">
        <v>51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15">
      <c r="A29" s="10"/>
      <c r="B29" s="10" t="s">
        <v>52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15">
      <c r="A30" s="10"/>
      <c r="B30" s="10" t="s">
        <v>53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15">
      <c r="A31" s="10"/>
      <c r="B31" s="10" t="s">
        <v>54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15">
      <c r="A32" s="10"/>
      <c r="B32" s="10"/>
      <c r="C32" s="10"/>
      <c r="D32" s="10"/>
      <c r="E32" s="10"/>
      <c r="F32" s="26" t="s">
        <v>40</v>
      </c>
      <c r="G32" s="26" t="s">
        <v>40</v>
      </c>
      <c r="H32" s="26" t="s">
        <v>40</v>
      </c>
      <c r="I32" s="26" t="s">
        <v>40</v>
      </c>
      <c r="J32" s="26" t="s">
        <v>40</v>
      </c>
      <c r="K32" s="26" t="s">
        <v>40</v>
      </c>
      <c r="L32" s="26" t="s">
        <v>40</v>
      </c>
      <c r="M32" s="26" t="s">
        <v>40</v>
      </c>
      <c r="N32" s="26" t="s">
        <v>40</v>
      </c>
      <c r="O32" s="26" t="s">
        <v>40</v>
      </c>
      <c r="P32" s="26" t="s">
        <v>40</v>
      </c>
      <c r="Q32" s="26" t="s">
        <v>40</v>
      </c>
      <c r="R32" s="26" t="s">
        <v>40</v>
      </c>
      <c r="S32" s="26" t="s">
        <v>41</v>
      </c>
    </row>
    <row r="33" spans="1:24" s="6" customFormat="1" ht="15" customHeight="1" x14ac:dyDescent="0.15">
      <c r="A33" s="10"/>
      <c r="B33" s="10"/>
      <c r="C33" s="10"/>
      <c r="D33" s="10" t="s">
        <v>42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15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15">
      <c r="A35" s="10" t="s">
        <v>55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150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15">
      <c r="A36" s="10"/>
      <c r="B36" s="10" t="s">
        <v>56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151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15">
      <c r="A37" s="10"/>
      <c r="B37" s="10" t="s">
        <v>57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15">
      <c r="A38" s="10"/>
      <c r="B38" s="10" t="s">
        <v>58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152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15">
      <c r="A39" s="10"/>
      <c r="B39" s="10"/>
      <c r="C39" s="10"/>
      <c r="D39" s="10"/>
      <c r="E39" s="10"/>
      <c r="F39" s="26" t="s">
        <v>40</v>
      </c>
      <c r="G39" s="26" t="s">
        <v>40</v>
      </c>
      <c r="H39" s="26" t="s">
        <v>40</v>
      </c>
      <c r="I39" s="26" t="s">
        <v>40</v>
      </c>
      <c r="J39" s="26" t="s">
        <v>40</v>
      </c>
      <c r="K39" s="26" t="s">
        <v>40</v>
      </c>
      <c r="L39" s="26" t="s">
        <v>40</v>
      </c>
      <c r="M39" s="26" t="s">
        <v>40</v>
      </c>
      <c r="N39" s="26" t="s">
        <v>40</v>
      </c>
      <c r="O39" s="26" t="s">
        <v>40</v>
      </c>
      <c r="P39" s="26" t="s">
        <v>40</v>
      </c>
      <c r="Q39" s="26" t="s">
        <v>40</v>
      </c>
      <c r="R39" s="26" t="s">
        <v>40</v>
      </c>
      <c r="S39" s="26" t="s">
        <v>41</v>
      </c>
    </row>
    <row r="40" spans="1:24" s="6" customFormat="1" ht="15" customHeight="1" x14ac:dyDescent="0.15">
      <c r="A40" s="10"/>
      <c r="B40" s="10"/>
      <c r="C40" s="10"/>
      <c r="D40" s="10" t="s">
        <v>42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153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15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154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15">
      <c r="A42" s="10" t="s">
        <v>59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155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15">
      <c r="A43" s="10"/>
      <c r="B43" s="10" t="s">
        <v>60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15">
      <c r="A44" s="10"/>
      <c r="B44" s="10" t="s">
        <v>58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15">
      <c r="A45" s="10"/>
      <c r="B45" s="10"/>
      <c r="C45" s="10"/>
      <c r="D45" s="10"/>
      <c r="E45" s="10"/>
      <c r="F45" s="26" t="s">
        <v>40</v>
      </c>
      <c r="G45" s="26" t="s">
        <v>40</v>
      </c>
      <c r="H45" s="26" t="s">
        <v>40</v>
      </c>
      <c r="I45" s="26" t="s">
        <v>40</v>
      </c>
      <c r="J45" s="26" t="s">
        <v>40</v>
      </c>
      <c r="K45" s="26" t="s">
        <v>40</v>
      </c>
      <c r="L45" s="26" t="s">
        <v>40</v>
      </c>
      <c r="M45" s="26" t="s">
        <v>40</v>
      </c>
      <c r="N45" s="26" t="s">
        <v>40</v>
      </c>
      <c r="O45" s="26" t="s">
        <v>40</v>
      </c>
      <c r="P45" s="26" t="s">
        <v>40</v>
      </c>
      <c r="Q45" s="26" t="s">
        <v>40</v>
      </c>
      <c r="R45" s="26" t="s">
        <v>40</v>
      </c>
      <c r="S45" s="26" t="s">
        <v>41</v>
      </c>
    </row>
    <row r="46" spans="1:24" s="6" customFormat="1" ht="15" customHeight="1" x14ac:dyDescent="0.15">
      <c r="A46" s="10"/>
      <c r="B46" s="10"/>
      <c r="C46" s="10"/>
      <c r="D46" s="10" t="s">
        <v>42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15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15">
      <c r="A48" s="89" t="s">
        <v>148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15">
      <c r="A49" s="89" t="s">
        <v>156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15">
      <c r="A50" s="89" t="s">
        <v>157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15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15">
      <c r="A52" s="10" t="s">
        <v>61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15">
      <c r="A53" s="10"/>
      <c r="B53" s="10" t="s">
        <v>62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15">
      <c r="A54" s="10"/>
      <c r="B54" s="10" t="s">
        <v>63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15">
      <c r="A55" s="10"/>
      <c r="B55" s="10" t="s">
        <v>64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15">
      <c r="A56" s="10"/>
      <c r="B56" s="10" t="s">
        <v>65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15">
      <c r="A57" s="10"/>
      <c r="B57" s="10" t="s">
        <v>66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15">
      <c r="A58" s="10"/>
      <c r="B58" s="28" t="s">
        <v>67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15">
      <c r="A59" s="10"/>
      <c r="B59" s="10" t="s">
        <v>68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15">
      <c r="A60" s="10"/>
      <c r="B60" s="10" t="s">
        <v>58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15">
      <c r="A61" s="10"/>
      <c r="B61" s="10"/>
      <c r="C61" s="10"/>
      <c r="D61" s="10"/>
      <c r="E61" s="10"/>
      <c r="F61" s="26" t="s">
        <v>40</v>
      </c>
      <c r="G61" s="26" t="s">
        <v>40</v>
      </c>
      <c r="H61" s="26" t="s">
        <v>40</v>
      </c>
      <c r="I61" s="26" t="s">
        <v>40</v>
      </c>
      <c r="J61" s="26" t="s">
        <v>40</v>
      </c>
      <c r="K61" s="26" t="s">
        <v>40</v>
      </c>
      <c r="L61" s="26" t="s">
        <v>40</v>
      </c>
      <c r="M61" s="26" t="s">
        <v>40</v>
      </c>
      <c r="N61" s="26" t="s">
        <v>40</v>
      </c>
      <c r="O61" s="26" t="s">
        <v>40</v>
      </c>
      <c r="P61" s="26" t="s">
        <v>40</v>
      </c>
      <c r="Q61" s="26" t="s">
        <v>40</v>
      </c>
      <c r="R61" s="26" t="s">
        <v>40</v>
      </c>
      <c r="S61" s="26" t="s">
        <v>41</v>
      </c>
    </row>
    <row r="62" spans="1:19" s="6" customFormat="1" ht="15" customHeight="1" x14ac:dyDescent="0.15">
      <c r="A62" s="10"/>
      <c r="B62" s="10"/>
      <c r="C62" s="10"/>
      <c r="D62" s="10" t="s">
        <v>42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15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15">
      <c r="A64" s="10" t="s">
        <v>69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15">
      <c r="A65" s="10" t="s">
        <v>70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15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15">
      <c r="A67" s="10" t="s">
        <v>71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15">
      <c r="A68" s="10"/>
      <c r="B68" s="10" t="s">
        <v>72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15">
      <c r="A69" s="10"/>
      <c r="B69" s="10" t="s">
        <v>73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15">
      <c r="A70" s="10"/>
      <c r="B70" s="10" t="s">
        <v>74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15">
      <c r="A71" s="10"/>
      <c r="B71" s="10"/>
      <c r="C71" s="28" t="s">
        <v>75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15">
      <c r="A72" s="10"/>
      <c r="B72" s="10"/>
      <c r="C72" s="28" t="s">
        <v>76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15">
      <c r="A73" s="10"/>
      <c r="B73" s="10"/>
      <c r="C73" s="28" t="s">
        <v>37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15">
      <c r="A74" s="10"/>
      <c r="B74" s="10"/>
      <c r="C74" s="10"/>
      <c r="D74" s="10"/>
      <c r="E74" s="10"/>
      <c r="F74" s="26" t="s">
        <v>40</v>
      </c>
      <c r="G74" s="26" t="s">
        <v>40</v>
      </c>
      <c r="H74" s="26" t="s">
        <v>40</v>
      </c>
      <c r="I74" s="26" t="s">
        <v>40</v>
      </c>
      <c r="J74" s="26" t="s">
        <v>40</v>
      </c>
      <c r="K74" s="26" t="s">
        <v>40</v>
      </c>
      <c r="L74" s="26" t="s">
        <v>40</v>
      </c>
      <c r="M74" s="26" t="s">
        <v>40</v>
      </c>
      <c r="N74" s="26" t="s">
        <v>40</v>
      </c>
      <c r="O74" s="26" t="s">
        <v>40</v>
      </c>
      <c r="P74" s="26" t="s">
        <v>40</v>
      </c>
      <c r="Q74" s="26" t="s">
        <v>40</v>
      </c>
      <c r="R74" s="26" t="s">
        <v>40</v>
      </c>
      <c r="S74" s="26" t="s">
        <v>41</v>
      </c>
    </row>
    <row r="75" spans="1:19" s="6" customFormat="1" ht="15" customHeight="1" x14ac:dyDescent="0.15">
      <c r="A75" s="10"/>
      <c r="B75" s="10"/>
      <c r="C75" s="10"/>
      <c r="D75" s="352" t="s">
        <v>42</v>
      </c>
      <c r="E75" s="353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15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15">
      <c r="A77" s="10"/>
      <c r="B77" s="28" t="s">
        <v>77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15">
      <c r="A78" s="10"/>
      <c r="B78" s="28" t="s">
        <v>66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15">
      <c r="A79" s="10"/>
      <c r="B79" s="28" t="s">
        <v>67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15">
      <c r="A80" s="10"/>
      <c r="B80" s="28" t="s">
        <v>58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15">
      <c r="A81" s="10"/>
      <c r="B81" s="28"/>
      <c r="C81" s="28"/>
      <c r="D81" s="28"/>
      <c r="E81" s="28"/>
      <c r="F81" s="26" t="s">
        <v>40</v>
      </c>
      <c r="G81" s="26" t="s">
        <v>40</v>
      </c>
      <c r="H81" s="26" t="s">
        <v>40</v>
      </c>
      <c r="I81" s="26" t="s">
        <v>40</v>
      </c>
      <c r="J81" s="26" t="s">
        <v>40</v>
      </c>
      <c r="K81" s="26" t="s">
        <v>40</v>
      </c>
      <c r="L81" s="26" t="s">
        <v>40</v>
      </c>
      <c r="M81" s="26" t="s">
        <v>40</v>
      </c>
      <c r="N81" s="26" t="s">
        <v>40</v>
      </c>
      <c r="O81" s="26" t="s">
        <v>40</v>
      </c>
      <c r="P81" s="26" t="s">
        <v>40</v>
      </c>
      <c r="Q81" s="26" t="s">
        <v>40</v>
      </c>
      <c r="R81" s="26" t="s">
        <v>40</v>
      </c>
      <c r="S81" s="26" t="s">
        <v>41</v>
      </c>
    </row>
    <row r="82" spans="1:20" s="6" customFormat="1" ht="15" customHeight="1" x14ac:dyDescent="0.15">
      <c r="A82" s="10"/>
      <c r="B82" s="28"/>
      <c r="C82" s="10"/>
      <c r="D82" s="28" t="s">
        <v>42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15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15">
      <c r="A84" s="10"/>
      <c r="B84" s="10"/>
      <c r="C84" s="10"/>
      <c r="D84" s="10"/>
      <c r="E84" s="10" t="s">
        <v>78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15">
      <c r="A85" s="10"/>
      <c r="B85" s="10"/>
      <c r="C85" s="10"/>
      <c r="D85" s="10"/>
      <c r="E85" s="10" t="s">
        <v>79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15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15">
      <c r="A87" s="30" t="s">
        <v>80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15">
      <c r="A88" s="10" t="s">
        <v>81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15">
      <c r="A89" s="10"/>
      <c r="B89" s="10" t="s">
        <v>82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15">
      <c r="A90" s="19"/>
      <c r="B90" s="19" t="s">
        <v>83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15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0E13C6-C717-4C73-9EC5-EE5855C1B9D0}">
  <ds:schemaRefs>
    <ds:schemaRef ds:uri="http://schemas.openxmlformats.org/package/2006/metadata/core-properties"/>
    <ds:schemaRef ds:uri="http://purl.org/dc/elements/1.1/"/>
    <ds:schemaRef ds:uri="http://www.w3.org/XML/1998/namespace"/>
    <ds:schemaRef ds:uri="cac5d118-ba7b-4807-b700-df6f95cfff50"/>
    <ds:schemaRef ds:uri="http://purl.org/dc/terms/"/>
    <ds:schemaRef ds:uri="http://schemas.microsoft.com/office/infopath/2007/PartnerControls"/>
    <ds:schemaRef ds:uri="http://schemas.microsoft.com/office/2006/documentManagement/types"/>
    <ds:schemaRef ds:uri="66951ee6-cd93-49c7-9437-e871b2a117d6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main</vt:lpstr>
      <vt:lpstr>Stimulus Round 2</vt:lpstr>
      <vt:lpstr>add-ons calculations</vt:lpstr>
      <vt:lpstr>FIM Add Factors</vt:lpstr>
      <vt:lpstr>main_nipas</vt:lpstr>
      <vt:lpstr>add-ons calculations nipas</vt:lpstr>
      <vt:lpstr>NIPA Add Factors</vt:lpstr>
      <vt:lpstr>Haver NA</vt:lpstr>
      <vt:lpstr>ui</vt:lpstr>
      <vt:lpstr>MPC</vt:lpstr>
      <vt:lpstr>MPC - round (2)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Microsoft Office User</cp:lastModifiedBy>
  <dcterms:created xsi:type="dcterms:W3CDTF">2020-09-09T22:29:58Z</dcterms:created>
  <dcterms:modified xsi:type="dcterms:W3CDTF">2020-12-24T17:45:47Z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