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711425B1-D348-4CF3-9C0F-3FCA51083CF2}" xr6:coauthVersionLast="44" xr6:coauthVersionMax="45" xr10:uidLastSave="{00000000-0000-0000-0000-000000000000}"/>
  <bookViews>
    <workbookView xWindow="-28920" yWindow="855" windowWidth="29040" windowHeight="15840" xr2:uid="{BAFE3F49-3B7E-4387-938E-5F3D7AC6DAFE}"/>
  </bookViews>
  <sheets>
    <sheet name="main" sheetId="1" r:id="rId1"/>
    <sheet name="Haver NA" sheetId="14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0" i="1" l="1"/>
  <c r="L77" i="1"/>
  <c r="L74" i="1"/>
  <c r="L71" i="1"/>
  <c r="L67" i="1"/>
  <c r="L65" i="1"/>
  <c r="L64" i="1"/>
  <c r="L54" i="1"/>
  <c r="L52" i="1"/>
  <c r="L51" i="1"/>
  <c r="L50" i="1"/>
  <c r="L48" i="1"/>
  <c r="L46" i="1"/>
  <c r="L41" i="1"/>
  <c r="L40" i="1"/>
  <c r="L34" i="1"/>
  <c r="L32" i="1"/>
  <c r="L31" i="1"/>
  <c r="L30" i="1"/>
  <c r="L26" i="1"/>
  <c r="L25" i="1"/>
  <c r="L24" i="1"/>
  <c r="L23" i="1"/>
  <c r="L18" i="1"/>
  <c r="L16" i="1"/>
  <c r="L14" i="1"/>
  <c r="L12" i="1"/>
  <c r="L7" i="1"/>
  <c r="L5" i="1"/>
  <c r="L33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K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6" i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L82" i="1"/>
  <c r="L78" i="1"/>
  <c r="F78" i="1"/>
  <c r="G78" i="1"/>
  <c r="H78" i="1"/>
  <c r="I78" i="1"/>
  <c r="J78" i="1"/>
  <c r="K78" i="1"/>
  <c r="K82" i="1"/>
  <c r="J82" i="1"/>
  <c r="N37" i="1" l="1"/>
  <c r="L49" i="1" l="1"/>
  <c r="K49" i="1"/>
  <c r="L72" i="1"/>
  <c r="L55" i="1"/>
  <c r="N16" i="1"/>
  <c r="N6" i="1"/>
  <c r="N12" i="1"/>
  <c r="N14" i="1"/>
  <c r="N11" i="1" l="1"/>
  <c r="AA25" i="5"/>
  <c r="AA26" i="5" s="1"/>
  <c r="Z25" i="5"/>
  <c r="Y25" i="5"/>
  <c r="X25" i="5"/>
  <c r="W25" i="5"/>
  <c r="V25" i="5"/>
  <c r="U25" i="5"/>
  <c r="T25" i="5"/>
  <c r="T26" i="5" s="1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P52" i="5" s="1"/>
  <c r="N51" i="5"/>
  <c r="M51" i="5"/>
  <c r="L51" i="5"/>
  <c r="R72" i="5"/>
  <c r="S72" i="5"/>
  <c r="T72" i="5"/>
  <c r="T73" i="5" s="1"/>
  <c r="U72" i="5"/>
  <c r="U73" i="5" s="1"/>
  <c r="V72" i="5"/>
  <c r="V73" i="5" s="1"/>
  <c r="W72" i="5"/>
  <c r="W73" i="5" s="1"/>
  <c r="X72" i="5"/>
  <c r="Y72" i="5"/>
  <c r="Z72" i="5"/>
  <c r="Z73" i="5" s="1"/>
  <c r="AA72" i="5"/>
  <c r="AA73" i="5" s="1"/>
  <c r="N65" i="5"/>
  <c r="O65" i="5"/>
  <c r="P65" i="5"/>
  <c r="P66" i="5" s="1"/>
  <c r="Q65" i="5"/>
  <c r="Q66" i="5" s="1"/>
  <c r="R65" i="5"/>
  <c r="S65" i="5"/>
  <c r="T65" i="5"/>
  <c r="U65" i="5"/>
  <c r="V65" i="5"/>
  <c r="W65" i="5"/>
  <c r="X65" i="5"/>
  <c r="X66" i="5" s="1"/>
  <c r="Y65" i="5"/>
  <c r="Z65" i="5"/>
  <c r="AA65" i="5"/>
  <c r="M65" i="5"/>
  <c r="G42" i="1"/>
  <c r="L58" i="5"/>
  <c r="M58" i="5"/>
  <c r="M59" i="5" s="1"/>
  <c r="N58" i="5"/>
  <c r="O58" i="5"/>
  <c r="P58" i="5"/>
  <c r="P59" i="5" s="1"/>
  <c r="Q58" i="5"/>
  <c r="Q59" i="5" s="1"/>
  <c r="R58" i="5"/>
  <c r="R59" i="5" s="1"/>
  <c r="S58" i="5"/>
  <c r="T58" i="5"/>
  <c r="T59" i="5" s="1"/>
  <c r="U58" i="5"/>
  <c r="V58" i="5"/>
  <c r="V59" i="5" s="1"/>
  <c r="W58" i="5"/>
  <c r="W59" i="5" s="1"/>
  <c r="X58" i="5"/>
  <c r="X59" i="5" s="1"/>
  <c r="Y58" i="5"/>
  <c r="Y59" i="5" s="1"/>
  <c r="Z58" i="5"/>
  <c r="AA58" i="5"/>
  <c r="Q33" i="5" l="1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6" i="1"/>
  <c r="Y66" i="1"/>
  <c r="X66" i="1"/>
  <c r="W66" i="1"/>
  <c r="P72" i="5"/>
  <c r="Q72" i="5"/>
  <c r="L4" i="10" l="1"/>
  <c r="G38" i="11" s="1"/>
  <c r="G41" i="11" s="1"/>
  <c r="O31" i="1"/>
  <c r="Q73" i="5"/>
  <c r="R73" i="5"/>
  <c r="O72" i="5"/>
  <c r="S47" i="1"/>
  <c r="N48" i="1"/>
  <c r="P48" i="1"/>
  <c r="Q48" i="1"/>
  <c r="R48" i="1"/>
  <c r="T48" i="1"/>
  <c r="U48" i="1"/>
  <c r="V48" i="1"/>
  <c r="T49" i="1"/>
  <c r="U49" i="1"/>
  <c r="V49" i="1"/>
  <c r="P31" i="1" l="1"/>
  <c r="M4" i="10"/>
  <c r="H38" i="11" s="1"/>
  <c r="H41" i="11" s="1"/>
  <c r="O47" i="1"/>
  <c r="P47" i="1"/>
  <c r="U47" i="1"/>
  <c r="T47" i="1"/>
  <c r="N47" i="1"/>
  <c r="V47" i="1"/>
  <c r="R47" i="1"/>
  <c r="Q47" i="1"/>
  <c r="L47" i="1"/>
  <c r="E44" i="5"/>
  <c r="L32" i="5"/>
  <c r="M32" i="5"/>
  <c r="L65" i="5"/>
  <c r="M66" i="5" s="1"/>
  <c r="L72" i="5"/>
  <c r="M72" i="5"/>
  <c r="N72" i="5"/>
  <c r="S58" i="1"/>
  <c r="T58" i="1"/>
  <c r="U58" i="1"/>
  <c r="V58" i="1"/>
  <c r="W58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K22" i="1"/>
  <c r="E38" i="5" s="1"/>
  <c r="J22" i="1"/>
  <c r="I22" i="1"/>
  <c r="H22" i="1"/>
  <c r="G22" i="1"/>
  <c r="F22" i="1"/>
  <c r="E22" i="1"/>
  <c r="V6" i="1"/>
  <c r="U6" i="1"/>
  <c r="T6" i="1"/>
  <c r="S6" i="1"/>
  <c r="R6" i="1"/>
  <c r="Q6" i="1"/>
  <c r="P6" i="1"/>
  <c r="O6" i="1"/>
  <c r="L6" i="1"/>
  <c r="K6" i="1"/>
  <c r="J6" i="1"/>
  <c r="I6" i="1"/>
  <c r="H6" i="1"/>
  <c r="G6" i="1"/>
  <c r="F6" i="1"/>
  <c r="K27" i="1"/>
  <c r="J27" i="1"/>
  <c r="I27" i="1"/>
  <c r="H27" i="1"/>
  <c r="G27" i="1"/>
  <c r="F27" i="1"/>
  <c r="E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L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2" i="9" l="1" a="1"/>
  <c r="E13" i="9" s="1"/>
  <c r="E2" i="12" a="1"/>
  <c r="R38" i="11"/>
  <c r="Q41" i="11"/>
  <c r="T67" i="5"/>
  <c r="U64" i="5"/>
  <c r="T23" i="1"/>
  <c r="S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K11" i="1"/>
  <c r="J11" i="1"/>
  <c r="I11" i="1"/>
  <c r="H11" i="1"/>
  <c r="G11" i="1"/>
  <c r="F11" i="1"/>
  <c r="E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K72" i="1" l="1"/>
  <c r="J72" i="1"/>
  <c r="I72" i="1"/>
  <c r="H72" i="1"/>
  <c r="G72" i="1"/>
  <c r="F72" i="1"/>
  <c r="E72" i="1"/>
  <c r="K58" i="1"/>
  <c r="F55" i="1"/>
  <c r="G55" i="1"/>
  <c r="H55" i="1"/>
  <c r="I55" i="1"/>
  <c r="J55" i="1"/>
  <c r="K55" i="1"/>
  <c r="K56" i="1" s="1"/>
  <c r="E55" i="1"/>
  <c r="AJ67" i="1"/>
  <c r="AI67" i="1"/>
  <c r="AH67" i="1"/>
  <c r="I76" i="1"/>
  <c r="J76" i="1"/>
  <c r="F15" i="7" s="1"/>
  <c r="J15" i="7" s="1"/>
  <c r="J13" i="7" s="1"/>
  <c r="F76" i="1"/>
  <c r="G76" i="1"/>
  <c r="H76" i="1"/>
  <c r="E76" i="1"/>
  <c r="K62" i="1" l="1"/>
  <c r="E71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J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L6" i="10" s="1"/>
  <c r="G24" i="11" s="1"/>
  <c r="G27" i="11" s="1"/>
  <c r="L15" i="7"/>
  <c r="L13" i="7" s="1"/>
  <c r="AC74" i="1"/>
  <c r="D25" i="5"/>
  <c r="E50" i="5"/>
  <c r="L86" i="1"/>
  <c r="E85" i="1"/>
  <c r="E87" i="1" s="1"/>
  <c r="K86" i="1"/>
  <c r="D24" i="5" s="1"/>
  <c r="L39" i="1"/>
  <c r="K39" i="1"/>
  <c r="O74" i="1" l="1"/>
  <c r="M6" i="10" s="1"/>
  <c r="H24" i="11" s="1"/>
  <c r="H27" i="11" s="1"/>
  <c r="L42" i="1"/>
  <c r="N67" i="1"/>
  <c r="E24" i="5"/>
  <c r="L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6" i="1"/>
  <c r="O66" i="1"/>
  <c r="P66" i="1"/>
  <c r="Q66" i="1"/>
  <c r="R66" i="1"/>
  <c r="S66" i="1"/>
  <c r="T66" i="1"/>
  <c r="U66" i="1"/>
  <c r="V66" i="1"/>
  <c r="L66" i="1"/>
  <c r="L56" i="1" s="1"/>
  <c r="O39" i="1"/>
  <c r="P39" i="1"/>
  <c r="Q39" i="1"/>
  <c r="R39" i="1"/>
  <c r="N39" i="1"/>
  <c r="P74" i="1" l="1"/>
  <c r="N6" i="10" s="1"/>
  <c r="I24" i="11" s="1"/>
  <c r="I27" i="11" s="1"/>
  <c r="O67" i="1"/>
  <c r="N56" i="1"/>
  <c r="O56" i="1" s="1"/>
  <c r="E54" i="6"/>
  <c r="E56" i="6" s="1"/>
  <c r="L6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7" i="1" l="1"/>
  <c r="F54" i="6"/>
  <c r="Q74" i="1"/>
  <c r="O6" i="10" s="1"/>
  <c r="J24" i="11" s="1"/>
  <c r="J27" i="11" s="1"/>
  <c r="F71" i="5"/>
  <c r="J3" i="9" s="1"/>
  <c r="P5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67" i="1" l="1"/>
  <c r="G54" i="6"/>
  <c r="F56" i="6"/>
  <c r="F58" i="6" s="1"/>
  <c r="R74" i="1"/>
  <c r="P6" i="10" s="1"/>
  <c r="K24" i="11" s="1"/>
  <c r="K27" i="11" s="1"/>
  <c r="AD74" i="1"/>
  <c r="Q5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7" i="1" l="1"/>
  <c r="G56" i="6"/>
  <c r="G58" i="6" s="1"/>
  <c r="H54" i="6"/>
  <c r="S74" i="1"/>
  <c r="Q6" i="10" s="1"/>
  <c r="L24" i="11" s="1"/>
  <c r="L27" i="11" s="1"/>
  <c r="R56" i="1"/>
  <c r="S5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7" i="1" l="1"/>
  <c r="H56" i="6"/>
  <c r="H58" i="6" s="1"/>
  <c r="I54" i="6"/>
  <c r="T74" i="1"/>
  <c r="R6" i="10" s="1"/>
  <c r="M24" i="11" s="1"/>
  <c r="T56" i="1"/>
  <c r="S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7" i="1"/>
  <c r="M27" i="11"/>
  <c r="N24" i="11"/>
  <c r="U74" i="1"/>
  <c r="S6" i="10" s="1"/>
  <c r="U56" i="1"/>
  <c r="T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4" i="1"/>
  <c r="T6" i="10" s="1"/>
  <c r="U67" i="1"/>
  <c r="AE74" i="1"/>
  <c r="V56" i="1"/>
  <c r="U62" i="1"/>
  <c r="N71" i="5" s="1"/>
  <c r="N74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7" i="1"/>
  <c r="V86" i="1" s="1"/>
  <c r="D2" i="9" a="1"/>
  <c r="D18" i="9" s="1"/>
  <c r="K52" i="5"/>
  <c r="L52" i="5"/>
  <c r="V62" i="1"/>
  <c r="O71" i="5" s="1"/>
  <c r="O74" i="5" s="1"/>
  <c r="W56" i="1"/>
  <c r="W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4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O54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24" i="11" l="1"/>
  <c r="R27" i="11"/>
  <c r="S71" i="5"/>
  <c r="R74" i="5"/>
  <c r="R54" i="1"/>
  <c r="Q54" i="1"/>
  <c r="T24" i="11" l="1"/>
  <c r="S27" i="11"/>
  <c r="T71" i="5"/>
  <c r="S74" i="5"/>
  <c r="F85" i="1"/>
  <c r="F87" i="1" s="1"/>
  <c r="G85" i="1"/>
  <c r="G87" i="1" s="1"/>
  <c r="H85" i="1"/>
  <c r="H87" i="1" s="1"/>
  <c r="I85" i="1"/>
  <c r="I87" i="1" s="1"/>
  <c r="J85" i="1"/>
  <c r="J87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K42" i="1"/>
  <c r="J42" i="1"/>
  <c r="I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K43" i="1"/>
  <c r="I68" i="1"/>
  <c r="J68" i="1"/>
  <c r="D57" i="5" s="1"/>
  <c r="J43" i="1"/>
  <c r="V71" i="5"/>
  <c r="U74" i="5"/>
  <c r="G47" i="2"/>
  <c r="G32" i="4"/>
  <c r="G33" i="4" s="1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N42" i="1"/>
  <c r="O42" i="1" s="1"/>
  <c r="P42" i="1" s="1"/>
  <c r="Q42" i="1" s="1"/>
  <c r="R42" i="1" s="1"/>
  <c r="S42" i="1" s="1"/>
  <c r="W71" i="5"/>
  <c r="V74" i="5"/>
  <c r="R35" i="1"/>
  <c r="N28" i="4"/>
  <c r="M33" i="4"/>
  <c r="M37" i="4" s="1"/>
  <c r="M17" i="4" s="1"/>
  <c r="K36" i="1" s="1"/>
  <c r="K35" i="1" s="1"/>
  <c r="AE36" i="1"/>
  <c r="L34" i="4"/>
  <c r="L38" i="4"/>
  <c r="L18" i="4" s="1"/>
  <c r="P18" i="4"/>
  <c r="O38" i="1" s="1"/>
  <c r="O18" i="4"/>
  <c r="N38" i="1" s="1"/>
  <c r="R18" i="4"/>
  <c r="Q38" i="1" s="1"/>
  <c r="L3" i="9" l="1" a="1"/>
  <c r="L3" i="9" s="1"/>
  <c r="Q33" i="1"/>
  <c r="AD36" i="1"/>
  <c r="M3" i="9" a="1"/>
  <c r="M3" i="9" s="1"/>
  <c r="X24" i="11"/>
  <c r="W27" i="11"/>
  <c r="N33" i="1"/>
  <c r="T42" i="1"/>
  <c r="R33" i="1"/>
  <c r="AE33" i="1" s="1"/>
  <c r="O33" i="1"/>
  <c r="M34" i="4"/>
  <c r="X71" i="5"/>
  <c r="W74" i="5"/>
  <c r="K68" i="1"/>
  <c r="E57" i="5" s="1"/>
  <c r="N33" i="4"/>
  <c r="N17" i="4" s="1"/>
  <c r="L36" i="1" s="1"/>
  <c r="N10" i="4"/>
  <c r="AD38" i="1"/>
  <c r="M38" i="4"/>
  <c r="M18" i="4" s="1"/>
  <c r="K38" i="1" s="1"/>
  <c r="N8" i="4"/>
  <c r="N18" i="4"/>
  <c r="L38" i="1" s="1"/>
  <c r="L85" i="1" s="1"/>
  <c r="L8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F42" i="1"/>
  <c r="G68" i="1"/>
  <c r="H42" i="1"/>
  <c r="E42" i="1"/>
  <c r="AB33" i="1"/>
  <c r="I47" i="2"/>
  <c r="H47" i="2"/>
  <c r="F24" i="2"/>
  <c r="N30" i="1" l="1"/>
  <c r="L3" i="10" s="1"/>
  <c r="G45" i="11" s="1"/>
  <c r="G48" i="11" s="1"/>
  <c r="K3" i="9" a="1"/>
  <c r="K3" i="9" s="1"/>
  <c r="Y24" i="11"/>
  <c r="X27" i="11"/>
  <c r="U42" i="1"/>
  <c r="E68" i="1"/>
  <c r="F68" i="1"/>
  <c r="F43" i="1"/>
  <c r="G43" i="1"/>
  <c r="H68" i="1"/>
  <c r="H43" i="1"/>
  <c r="I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L35" i="1"/>
  <c r="AC38" i="1"/>
  <c r="K85" i="1"/>
  <c r="AD33" i="1"/>
  <c r="H49" i="2"/>
  <c r="H50" i="2" s="1"/>
  <c r="AC36" i="1"/>
  <c r="I49" i="2"/>
  <c r="I50" i="2" s="1"/>
  <c r="Z24" i="11" l="1"/>
  <c r="Y27" i="11"/>
  <c r="AC33" i="1"/>
  <c r="Z71" i="5"/>
  <c r="Y74" i="5"/>
  <c r="K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7" i="1"/>
  <c r="L69" i="1"/>
  <c r="B2" i="12" l="1" a="1"/>
  <c r="B2" i="12" s="1"/>
  <c r="F50" i="5"/>
  <c r="F53" i="5" s="1"/>
  <c r="N18" i="1"/>
  <c r="AC18" i="1"/>
  <c r="AH42" i="1"/>
  <c r="L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69" i="1"/>
  <c r="AB42" i="1"/>
  <c r="O18" i="1"/>
  <c r="L68" i="1"/>
  <c r="AC42" i="1"/>
  <c r="AN42" i="1" s="1"/>
  <c r="AD31" i="1"/>
  <c r="F57" i="5" l="1"/>
  <c r="F60" i="5" s="1"/>
  <c r="AM42" i="1"/>
  <c r="N68" i="1"/>
  <c r="G57" i="5" s="1"/>
  <c r="G60" i="5" s="1"/>
  <c r="P18" i="1"/>
  <c r="O12" i="1"/>
  <c r="AE31" i="1"/>
  <c r="Q18" i="1" l="1"/>
  <c r="AD18" i="1" s="1"/>
  <c r="P12" i="1"/>
  <c r="O11" i="1"/>
  <c r="O68" i="1"/>
  <c r="H57" i="5" s="1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8" i="1"/>
  <c r="I57" i="5" s="1"/>
  <c r="I60" i="5" s="1"/>
  <c r="S18" i="1" l="1"/>
  <c r="R12" i="1"/>
  <c r="Q11" i="1"/>
  <c r="Q30" i="1"/>
  <c r="O3" i="10" s="1"/>
  <c r="J45" i="11" s="1"/>
  <c r="J48" i="11" s="1"/>
  <c r="Q68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68" i="1"/>
  <c r="S30" i="1"/>
  <c r="Q3" i="10" s="1"/>
  <c r="L48" i="11" l="1"/>
  <c r="M60" i="5"/>
  <c r="V18" i="1"/>
  <c r="AE18" i="1"/>
  <c r="U12" i="1"/>
  <c r="T11" i="1"/>
  <c r="T68" i="1"/>
  <c r="T30" i="1"/>
  <c r="R3" i="10" s="1"/>
  <c r="M48" i="11" l="1"/>
  <c r="N60" i="5"/>
  <c r="U11" i="1"/>
  <c r="V12" i="1"/>
  <c r="V11" i="1" s="1"/>
  <c r="AE12" i="1"/>
  <c r="U68" i="1"/>
  <c r="AE42" i="1"/>
  <c r="U30" i="1"/>
  <c r="S3" i="10" s="1"/>
  <c r="N48" i="11" l="1"/>
  <c r="O60" i="5"/>
  <c r="V68" i="1"/>
  <c r="G71" i="5"/>
  <c r="G74" i="5" s="1"/>
  <c r="N69" i="1"/>
  <c r="G50" i="5" s="1"/>
  <c r="G53" i="5" s="1"/>
  <c r="N86" i="1"/>
  <c r="F24" i="5" s="1"/>
  <c r="F27" i="5" s="1"/>
  <c r="O48" i="11" l="1"/>
  <c r="P60" i="5"/>
  <c r="O86" i="1"/>
  <c r="G24" i="5" s="1"/>
  <c r="G27" i="5" s="1"/>
  <c r="H71" i="5"/>
  <c r="H74" i="5" s="1"/>
  <c r="O69" i="1"/>
  <c r="H50" i="5" s="1"/>
  <c r="H53" i="5" s="1"/>
  <c r="P48" i="11" l="1"/>
  <c r="Q60" i="5"/>
  <c r="I71" i="5"/>
  <c r="I74" i="5" s="1"/>
  <c r="P86" i="1"/>
  <c r="H24" i="5" s="1"/>
  <c r="H27" i="5" s="1"/>
  <c r="P69" i="1"/>
  <c r="I50" i="5" s="1"/>
  <c r="I53" i="5" s="1"/>
  <c r="Q48" i="11" l="1"/>
  <c r="R60" i="5"/>
  <c r="J71" i="5"/>
  <c r="J74" i="5" s="1"/>
  <c r="AD67" i="1"/>
  <c r="Q86" i="1"/>
  <c r="I24" i="5" s="1"/>
  <c r="I27" i="5" s="1"/>
  <c r="Q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69" i="1"/>
  <c r="R86" i="1"/>
  <c r="J24" i="5" s="1"/>
  <c r="J27" i="5" s="1"/>
  <c r="I2" i="9" l="1" a="1"/>
  <c r="I4" i="9" s="1"/>
  <c r="I2" i="12" a="1"/>
  <c r="S48" i="11"/>
  <c r="K53" i="5"/>
  <c r="P50" i="5"/>
  <c r="O53" i="5"/>
  <c r="T60" i="5"/>
  <c r="S86" i="1"/>
  <c r="K24" i="5" s="1"/>
  <c r="K27" i="5" s="1"/>
  <c r="S69" i="1"/>
  <c r="L53" i="5" s="1"/>
  <c r="I15" i="9" l="1"/>
  <c r="I3" i="9"/>
  <c r="I6" i="9"/>
  <c r="I18" i="9"/>
  <c r="I11" i="9"/>
  <c r="I10" i="9"/>
  <c r="I12" i="9"/>
  <c r="I2" i="9"/>
  <c r="I19" i="9"/>
  <c r="I21" i="9"/>
  <c r="I13" i="9"/>
  <c r="I9" i="9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6" i="1"/>
  <c r="L24" i="5" s="1"/>
  <c r="L27" i="5" s="1"/>
  <c r="T69" i="1"/>
  <c r="M53" i="5" s="1"/>
  <c r="U48" i="11" l="1"/>
  <c r="R50" i="5"/>
  <c r="Q53" i="5"/>
  <c r="V60" i="5"/>
  <c r="U69" i="1"/>
  <c r="N53" i="5" s="1"/>
  <c r="U86" i="1"/>
  <c r="M24" i="5" s="1"/>
  <c r="AE67" i="1"/>
  <c r="V48" i="11" l="1"/>
  <c r="M27" i="5"/>
  <c r="N24" i="5"/>
  <c r="S50" i="5"/>
  <c r="R53" i="5"/>
  <c r="W60" i="5"/>
  <c r="N72" i="1"/>
  <c r="O72" i="1" s="1"/>
  <c r="W48" i="11" l="1"/>
  <c r="O24" i="5"/>
  <c r="N27" i="5"/>
  <c r="S53" i="5"/>
  <c r="T50" i="5"/>
  <c r="X60" i="5"/>
  <c r="N71" i="1"/>
  <c r="O71" i="1"/>
  <c r="P72" i="1"/>
  <c r="X48" i="11" l="1"/>
  <c r="O85" i="1"/>
  <c r="O87" i="1" s="1"/>
  <c r="H31" i="5" s="1"/>
  <c r="H34" i="5" s="1"/>
  <c r="M5" i="10"/>
  <c r="H31" i="11" s="1"/>
  <c r="H34" i="11" s="1"/>
  <c r="N85" i="1"/>
  <c r="N8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2" i="1"/>
  <c r="P71" i="1"/>
  <c r="Y48" i="11" l="1"/>
  <c r="P85" i="1"/>
  <c r="P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2" i="1"/>
  <c r="Q71" i="1"/>
  <c r="AA48" i="11" l="1"/>
  <c r="Z48" i="11"/>
  <c r="Q85" i="1"/>
  <c r="Q87" i="1" s="1"/>
  <c r="J31" i="5" s="1"/>
  <c r="J34" i="5" s="1"/>
  <c r="O5" i="10"/>
  <c r="J31" i="11" s="1"/>
  <c r="J34" i="11" s="1"/>
  <c r="R24" i="5"/>
  <c r="Q27" i="5"/>
  <c r="W50" i="5"/>
  <c r="V53" i="5"/>
  <c r="S72" i="1"/>
  <c r="R71" i="1"/>
  <c r="G2" i="12" l="1" a="1"/>
  <c r="G2" i="12" s="1"/>
  <c r="R85" i="1"/>
  <c r="R87" i="1" s="1"/>
  <c r="K31" i="5" s="1"/>
  <c r="K34" i="5" s="1"/>
  <c r="P5" i="10"/>
  <c r="K31" i="11" s="1"/>
  <c r="K34" i="11" s="1"/>
  <c r="R27" i="5"/>
  <c r="S24" i="5"/>
  <c r="X50" i="5"/>
  <c r="W53" i="5"/>
  <c r="S71" i="1"/>
  <c r="T7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5" i="1"/>
  <c r="S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1" i="1"/>
  <c r="U72" i="1"/>
  <c r="L34" i="11" l="1"/>
  <c r="M31" i="11"/>
  <c r="T85" i="1"/>
  <c r="R5" i="10"/>
  <c r="U71" i="1"/>
  <c r="V72" i="1"/>
  <c r="V71" i="1" s="1"/>
  <c r="T27" i="5"/>
  <c r="U24" i="5"/>
  <c r="L34" i="5"/>
  <c r="Z50" i="5"/>
  <c r="Y53" i="5"/>
  <c r="T87" i="1"/>
  <c r="N31" i="11" l="1"/>
  <c r="M34" i="11"/>
  <c r="V85" i="1"/>
  <c r="V87" i="1" s="1"/>
  <c r="T5" i="10"/>
  <c r="U85" i="1"/>
  <c r="U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M11" i="9"/>
  <c r="M10" i="9"/>
  <c r="M9" i="9"/>
  <c r="M8" i="9"/>
  <c r="M7" i="9"/>
  <c r="M6" i="9"/>
  <c r="M5" i="9"/>
  <c r="M4" i="9"/>
  <c r="L11" i="9"/>
  <c r="L10" i="9"/>
  <c r="L9" i="9"/>
  <c r="L8" i="9"/>
  <c r="L7" i="9"/>
  <c r="L6" i="9"/>
  <c r="L5" i="9"/>
  <c r="L4" i="9"/>
  <c r="K11" i="9"/>
  <c r="K10" i="9"/>
  <c r="K9" i="9"/>
  <c r="K8" i="9"/>
  <c r="K7" i="9"/>
  <c r="K6" i="9"/>
  <c r="K5" i="9"/>
  <c r="K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tc={E09211C7-D54A-419D-82CE-C4BD25648B45}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M33" authorId="2" shapeId="0" xr:uid="{E09211C7-D54A-419D-82CE-C4BD25648B45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K56" authorId="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K61" authorId="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2" authorId="5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79" authorId="6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L83" authorId="7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8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9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0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<sst xmlns="http://schemas.openxmlformats.org/spreadsheetml/2006/main" count="930" uniqueCount="340">
  <si>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</si>
  <si>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</si>
  <si>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</si>
  <si>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</si>
  <si>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</si>
  <si>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</si>
  <si>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</si>
  <si>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</si>
  <si>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</si>
  <si>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</si>
  <si>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</si>
  <si>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</si>
  <si>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</si>
  <si>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</si>
  <si>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</si>
  <si>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</si>
  <si>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</si>
  <si>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</si>
  <si>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</si>
  <si>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</si>
  <si>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</si>
  <si>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</si>
  <si>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</si>
  <si>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</si>
  <si>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</si>
  <si>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</si>
  <si>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</si>
  <si>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</si>
  <si>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</si>
  <si>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</si>
  <si>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</si>
  <si>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</si>
  <si>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</si>
  <si>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</si>
  <si>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</si>
  <si>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</si>
  <si>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</si>
  <si>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</si>
  <si>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</si>
  <si>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</si>
  <si>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</si>
  <si>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</si>
  <si>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</si>
  <si>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</si>
  <si>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</si>
  <si>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</si>
  <si>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</si>
  <si>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</si>
  <si>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</si>
  <si>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</si>
  <si>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</si>
  <si>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</si>
  <si>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</si>
  <si>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</si>
  <si>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</si>
  <si>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</si>
  <si>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</si>
  <si>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</si>
  <si>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</si>
  <si>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</si>
  <si>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</si>
  <si>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</si>
  <si>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</si>
  <si>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</si>
  <si>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</si>
  <si>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</si>
  <si>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</si>
  <si>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</si>
  <si>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</si>
  <si>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</si>
  <si>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</si>
  <si>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</si>
  <si>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</si>
  <si>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</si>
  <si>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</si>
  <si>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</si>
  <si>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</si>
  <si>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</si>
  <si>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</si>
  <si>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</si>
  <si>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</si>
  <si>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</si>
  <si>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</si>
  <si>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</si>
  <si>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</si>
  <si>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</si>
  <si>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</si>
  <si>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</si>
  <si>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</si>
  <si>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</si>
  <si>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</si>
  <si>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</si>
  <si>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</si>
  <si>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</si>
  <si>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</si>
  <si>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</si>
  <si>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</si>
  <si>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</si>
  <si>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</si>
  <si>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</si>
  <si>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</si>
  <si>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</si>
  <si>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</si>
  <si>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</si>
  <si>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</si>
  <si>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</si>
  <si>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</si>
  <si>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</si>
  <si>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</si>
  <si>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</si>
  <si>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</si>
  <si>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</si>
  <si>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</si>
  <si>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</si>
  <si>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</si>
  <si>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</si>
  <si>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</si>
  <si>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</si>
  <si>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</si>
  <si>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</si>
  <si>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</si>
  <si>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</si>
  <si>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</si>
  <si>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</si>
  <si>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</si>
  <si>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</si>
  <si>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</si>
  <si>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</si>
  <si>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</si>
  <si>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</si>
  <si>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</si>
  <si>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</si>
  <si>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</si>
  <si>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</si>
  <si>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</si>
  <si>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</si>
  <si>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</si>
  <si>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</si>
  <si>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</si>
  <si>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</si>
  <si>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</si>
  <si>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</si>
  <si>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</si>
  <si>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</si>
  <si>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</si>
  <si>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</si>
  <si>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</si>
  <si>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</si>
  <si>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</si>
  <si>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</si>
  <si>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</si>
  <si>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</si>
  <si>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</si>
  <si>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</si>
  <si>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</si>
  <si>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</si>
  <si>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</si>
  <si>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</si>
  <si>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</si>
  <si>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</si>
  <si>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</si>
  <si>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</si>
  <si>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</si>
  <si>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</si>
  <si>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</si>
  <si>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</si>
  <si>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</si>
  <si>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</si>
  <si>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</si>
  <si>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</si>
  <si>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</si>
  <si>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</si>
  <si>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</si>
  <si>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</si>
  <si>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</si>
  <si>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</si>
  <si>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</si>
  <si>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</si>
  <si>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</si>
  <si>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</si>
  <si>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</si>
  <si>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</si>
  <si>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</si>
  <si>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</si>
  <si>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</si>
  <si>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</si>
  <si>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</si>
  <si>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</si>
  <si>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</si>
  <si>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</si>
  <si>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</si>
  <si>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</si>
  <si>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</si>
  <si>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</si>
  <si>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</si>
  <si>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</si>
  <si>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</si>
  <si>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</si>
  <si>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</si>
  <si>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</si>
  <si>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</si>
  <si>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</si>
  <si>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</si>
  <si>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</si>
  <si>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</si>
  <si>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</si>
  <si>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</si>
  <si>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</si>
  <si>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</si>
  <si>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</si>
  <si>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</si>
  <si>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</si>
  <si>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</si>
  <si>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</si>
  <si>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</si>
  <si>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</si>
  <si>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</si>
  <si>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</si>
  <si>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</si>
  <si>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</si>
  <si>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</si>
  <si>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</si>
  <si>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</si>
  <si>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</si>
  <si>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</si>
  <si>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</si>
  <si>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</si>
  <si>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</si>
  <si>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</si>
  <si>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</si>
  <si>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</si>
  <si>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</si>
  <si>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</si>
  <si>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</si>
  <si>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</si>
  <si>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</si>
  <si>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</si>
  <si>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</si>
  <si>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</si>
  <si>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</si>
  <si>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</si>
  <si>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</si>
  <si>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</si>
  <si>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</si>
  <si>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</si>
  <si>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</si>
  <si>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</si>
  <si>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</si>
  <si>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</si>
  <si>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</si>
  <si>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</si>
  <si>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</si>
  <si>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</si>
  <si>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</si>
  <si>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</si>
  <si>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</si>
  <si>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</si>
  <si>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</si>
  <si>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</si>
  <si>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</si>
  <si>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</si>
  <si>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</si>
  <si>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</si>
  <si>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</si>
  <si>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</si>
  <si>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</si>
  <si>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</si>
  <si>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</si>
  <si>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</si>
  <si>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</si>
  <si>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</si>
  <si>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</si>
  <si>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</si>
  <si>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</si>
  <si>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</si>
  <si>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</si>
  <si>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</si>
  <si>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</si>
  <si>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</si>
  <si>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</si>
  <si>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</si>
  <si>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</si>
  <si>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</si>
  <si>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</si>
  <si>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</si>
  <si>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</si>
  <si>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</si>
  <si>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</si>
  <si>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</si>
  <si>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</si>
  <si>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</si>
  <si>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</si>
  <si>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</si>
  <si>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</si>
  <si>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</si>
  <si>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</si>
  <si>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</si>
  <si>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</si>
  <si>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</si>
  <si>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</si>
  <si>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</si>
  <si>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</si>
  <si>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</si>
  <si>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</si>
  <si>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</si>
  <si>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</si>
  <si>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</si>
  <si>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</si>
  <si>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</si>
  <si>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</si>
  <si>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</si>
  <si>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</si>
  <si>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</si>
  <si>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</si>
  <si>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</si>
  <si>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</si>
  <si>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</si>
  <si>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</si>
  <si>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</si>
  <si>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</si>
  <si>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</si>
  <si>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</si>
  <si>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</si>
  <si>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</si>
  <si>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</si>
  <si>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</si>
  <si>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</si>
  <si>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</si>
  <si>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</si>
  <si>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</si>
  <si>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</si>
  <si>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</si>
  <si>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</si>
  <si>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</si>
  <si>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</si>
  <si>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</si>
  <si>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</si>
  <si>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</si>
  <si>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first estimate</t>
  </si>
  <si>
    <t>second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</si>
</sst>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17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left" wrapText="1" indent="3"/>
    </xf>
    <xf numFmtId="169" fontId="0" fillId="17" borderId="33" xfId="1" applyNumberFormat="1" applyFont="1" applyFill="1" applyBorder="1"/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10" fontId="0" fillId="17" borderId="0" xfId="7" applyNumberFormat="1" applyFont="1" applyFill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3" dT="2020-10-29T15:30:32.00" personId="{2D35AFA9-F227-4AE7-B9A7-D673D9D18C70}" id="{7314685E-335E-47AA-B478-1BA6ABF2BDA3}">
    <text>BEA has 771k for total UI but not including Trump UI. Add trump UI for the real total</text>
  </threadedComment>
  <threadedComment ref="M33" dT="2020-10-29T15:30:32.00" personId="{2D35AFA9-F227-4AE7-B9A7-D673D9D18C70}" id="{E09211C7-D54A-419D-82CE-C4BD25648B45}">
    <text>BEA has 771k for total UI but not including Trump UI. Add trump UI for the real total</text>
  </threadedComment>
  <threadedComment ref="K56" dT="2020-09-10T19:09:05.64" personId="{2D35AFA9-F227-4AE7-B9A7-D673D9D18C70}" id="{2D81BDF9-A0D8-4A1A-915B-91D32E8E61FF}">
    <text>grow with nom purchases</text>
  </threadedComment>
  <threadedComment ref="K61" dT="2020-10-27T15:26:37.39" personId="{2D35AFA9-F227-4AE7-B9A7-D673D9D18C70}" id="{33EF6DF5-9556-47EC-86E1-A12FDBDC0AA8}">
    <text>CBO indicated 17 for q2? why do we split the quarter 3 payments into q2?</text>
  </threadedComment>
  <threadedComment ref="K61" dT="2020-10-28T16:31:53.35" personId="{2D35AFA9-F227-4AE7-B9A7-D673D9D18C70}" id="{1079BF34-6E2F-4888-8715-72B28B28D9AA}" parentId="{33EF6DF5-9556-47EC-86E1-A12FDBDC0AA8}">
    <text>we're comfortable leaving this as is</text>
  </threadedComment>
  <threadedComment ref="N72" dT="2020-09-11T20:43:00.49" personId="{2D35AFA9-F227-4AE7-B9A7-D673D9D18C70}" id="{11731043-8530-4DAC-9476-3C98D0D836BB}">
    <text>grow with S&amp;L nom purchases</text>
  </threadedComment>
  <threadedComment ref="N79" dT="2020-10-29T17:11:18.12" personId="{2D35AFA9-F227-4AE7-B9A7-D673D9D18C70}" id="{DF0EC25E-9AE4-45F2-BCE9-95D46AA2D480}">
    <text>CBO projected is 1.96%</text>
  </threadedComment>
  <threadedComment ref="L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tabSelected="1" zoomScale="110" zoomScaleNormal="110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L6" sqref="L6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3" width="10.81640625" style="35" customWidth="1"/>
    <col min="5" max="12" width="16.1796875" bestFit="1" customWidth="1"/>
    <col min="13" max="13" width="16.1796875" style="35" customWidth="1"/>
    <col min="14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290" t="s">
        <v>163</v>
      </c>
      <c r="B1" s="290"/>
      <c r="C1" s="281"/>
      <c r="D1" s="35"/>
      <c r="L1" t="s">
        <v>339</v>
      </c>
      <c r="M1" s="35" t="s">
        <v>338</v>
      </c>
      <c r="AB1" s="179" t="s">
        <v>249</v>
      </c>
      <c r="AC1" s="292" t="s">
        <v>247</v>
      </c>
      <c r="AD1" s="292"/>
      <c r="AE1" s="292"/>
      <c r="AF1" t="s">
        <v>28</v>
      </c>
      <c r="AH1" s="293" t="s">
        <v>282</v>
      </c>
      <c r="AI1" s="293"/>
      <c r="AJ1" s="293"/>
      <c r="AK1" s="293"/>
      <c r="AL1" s="291" t="s">
        <v>280</v>
      </c>
      <c r="AM1" s="291"/>
      <c r="AN1" s="291"/>
      <c r="AO1" s="291"/>
    </row>
    <row r="2" spans="1:42" x14ac:dyDescent="0.35">
      <c r="E2" s="289" t="s">
        <v>21</v>
      </c>
      <c r="F2" s="289"/>
      <c r="G2" s="289"/>
      <c r="H2" s="289"/>
      <c r="I2" s="289" t="s">
        <v>9</v>
      </c>
      <c r="J2" s="289"/>
      <c r="K2" s="289"/>
      <c r="L2" s="289"/>
      <c r="M2" s="284"/>
      <c r="N2" s="289" t="s">
        <v>10</v>
      </c>
      <c r="O2" s="289"/>
      <c r="P2" s="289"/>
      <c r="Q2" s="289"/>
      <c r="R2" s="289" t="s">
        <v>11</v>
      </c>
      <c r="S2" s="289"/>
      <c r="T2" s="289"/>
      <c r="U2" s="289"/>
      <c r="V2" s="289" t="s">
        <v>268</v>
      </c>
      <c r="W2" s="289"/>
      <c r="X2" s="289"/>
      <c r="Y2" s="289"/>
      <c r="Z2" s="229"/>
      <c r="AA2" s="229"/>
      <c r="AB2" s="156"/>
      <c r="AC2" s="289" t="s">
        <v>102</v>
      </c>
      <c r="AD2" s="289"/>
      <c r="AE2" s="289"/>
      <c r="AF2" s="156"/>
      <c r="AG2" s="156" t="s">
        <v>21</v>
      </c>
      <c r="AH2" s="289" t="s">
        <v>102</v>
      </c>
      <c r="AI2" s="289"/>
      <c r="AJ2" s="289"/>
      <c r="AK2" s="230"/>
    </row>
    <row r="3" spans="1:42" x14ac:dyDescent="0.35">
      <c r="E3" s="199" t="s">
        <v>5</v>
      </c>
      <c r="F3" s="199" t="s">
        <v>6</v>
      </c>
      <c r="G3" s="199" t="s">
        <v>7</v>
      </c>
      <c r="H3" s="199" t="s">
        <v>8</v>
      </c>
      <c r="I3" s="199" t="s">
        <v>5</v>
      </c>
      <c r="J3" s="199" t="s">
        <v>6</v>
      </c>
      <c r="K3" s="199" t="s">
        <v>7</v>
      </c>
      <c r="L3" s="199" t="s">
        <v>8</v>
      </c>
      <c r="M3" s="283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8.5" x14ac:dyDescent="0.45">
      <c r="A4" s="288" t="s">
        <v>264</v>
      </c>
      <c r="B4" s="288"/>
      <c r="C4" s="281"/>
      <c r="E4" s="199"/>
      <c r="F4" s="199"/>
      <c r="G4" s="199"/>
      <c r="H4" s="199"/>
      <c r="I4" s="199"/>
      <c r="J4" s="199"/>
      <c r="K4" s="199"/>
      <c r="L4" s="199"/>
      <c r="M4" s="283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261</v>
      </c>
      <c r="B5" t="s">
        <v>284</v>
      </c>
      <c r="C5" s="35" t="s">
        <v>295</v>
      </c>
      <c r="E5" s="200">
        <v>20909.900000000001</v>
      </c>
      <c r="F5" s="200">
        <v>21115.3</v>
      </c>
      <c r="G5" s="200">
        <v>21329.9</v>
      </c>
      <c r="H5" s="200">
        <v>21540.3</v>
      </c>
      <c r="I5" s="200">
        <v>21747.4</v>
      </c>
      <c r="J5" s="200">
        <v>21561.1</v>
      </c>
      <c r="K5" s="200">
        <v>19520.099999999999</v>
      </c>
      <c r="L5" s="199">
        <f>VLOOKUP(C5,'Haver NA'!$A$1:$I$34,9,0)</f>
        <v>21157.1</v>
      </c>
      <c r="M5" s="283">
        <v>21157.599999999999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x14ac:dyDescent="0.35">
      <c r="A6" s="170" t="s">
        <v>216</v>
      </c>
      <c r="C6" s="282"/>
      <c r="E6" s="201"/>
      <c r="F6" s="202">
        <f>F5/E5-1</f>
        <v>9.8230981496802983E-3</v>
      </c>
      <c r="G6" s="202">
        <f t="shared" ref="G6:V6" si="0">G5/F5-1</f>
        <v>1.016324655581502E-2</v>
      </c>
      <c r="H6" s="202">
        <f t="shared" si="0"/>
        <v>9.864087501582075E-3</v>
      </c>
      <c r="I6" s="202">
        <f t="shared" si="0"/>
        <v>9.6145364734938621E-3</v>
      </c>
      <c r="J6" s="202">
        <f t="shared" si="0"/>
        <v>-8.5665412876942959E-3</v>
      </c>
      <c r="K6" s="202">
        <f t="shared" si="0"/>
        <v>-9.4661218583467432E-2</v>
      </c>
      <c r="L6" s="202">
        <f t="shared" si="0"/>
        <v>8.3862275295720767E-2</v>
      </c>
      <c r="M6" s="328">
        <v>8.3887889918596636E-2</v>
      </c>
      <c r="N6" s="198">
        <f>N5/L5-1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262</v>
      </c>
      <c r="B7" t="s">
        <v>284</v>
      </c>
      <c r="C7" s="35" t="s">
        <v>296</v>
      </c>
      <c r="E7" s="200">
        <v>18813.900000000001</v>
      </c>
      <c r="F7" s="200">
        <v>18950.3</v>
      </c>
      <c r="G7" s="200">
        <v>19020.599999999999</v>
      </c>
      <c r="H7" s="200">
        <v>19141.7</v>
      </c>
      <c r="I7" s="200">
        <v>19254</v>
      </c>
      <c r="J7" s="200">
        <v>19010.8</v>
      </c>
      <c r="K7" s="200">
        <v>17302.5</v>
      </c>
      <c r="L7" s="199">
        <f>VLOOKUP(C7,'Haver NA'!$A$1:$I$34,9,0)</f>
        <v>18583.5</v>
      </c>
      <c r="M7" s="283">
        <v>18584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263</v>
      </c>
      <c r="C8" s="170"/>
      <c r="E8" s="217"/>
      <c r="F8" s="217"/>
      <c r="G8" s="217"/>
      <c r="H8" s="217"/>
      <c r="I8" s="217"/>
      <c r="J8" s="217"/>
      <c r="K8" s="217"/>
      <c r="L8" s="199"/>
      <c r="M8" s="283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E9" s="199"/>
      <c r="F9" s="199"/>
      <c r="G9" s="199"/>
      <c r="H9" s="199"/>
      <c r="I9" s="199"/>
      <c r="J9" s="199"/>
      <c r="K9" s="199"/>
      <c r="L9" s="199"/>
      <c r="M9" s="283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E10" s="199"/>
      <c r="F10" s="199"/>
      <c r="G10" s="199"/>
      <c r="H10" s="199"/>
      <c r="I10" s="199"/>
      <c r="J10" s="199"/>
      <c r="K10" s="199"/>
      <c r="L10" s="199"/>
      <c r="M10" s="283"/>
      <c r="AC10" s="146"/>
      <c r="AH10" s="146"/>
    </row>
    <row r="11" spans="1:42" x14ac:dyDescent="0.35">
      <c r="A11" s="177" t="s">
        <v>258</v>
      </c>
      <c r="E11" s="200">
        <f>E12+E14+E16</f>
        <v>3178</v>
      </c>
      <c r="F11" s="200">
        <f t="shared" ref="F11:V11" si="1">F12+F14+F16</f>
        <v>3259.5</v>
      </c>
      <c r="G11" s="200">
        <f t="shared" si="1"/>
        <v>3269.2</v>
      </c>
      <c r="H11" s="200">
        <f t="shared" si="1"/>
        <v>3290.6</v>
      </c>
      <c r="I11" s="200">
        <f t="shared" si="1"/>
        <v>3336.3</v>
      </c>
      <c r="J11" s="200">
        <f t="shared" si="1"/>
        <v>3376.8</v>
      </c>
      <c r="K11" s="200">
        <f t="shared" si="1"/>
        <v>3091.4840000000004</v>
      </c>
      <c r="L11" s="199">
        <f t="shared" si="1"/>
        <v>3261.5</v>
      </c>
      <c r="M11" s="283">
        <v>3245.1670000000004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35">
      <c r="A12" s="218" t="s">
        <v>25</v>
      </c>
      <c r="B12" t="s">
        <v>284</v>
      </c>
      <c r="C12" t="s">
        <v>297</v>
      </c>
      <c r="E12" s="200">
        <v>1634.2</v>
      </c>
      <c r="F12" s="200">
        <v>1695.5</v>
      </c>
      <c r="G12" s="200">
        <v>1703.1</v>
      </c>
      <c r="H12" s="200">
        <v>1713.2</v>
      </c>
      <c r="I12" s="200">
        <v>1740.2</v>
      </c>
      <c r="J12" s="200">
        <v>1756.6</v>
      </c>
      <c r="K12" s="200">
        <v>1599.3</v>
      </c>
      <c r="L12" s="199">
        <f>VLOOKUP(C12,'Haver NA'!$A$1:$I$34,9,0)</f>
        <v>1687.2</v>
      </c>
      <c r="M12" s="283">
        <v>1686.3530000000001</v>
      </c>
      <c r="N12" s="169">
        <f>L12*(1+N13)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AVERAGE(E12:H12)</f>
        <v>1686.4999999999998</v>
      </c>
      <c r="AC12" s="181">
        <f>AVERAGE(I12,J12,K12,L12)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AVERAGE(E12:H12)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216</v>
      </c>
      <c r="C13" s="282"/>
      <c r="E13" s="201"/>
      <c r="F13" s="201"/>
      <c r="G13" s="201"/>
      <c r="H13" s="201"/>
      <c r="I13" s="201"/>
      <c r="J13" s="201"/>
      <c r="K13" s="201"/>
      <c r="L13" s="199"/>
      <c r="M13" s="283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284</v>
      </c>
      <c r="C14" t="s">
        <v>298</v>
      </c>
      <c r="E14" s="200">
        <v>183.5</v>
      </c>
      <c r="F14" s="200">
        <v>172.1</v>
      </c>
      <c r="G14" s="200">
        <v>168.3</v>
      </c>
      <c r="H14" s="200">
        <v>175.1</v>
      </c>
      <c r="I14" s="200">
        <v>179.2</v>
      </c>
      <c r="J14" s="200">
        <v>183.8</v>
      </c>
      <c r="K14" s="200">
        <v>131.4</v>
      </c>
      <c r="L14" s="199">
        <f>VLOOKUP(C14,'Haver NA'!$A$1:$I$34,9,0)</f>
        <v>144.69999999999999</v>
      </c>
      <c r="M14" s="283">
        <v>144.66200000000001</v>
      </c>
      <c r="N14" s="169">
        <f>L14*(1+N15)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AVERAGE(E14:H14)</f>
        <v>174.75000000000003</v>
      </c>
      <c r="AC14" s="181">
        <f>AVERAGE(I14,J14,K14,L14)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AVERAGE(E14:H14)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216</v>
      </c>
      <c r="C15" s="282"/>
      <c r="E15" s="201"/>
      <c r="F15" s="201"/>
      <c r="G15" s="201"/>
      <c r="H15" s="201"/>
      <c r="I15" s="201"/>
      <c r="J15" s="201"/>
      <c r="K15" s="201"/>
      <c r="L15" s="199"/>
      <c r="M15" s="283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284</v>
      </c>
      <c r="C16" t="s">
        <v>299</v>
      </c>
      <c r="E16" s="200">
        <v>1360.3</v>
      </c>
      <c r="F16" s="200">
        <v>1391.9</v>
      </c>
      <c r="G16" s="200">
        <v>1397.8</v>
      </c>
      <c r="H16" s="200">
        <v>1402.3</v>
      </c>
      <c r="I16" s="200">
        <v>1416.9</v>
      </c>
      <c r="J16" s="200">
        <v>1436.4</v>
      </c>
      <c r="K16" s="200">
        <v>1360.7840000000001</v>
      </c>
      <c r="L16" s="199">
        <f>VLOOKUP(C16,'Haver NA'!$A$1:$I$34,9,0)</f>
        <v>1429.6</v>
      </c>
      <c r="M16" s="283">
        <v>1414.152</v>
      </c>
      <c r="N16" s="169">
        <f>L16*(1+N17)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AVERAGE(E16:H16)</f>
        <v>1388.075</v>
      </c>
      <c r="AC16" s="181">
        <f>AVERAGE(I16,J16,K16,L16)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AVERAGE(E16:H16)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216</v>
      </c>
      <c r="C17" s="282"/>
      <c r="E17" s="201"/>
      <c r="F17" s="201"/>
      <c r="G17" s="201"/>
      <c r="H17" s="201"/>
      <c r="I17" s="201"/>
      <c r="J17" s="201"/>
      <c r="K17" s="201"/>
      <c r="L17" s="199"/>
      <c r="M17" s="283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284</v>
      </c>
      <c r="C18" t="s">
        <v>300</v>
      </c>
      <c r="E18" s="200">
        <v>234.7</v>
      </c>
      <c r="F18" s="200">
        <v>213.8</v>
      </c>
      <c r="G18" s="200">
        <v>224.2</v>
      </c>
      <c r="H18" s="200">
        <v>201.6</v>
      </c>
      <c r="I18" s="200">
        <v>229.7</v>
      </c>
      <c r="J18" s="200">
        <v>180.5</v>
      </c>
      <c r="K18" s="200">
        <v>171.5</v>
      </c>
      <c r="L18" s="199">
        <f>VLOOKUP(C18,'Haver NA'!$A$1:$I$34,9,0)</f>
        <v>205.3</v>
      </c>
      <c r="M18" s="283">
        <v>191.99161110990462</v>
      </c>
      <c r="N18" s="169">
        <f>L18*(1+N19)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AVERAGE(E18:H18)</f>
        <v>218.57500000000002</v>
      </c>
      <c r="AC18" s="181">
        <f>AVERAGE(I18,J18,K18,L18)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AVERAGE(E18:H18)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216</v>
      </c>
      <c r="C19" s="282"/>
      <c r="E19" s="201"/>
      <c r="F19" s="201"/>
      <c r="G19" s="201"/>
      <c r="H19" s="201"/>
      <c r="I19" s="201"/>
      <c r="J19" s="201"/>
      <c r="K19" s="201"/>
      <c r="L19" s="199"/>
      <c r="M19" s="283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282"/>
      <c r="E20" s="201"/>
      <c r="F20" s="201"/>
      <c r="G20" s="201"/>
      <c r="H20" s="201"/>
      <c r="I20" s="201"/>
      <c r="J20" s="201"/>
      <c r="K20" s="201"/>
      <c r="L20" s="199"/>
      <c r="M20" s="283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265</v>
      </c>
      <c r="C21" s="282"/>
      <c r="E21" s="201"/>
      <c r="F21" s="201"/>
      <c r="G21" s="201"/>
      <c r="H21" s="201"/>
      <c r="I21" s="201"/>
      <c r="J21" s="201"/>
      <c r="K21" s="201"/>
      <c r="L21" s="199"/>
      <c r="M21" s="283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266</v>
      </c>
      <c r="E22" s="205">
        <f>SUM(E23:E25)</f>
        <v>1773.6</v>
      </c>
      <c r="F22" s="205">
        <f t="shared" ref="F22:U22" si="12">SUM(F23:F25)</f>
        <v>1798.8</v>
      </c>
      <c r="G22" s="205">
        <f t="shared" si="12"/>
        <v>1853.9</v>
      </c>
      <c r="H22" s="205">
        <f t="shared" si="12"/>
        <v>1832.2</v>
      </c>
      <c r="I22" s="205">
        <f t="shared" si="12"/>
        <v>1832.4</v>
      </c>
      <c r="J22" s="205">
        <f t="shared" si="12"/>
        <v>1862.4</v>
      </c>
      <c r="K22" s="205">
        <f t="shared" si="12"/>
        <v>1779.8019999999999</v>
      </c>
      <c r="L22" s="199">
        <f t="shared" si="12"/>
        <v>1836.9459999999999</v>
      </c>
      <c r="M22" s="283">
        <v>1840.777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35">
      <c r="A23" s="218" t="s">
        <v>22</v>
      </c>
      <c r="C23" t="s">
        <v>301</v>
      </c>
      <c r="E23" s="199">
        <v>456.5</v>
      </c>
      <c r="F23" s="199">
        <v>475.2</v>
      </c>
      <c r="G23" s="199">
        <v>519.4</v>
      </c>
      <c r="H23" s="199">
        <v>483.9</v>
      </c>
      <c r="I23" s="199">
        <v>480.9</v>
      </c>
      <c r="J23" s="199">
        <v>495.8</v>
      </c>
      <c r="K23" s="200">
        <v>496.37400000000002</v>
      </c>
      <c r="L23" s="199">
        <f>VLOOKUP(C23,'Haver NA'!$A$1:$I$34,9,0)</f>
        <v>499.4</v>
      </c>
      <c r="M23" s="283">
        <v>505.42700000000002</v>
      </c>
      <c r="N23" s="102">
        <f>L23*(1+N$6)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35">
      <c r="A24" s="218" t="s">
        <v>23</v>
      </c>
      <c r="C24" t="s">
        <v>302</v>
      </c>
      <c r="E24" s="199">
        <v>1295.5</v>
      </c>
      <c r="F24" s="199">
        <v>1301.5999999999999</v>
      </c>
      <c r="G24" s="199">
        <v>1312.4</v>
      </c>
      <c r="H24" s="199">
        <v>1326.5</v>
      </c>
      <c r="I24" s="199">
        <v>1330.4</v>
      </c>
      <c r="J24" s="199">
        <v>1346.2</v>
      </c>
      <c r="K24" s="200">
        <v>1264.3219999999999</v>
      </c>
      <c r="L24" s="199">
        <f>VLOOKUP(C24,'Haver NA'!$A$1:$I$34,9,0)</f>
        <v>1317.3</v>
      </c>
      <c r="M24" s="283">
        <v>1315.133</v>
      </c>
      <c r="N24" s="102">
        <f>L24*(1+N$6)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35">
      <c r="A25" s="218" t="s">
        <v>24</v>
      </c>
      <c r="C25" t="s">
        <v>303</v>
      </c>
      <c r="E25" s="199">
        <v>21.6</v>
      </c>
      <c r="F25" s="199">
        <v>22</v>
      </c>
      <c r="G25" s="199">
        <v>22.1</v>
      </c>
      <c r="H25" s="199">
        <v>21.8</v>
      </c>
      <c r="I25" s="199">
        <v>21.1</v>
      </c>
      <c r="J25" s="199">
        <v>20.399999999999999</v>
      </c>
      <c r="K25" s="200">
        <v>19.106000000000002</v>
      </c>
      <c r="L25" s="199">
        <f>VLOOKUP(C25,'Haver NA'!$A$1:$I$34,9,0)</f>
        <v>20.245999999999999</v>
      </c>
      <c r="M25" s="283">
        <v>20.216999999999999</v>
      </c>
      <c r="N25" s="102">
        <f>L25*(1+N$6)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35">
      <c r="A26" s="177" t="s">
        <v>0</v>
      </c>
      <c r="C26" t="s">
        <v>304</v>
      </c>
      <c r="E26" s="199">
        <v>63.5</v>
      </c>
      <c r="F26" s="199">
        <v>68.5</v>
      </c>
      <c r="G26" s="199">
        <v>68.7</v>
      </c>
      <c r="H26" s="199">
        <v>69.8</v>
      </c>
      <c r="I26" s="199">
        <v>71</v>
      </c>
      <c r="J26" s="199">
        <v>62.7</v>
      </c>
      <c r="K26" s="199">
        <v>54.2</v>
      </c>
      <c r="L26" s="199">
        <f>VLOOKUP(C26,'Haver NA'!$A$1:$I$34,9,0)</f>
        <v>79.099999999999994</v>
      </c>
      <c r="M26" s="283">
        <v>58.746723633587941</v>
      </c>
      <c r="N26" s="102">
        <f>L26*(1+N6)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35">
      <c r="A27" s="178" t="s">
        <v>267</v>
      </c>
      <c r="E27" s="212">
        <f t="shared" ref="E27:K27" si="18">E26/E18</f>
        <v>0.27055815935236471</v>
      </c>
      <c r="F27" s="212">
        <f t="shared" si="18"/>
        <v>0.32039289055191766</v>
      </c>
      <c r="G27" s="212">
        <f t="shared" si="18"/>
        <v>0.30642283675289922</v>
      </c>
      <c r="H27" s="212">
        <f t="shared" si="18"/>
        <v>0.34623015873015872</v>
      </c>
      <c r="I27" s="212">
        <f t="shared" si="18"/>
        <v>0.30909882455376581</v>
      </c>
      <c r="J27" s="212">
        <f t="shared" si="18"/>
        <v>0.3473684210526316</v>
      </c>
      <c r="K27" s="212">
        <f t="shared" si="18"/>
        <v>0.31603498542274056</v>
      </c>
      <c r="L27" s="199"/>
      <c r="M27" s="283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282"/>
      <c r="E28" s="201"/>
      <c r="F28" s="201"/>
      <c r="G28" s="201"/>
      <c r="H28" s="201"/>
      <c r="I28" s="201"/>
      <c r="J28" s="201"/>
      <c r="K28" s="201"/>
      <c r="L28" s="199"/>
      <c r="M28" s="283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E29" s="199"/>
      <c r="F29" s="199"/>
      <c r="G29" s="199"/>
      <c r="H29" s="199"/>
      <c r="I29" s="199"/>
      <c r="J29" s="199"/>
      <c r="K29" s="203"/>
      <c r="L29" s="199"/>
      <c r="M29" s="283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284</v>
      </c>
      <c r="C30" t="s">
        <v>305</v>
      </c>
      <c r="E30" s="204">
        <v>2220523</v>
      </c>
      <c r="F30" s="204">
        <v>2298792</v>
      </c>
      <c r="G30" s="204">
        <v>2315842</v>
      </c>
      <c r="H30" s="204">
        <v>2331428</v>
      </c>
      <c r="I30" s="204">
        <v>2347737</v>
      </c>
      <c r="J30" s="204">
        <v>2422546</v>
      </c>
      <c r="K30" s="204">
        <v>4815254</v>
      </c>
      <c r="L30" s="199">
        <f>VLOOKUP(C30,'Haver NA'!$A$1:$I$34,9,0)</f>
        <v>3488125</v>
      </c>
      <c r="M30" s="283">
        <v>3513776</v>
      </c>
      <c r="N30" s="44">
        <f>N31+N33+N42</f>
        <v>2847845.8319988288</v>
      </c>
      <c r="O30" s="44">
        <f t="shared" ref="O30:U30" si="19">O31+O33+O42</f>
        <v>2752064.9561336781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AVERAGE(E30:H30)/1000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284</v>
      </c>
      <c r="C31" t="s">
        <v>306</v>
      </c>
      <c r="E31" s="204">
        <v>753311</v>
      </c>
      <c r="F31" s="204">
        <v>767353</v>
      </c>
      <c r="G31" s="204">
        <v>779707</v>
      </c>
      <c r="H31" s="204">
        <v>789893</v>
      </c>
      <c r="I31" s="204">
        <v>797912</v>
      </c>
      <c r="J31" s="204">
        <v>804655</v>
      </c>
      <c r="K31" s="204">
        <v>824058</v>
      </c>
      <c r="L31" s="199">
        <f>VLOOKUP(C31,'Haver NA'!$A$1:$I$34,9,0)</f>
        <v>842733</v>
      </c>
      <c r="M31" s="283">
        <v>842733</v>
      </c>
      <c r="N31" s="87">
        <f>L31*((($AI$31/$AH$31)^0.25))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AVERAGE(E31:H31)/1000</f>
        <v>772.56600000000003</v>
      </c>
      <c r="AC31" s="45">
        <f>AVERAGE(I31:L31)/1000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20</v>
      </c>
      <c r="B32" t="s">
        <v>284</v>
      </c>
      <c r="C32" t="s">
        <v>307</v>
      </c>
      <c r="E32" s="204"/>
      <c r="F32" s="204"/>
      <c r="G32" s="204"/>
      <c r="H32" s="204"/>
      <c r="I32" s="204">
        <v>0</v>
      </c>
      <c r="J32" s="204">
        <v>0</v>
      </c>
      <c r="K32" s="204">
        <v>1078000</v>
      </c>
      <c r="L32" s="199">
        <f>VLOOKUP(C32,'Haver NA'!$A$1:$I$34,9,0)</f>
        <v>15600</v>
      </c>
      <c r="M32" s="283"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AVERAGE(I32:L32)/1000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x14ac:dyDescent="0.35">
      <c r="A33" s="86" t="s">
        <v>141</v>
      </c>
      <c r="E33" s="204">
        <v>27025</v>
      </c>
      <c r="F33" s="204">
        <v>28029</v>
      </c>
      <c r="G33" s="204">
        <v>27483</v>
      </c>
      <c r="H33" s="204">
        <v>27578</v>
      </c>
      <c r="I33" s="204">
        <v>27884</v>
      </c>
      <c r="J33" s="204">
        <v>43429</v>
      </c>
      <c r="K33" s="204">
        <v>1112564</v>
      </c>
      <c r="L33" s="199">
        <f>L34+L37</f>
        <v>874878</v>
      </c>
      <c r="M33" s="283">
        <v>877703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AVERAGE(E33:H33)/1000</f>
        <v>27.528749999999999</v>
      </c>
      <c r="AC33" s="45">
        <f>AVERAGE(I33:L33)/1000</f>
        <v>514.68875000000003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x14ac:dyDescent="0.35">
      <c r="A34" s="115" t="s">
        <v>336</v>
      </c>
      <c r="B34" t="s">
        <v>284</v>
      </c>
      <c r="C34" t="s">
        <v>308</v>
      </c>
      <c r="E34" s="204"/>
      <c r="F34" s="204"/>
      <c r="G34" s="204"/>
      <c r="H34" s="204"/>
      <c r="I34" s="204"/>
      <c r="J34" s="204"/>
      <c r="K34" s="204"/>
      <c r="L34" s="199">
        <f>VLOOKUP(C34,'Haver NA'!$A$1:$I$34,9,0)</f>
        <v>768678</v>
      </c>
      <c r="M34" s="283">
        <v>771503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x14ac:dyDescent="0.35">
      <c r="A35" s="117" t="s">
        <v>213</v>
      </c>
      <c r="E35" s="204"/>
      <c r="F35" s="204"/>
      <c r="G35" s="204"/>
      <c r="H35" s="204"/>
      <c r="I35" s="204"/>
      <c r="J35" s="204"/>
      <c r="K35" s="204">
        <f>K36+K37</f>
        <v>834933.33333333326</v>
      </c>
      <c r="L35" s="199">
        <f t="shared" ref="L35:R35" si="26">L36+L37</f>
        <v>738200</v>
      </c>
      <c r="M35" s="283">
        <v>738200</v>
      </c>
      <c r="N35" s="87">
        <f t="shared" si="26"/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x14ac:dyDescent="0.35">
      <c r="A36" s="285" t="s">
        <v>138</v>
      </c>
      <c r="E36" s="204"/>
      <c r="F36" s="204"/>
      <c r="G36" s="204"/>
      <c r="H36" s="204"/>
      <c r="I36" s="204">
        <v>0</v>
      </c>
      <c r="J36" s="204">
        <v>0</v>
      </c>
      <c r="K36" s="204">
        <f>'figuring out UI'!M17*1000</f>
        <v>834933.33333333326</v>
      </c>
      <c r="L36" s="199">
        <f>1000*'figuring out UI'!N17</f>
        <v>632000</v>
      </c>
      <c r="M36" s="283">
        <v>632000</v>
      </c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AVERAGE(I36:L36)/1000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x14ac:dyDescent="0.35">
      <c r="A37" s="285" t="s">
        <v>162</v>
      </c>
      <c r="E37" s="204"/>
      <c r="F37" s="204"/>
      <c r="G37" s="204"/>
      <c r="H37" s="204"/>
      <c r="I37" s="204"/>
      <c r="J37" s="204"/>
      <c r="K37" s="204"/>
      <c r="L37" s="199">
        <v>106200</v>
      </c>
      <c r="M37" s="283">
        <v>106200</v>
      </c>
      <c r="N37" s="87">
        <f>(44000*4)-L37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x14ac:dyDescent="0.35">
      <c r="A38" s="117" t="s">
        <v>139</v>
      </c>
      <c r="E38" s="204"/>
      <c r="F38" s="204"/>
      <c r="G38" s="204"/>
      <c r="H38" s="204"/>
      <c r="I38" s="204">
        <v>0</v>
      </c>
      <c r="J38" s="204">
        <v>0</v>
      </c>
      <c r="K38" s="204">
        <f>'figuring out UI'!M18*1000</f>
        <v>277600</v>
      </c>
      <c r="L38" s="199">
        <f>1000*'figuring out UI'!N18</f>
        <v>140000</v>
      </c>
      <c r="M38" s="283">
        <v>140000</v>
      </c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AVERAGE(I38:L38)/1000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29" x14ac:dyDescent="0.35">
      <c r="A39" s="86" t="s">
        <v>147</v>
      </c>
      <c r="E39" s="204"/>
      <c r="F39" s="204"/>
      <c r="G39" s="204"/>
      <c r="H39" s="204"/>
      <c r="I39" s="204">
        <v>0</v>
      </c>
      <c r="J39" s="204">
        <v>0</v>
      </c>
      <c r="K39" s="204">
        <f>SUM(K40:K41)</f>
        <v>179900</v>
      </c>
      <c r="L39" s="199">
        <f>SUM(L40:L41)</f>
        <v>85400</v>
      </c>
      <c r="M39" s="283">
        <v>83700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AVERAGE(I39:L39)/1000</f>
        <v>66.325000000000003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x14ac:dyDescent="0.35">
      <c r="A40" s="117" t="s">
        <v>206</v>
      </c>
      <c r="B40" t="s">
        <v>284</v>
      </c>
      <c r="C40" t="s">
        <v>309</v>
      </c>
      <c r="E40" s="204"/>
      <c r="F40" s="204"/>
      <c r="G40" s="204"/>
      <c r="H40" s="204"/>
      <c r="I40" s="204"/>
      <c r="J40" s="204"/>
      <c r="K40" s="204">
        <v>19000</v>
      </c>
      <c r="L40" s="199">
        <f>VLOOKUP(C40,'Haver NA'!$A$1:$I$34,9,0)</f>
        <v>27000</v>
      </c>
      <c r="M40" s="283"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29" x14ac:dyDescent="0.35">
      <c r="A41" s="117" t="s">
        <v>207</v>
      </c>
      <c r="B41" t="s">
        <v>284</v>
      </c>
      <c r="C41" t="s">
        <v>310</v>
      </c>
      <c r="E41" s="204"/>
      <c r="F41" s="204"/>
      <c r="G41" s="204"/>
      <c r="H41" s="204"/>
      <c r="I41" s="204"/>
      <c r="J41" s="204"/>
      <c r="K41" s="204">
        <v>160900</v>
      </c>
      <c r="L41" s="199">
        <f>VLOOKUP(C41,'Haver NA'!$A$1:$I$34,9,0)</f>
        <v>58400</v>
      </c>
      <c r="M41" s="283">
        <v>56700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58" x14ac:dyDescent="0.35">
      <c r="A42" s="86" t="s">
        <v>149</v>
      </c>
      <c r="E42" s="199">
        <f>E30-E32-E33-E31</f>
        <v>1440187</v>
      </c>
      <c r="F42" s="199">
        <f>F30-F32-F33-F31</f>
        <v>1503410</v>
      </c>
      <c r="G42" s="203">
        <f>G30-G32-G33-G31</f>
        <v>1508652</v>
      </c>
      <c r="H42" s="199">
        <f>H30-H32-H33-H31</f>
        <v>1513957</v>
      </c>
      <c r="I42" s="203">
        <f>I30-I32-I33-I31-I39</f>
        <v>1521941</v>
      </c>
      <c r="J42" s="203">
        <f>J30-J32-J33-J31-J39</f>
        <v>1574462</v>
      </c>
      <c r="K42" s="203">
        <f>K30-K32-K33-K31-K39</f>
        <v>1620732</v>
      </c>
      <c r="L42" s="204">
        <f>L30-L32-L33-L31-L39</f>
        <v>1669514</v>
      </c>
      <c r="M42" s="286">
        <v>1694040</v>
      </c>
      <c r="N42" s="88">
        <f>L42*(1+N44)</f>
        <v>1656992.645</v>
      </c>
      <c r="O42" s="88">
        <f t="shared" ref="O42:Q42" si="29">N42*(1+O44)</f>
        <v>1644565.2001625001</v>
      </c>
      <c r="P42" s="88">
        <f t="shared" si="29"/>
        <v>1632230.9611612814</v>
      </c>
      <c r="Q42" s="88">
        <f t="shared" si="29"/>
        <v>1619989.228952572</v>
      </c>
      <c r="R42" s="88">
        <f>Q42*(1+R44)</f>
        <v>1644289.0673868605</v>
      </c>
      <c r="S42" s="88">
        <f t="shared" ref="S42:U42" si="30">R42*(1+S44)</f>
        <v>1668953.4033976633</v>
      </c>
      <c r="T42" s="88">
        <f t="shared" si="30"/>
        <v>1693987.704448628</v>
      </c>
      <c r="U42" s="88">
        <f t="shared" si="30"/>
        <v>1719397.5200153573</v>
      </c>
      <c r="V42" s="88">
        <f>U42*(1+V44)</f>
        <v>1736591.4952155109</v>
      </c>
      <c r="W42" s="44"/>
      <c r="X42" s="3"/>
      <c r="Y42" s="3"/>
      <c r="Z42" s="3"/>
      <c r="AA42" s="3"/>
      <c r="AB42" s="3">
        <f>AC30-AC32-AC33-AC31-AC39</f>
        <v>-1671.75325</v>
      </c>
      <c r="AC42" s="45">
        <f>AVERAGE(I42:L42)/1000</f>
        <v>1596.6622500000001</v>
      </c>
      <c r="AD42" s="45">
        <f t="shared" si="24"/>
        <v>1638.4445088190882</v>
      </c>
      <c r="AE42" s="45">
        <f t="shared" si="25"/>
        <v>1681.6569238121272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1671.0682458472502</v>
      </c>
      <c r="AN42">
        <f>AJ42/AH42*AC42</f>
        <v>1711.6524753198171</v>
      </c>
    </row>
    <row r="43" spans="1:40" s="171" customFormat="1" x14ac:dyDescent="0.35">
      <c r="A43" s="170" t="s">
        <v>216</v>
      </c>
      <c r="C43" s="282"/>
      <c r="E43" s="234"/>
      <c r="F43" s="236">
        <f>F42/E42-1</f>
        <v>4.3899160317375507E-2</v>
      </c>
      <c r="G43" s="236">
        <f t="shared" ref="G43:K43" si="31">G42/F42-1</f>
        <v>3.4867401440725754E-3</v>
      </c>
      <c r="H43" s="236">
        <f t="shared" si="31"/>
        <v>3.5163841628156334E-3</v>
      </c>
      <c r="I43" s="236">
        <f t="shared" si="31"/>
        <v>5.2735975988749129E-3</v>
      </c>
      <c r="J43" s="236">
        <f t="shared" si="31"/>
        <v>3.4509222105193249E-2</v>
      </c>
      <c r="K43" s="236">
        <f t="shared" si="31"/>
        <v>2.938781628264131E-2</v>
      </c>
      <c r="L43" s="199"/>
      <c r="M43" s="283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35">
      <c r="A44" s="170" t="s">
        <v>271</v>
      </c>
      <c r="E44" s="209"/>
      <c r="F44" s="209"/>
      <c r="G44" s="209"/>
      <c r="H44" s="209"/>
      <c r="I44" s="202"/>
      <c r="J44" s="202"/>
      <c r="K44" s="202"/>
      <c r="L44" s="199"/>
      <c r="M44" s="283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1671.7532500000002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14" customHeight="1" x14ac:dyDescent="0.35">
      <c r="A45"/>
      <c r="B45"/>
      <c r="D45"/>
      <c r="E45" s="199"/>
      <c r="F45" s="199"/>
      <c r="G45" s="199"/>
      <c r="H45" s="199"/>
      <c r="I45" s="199"/>
      <c r="J45" s="199"/>
      <c r="K45" s="199"/>
      <c r="L45" s="199"/>
      <c r="M45" s="283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5"/>
    </row>
    <row r="46" spans="1:40" s="35" customFormat="1" x14ac:dyDescent="0.35">
      <c r="A46" s="141" t="s">
        <v>4</v>
      </c>
      <c r="B46" s="141" t="s">
        <v>284</v>
      </c>
      <c r="C46" t="s">
        <v>311</v>
      </c>
      <c r="D46" s="141"/>
      <c r="E46" s="199">
        <v>79458</v>
      </c>
      <c r="F46" s="199">
        <v>71318</v>
      </c>
      <c r="G46" s="199">
        <v>61083</v>
      </c>
      <c r="H46" s="204">
        <v>81998</v>
      </c>
      <c r="I46" s="204">
        <v>81147</v>
      </c>
      <c r="J46" s="204">
        <v>75093</v>
      </c>
      <c r="K46" s="204">
        <v>1086548</v>
      </c>
      <c r="L46" s="199">
        <f>VLOOKUP(C46,'Haver NA'!$A$1:$I$34,9,0)</f>
        <v>1213308</v>
      </c>
      <c r="M46" s="283">
        <v>1212346</v>
      </c>
      <c r="N46" s="144">
        <f t="shared" ref="N46:V46" si="32">N47+AVERAGE($G$46:$J$46)</f>
        <v>382932.00834658189</v>
      </c>
      <c r="O46" s="144">
        <f t="shared" si="32"/>
        <v>100250.25</v>
      </c>
      <c r="P46" s="144">
        <f t="shared" si="32"/>
        <v>100250.25</v>
      </c>
      <c r="Q46" s="144">
        <f t="shared" si="32"/>
        <v>100250.25</v>
      </c>
      <c r="R46" s="144">
        <f t="shared" si="32"/>
        <v>100250.25</v>
      </c>
      <c r="S46" s="144">
        <f t="shared" si="32"/>
        <v>74830.25</v>
      </c>
      <c r="T46" s="144">
        <f t="shared" si="32"/>
        <v>74830.25</v>
      </c>
      <c r="U46" s="144">
        <f t="shared" si="32"/>
        <v>74830.25</v>
      </c>
      <c r="V46" s="144">
        <f t="shared" si="32"/>
        <v>74830.25</v>
      </c>
      <c r="W46" s="44"/>
      <c r="X46" s="44"/>
      <c r="Y46" s="44"/>
      <c r="Z46" s="44"/>
      <c r="AA46" s="44"/>
      <c r="AB46" s="44">
        <f>AVERAGE(E46:H46)/1000</f>
        <v>73.464250000000007</v>
      </c>
      <c r="AC46" s="44"/>
      <c r="AD46" s="44"/>
      <c r="AE46" s="44"/>
      <c r="AL46" s="243"/>
    </row>
    <row r="47" spans="1:40" s="35" customFormat="1" x14ac:dyDescent="0.35">
      <c r="A47" s="134" t="s">
        <v>201</v>
      </c>
      <c r="E47" s="199"/>
      <c r="F47" s="199"/>
      <c r="G47" s="199"/>
      <c r="H47" s="204"/>
      <c r="I47" s="204"/>
      <c r="J47" s="204"/>
      <c r="K47" s="204"/>
      <c r="L47" s="204">
        <f>L48+L49</f>
        <v>1093900</v>
      </c>
      <c r="M47" s="283">
        <v>1093900</v>
      </c>
      <c r="N47" s="116">
        <f t="shared" ref="N47:V47" si="33">N48+N49</f>
        <v>308101.75834658189</v>
      </c>
      <c r="O47" s="116">
        <f t="shared" si="33"/>
        <v>25420</v>
      </c>
      <c r="P47" s="116">
        <f t="shared" si="33"/>
        <v>25420</v>
      </c>
      <c r="Q47" s="116">
        <f t="shared" si="33"/>
        <v>25420</v>
      </c>
      <c r="R47" s="116">
        <f t="shared" si="33"/>
        <v>25420</v>
      </c>
      <c r="S47" s="116">
        <f t="shared" si="33"/>
        <v>0</v>
      </c>
      <c r="T47" s="116">
        <f t="shared" si="33"/>
        <v>0</v>
      </c>
      <c r="U47" s="116">
        <f t="shared" si="33"/>
        <v>0</v>
      </c>
      <c r="V47" s="116">
        <f t="shared" si="33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3"/>
    </row>
    <row r="48" spans="1:40" s="35" customFormat="1" x14ac:dyDescent="0.35">
      <c r="A48" s="227" t="s">
        <v>274</v>
      </c>
      <c r="C48" t="s">
        <v>312</v>
      </c>
      <c r="E48" s="199"/>
      <c r="F48" s="199"/>
      <c r="G48" s="199"/>
      <c r="H48" s="204"/>
      <c r="I48" s="204"/>
      <c r="J48" s="204"/>
      <c r="K48" s="204">
        <v>609300</v>
      </c>
      <c r="L48" s="199">
        <f>VLOOKUP(C48,'Haver NA'!$A$1:$I$34,9,0)</f>
        <v>865600</v>
      </c>
      <c r="M48" s="283">
        <v>865600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ht="27.5" customHeight="1" x14ac:dyDescent="0.35">
      <c r="A49" s="228" t="s">
        <v>275</v>
      </c>
      <c r="C49" t="s">
        <v>337</v>
      </c>
      <c r="E49" s="199"/>
      <c r="F49" s="199"/>
      <c r="G49" s="199"/>
      <c r="H49" s="204"/>
      <c r="I49" s="204"/>
      <c r="J49" s="204"/>
      <c r="K49" s="204">
        <f>SUM(K50:K52)</f>
        <v>277100</v>
      </c>
      <c r="L49" s="199">
        <f>SUM(L50:L52)</f>
        <v>228300</v>
      </c>
      <c r="M49" s="283">
        <v>228300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187" customFormat="1" x14ac:dyDescent="0.35">
      <c r="A50" s="263" t="s">
        <v>285</v>
      </c>
      <c r="B50" s="187" t="s">
        <v>284</v>
      </c>
      <c r="C50" t="s">
        <v>313</v>
      </c>
      <c r="E50" s="209"/>
      <c r="F50" s="209"/>
      <c r="G50" s="209"/>
      <c r="H50" s="264"/>
      <c r="I50" s="264"/>
      <c r="J50" s="264"/>
      <c r="K50" s="264">
        <v>63800</v>
      </c>
      <c r="L50" s="199">
        <f>VLOOKUP(C50,'Haver NA'!$A$1:$I$34,9,0)</f>
        <v>15000</v>
      </c>
      <c r="M50" s="283">
        <v>15000</v>
      </c>
      <c r="N50" s="265"/>
      <c r="O50" s="265"/>
      <c r="P50" s="265"/>
      <c r="Q50" s="265"/>
      <c r="R50" s="265"/>
      <c r="S50" s="265"/>
      <c r="T50" s="265"/>
      <c r="U50" s="265"/>
      <c r="V50" s="265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L50" s="244"/>
    </row>
    <row r="51" spans="1:38" s="187" customFormat="1" x14ac:dyDescent="0.35">
      <c r="A51" s="263" t="s">
        <v>286</v>
      </c>
      <c r="B51" s="187" t="s">
        <v>284</v>
      </c>
      <c r="C51" t="s">
        <v>314</v>
      </c>
      <c r="E51" s="209"/>
      <c r="F51" s="209"/>
      <c r="G51" s="209"/>
      <c r="H51" s="264"/>
      <c r="I51" s="264"/>
      <c r="J51" s="264"/>
      <c r="K51" s="264">
        <v>73300</v>
      </c>
      <c r="L51" s="199">
        <f>VLOOKUP(C51,'Haver NA'!$A$1:$I$34,9,0)</f>
        <v>73300</v>
      </c>
      <c r="M51" s="283">
        <v>73300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35">
      <c r="A52" s="263" t="s">
        <v>287</v>
      </c>
      <c r="B52" s="187" t="s">
        <v>284</v>
      </c>
      <c r="C52" t="s">
        <v>315</v>
      </c>
      <c r="E52" s="209"/>
      <c r="F52" s="209"/>
      <c r="G52" s="209"/>
      <c r="H52" s="264"/>
      <c r="I52" s="264"/>
      <c r="J52" s="264"/>
      <c r="K52" s="264">
        <v>140000</v>
      </c>
      <c r="L52" s="199">
        <f>VLOOKUP(C52,'Haver NA'!$A$1:$I$34,9,0)</f>
        <v>140000</v>
      </c>
      <c r="M52" s="283">
        <v>140000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35" customFormat="1" x14ac:dyDescent="0.35">
      <c r="A53" s="134"/>
      <c r="E53" s="199"/>
      <c r="F53" s="199"/>
      <c r="G53" s="199"/>
      <c r="H53" s="204"/>
      <c r="I53" s="204"/>
      <c r="J53" s="204"/>
      <c r="K53" s="204"/>
      <c r="L53" s="199"/>
      <c r="M53" s="283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3"/>
    </row>
    <row r="54" spans="1:38" s="35" customFormat="1" x14ac:dyDescent="0.35">
      <c r="A54" s="35" t="s">
        <v>16</v>
      </c>
      <c r="B54" s="35" t="s">
        <v>284</v>
      </c>
      <c r="C54" t="s">
        <v>316</v>
      </c>
      <c r="E54" s="199">
        <v>586475</v>
      </c>
      <c r="F54" s="199">
        <v>594213</v>
      </c>
      <c r="G54" s="199">
        <v>612547</v>
      </c>
      <c r="H54" s="204">
        <v>610331</v>
      </c>
      <c r="I54" s="204">
        <v>615406</v>
      </c>
      <c r="J54" s="204">
        <v>627805</v>
      </c>
      <c r="K54" s="204">
        <v>1396890</v>
      </c>
      <c r="L54" s="199">
        <f>VLOOKUP(C54,'Haver NA'!$A$1:$I$34,9,0)</f>
        <v>728172</v>
      </c>
      <c r="M54" s="283">
        <v>727479</v>
      </c>
      <c r="N54" s="116">
        <f>N56+(SUM($L$58:$R$58))/4/6*4</f>
        <v>286539.55144373403</v>
      </c>
      <c r="O54" s="116">
        <f>O56+(SUM($L$58:$R$58))/4/6*4</f>
        <v>287307.66211430955</v>
      </c>
      <c r="P54" s="116">
        <f>P56+(SUM($L$58:$R$58))/4/6*4</f>
        <v>288189.10058873915</v>
      </c>
      <c r="Q54" s="116">
        <f>Q56+(SUM($L$58:$R$58))/4/6*4</f>
        <v>289221.64280164416</v>
      </c>
      <c r="R54" s="116">
        <f>R56+(SUM($L$58:$R$58))/4/6*4</f>
        <v>290711.04635991767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AVERAGE(E54:H54)/1000</f>
        <v>600.89149999999995</v>
      </c>
      <c r="AC54" s="44"/>
      <c r="AD54" s="44"/>
      <c r="AE54" s="44"/>
      <c r="AL54" s="243"/>
    </row>
    <row r="55" spans="1:38" s="35" customFormat="1" x14ac:dyDescent="0.35">
      <c r="A55" s="35" t="s">
        <v>229</v>
      </c>
      <c r="E55" s="205">
        <f>E54-E67</f>
        <v>196851</v>
      </c>
      <c r="F55" s="205">
        <f t="shared" ref="F55:L55" si="34">F54-F67</f>
        <v>189684</v>
      </c>
      <c r="G55" s="205">
        <f t="shared" si="34"/>
        <v>192875</v>
      </c>
      <c r="H55" s="205">
        <f t="shared" si="34"/>
        <v>191507</v>
      </c>
      <c r="I55" s="205">
        <f t="shared" si="34"/>
        <v>203997</v>
      </c>
      <c r="J55" s="205">
        <f t="shared" si="34"/>
        <v>204376</v>
      </c>
      <c r="K55" s="205">
        <f t="shared" si="34"/>
        <v>884250</v>
      </c>
      <c r="L55" s="199">
        <f t="shared" si="34"/>
        <v>242100</v>
      </c>
      <c r="M55" s="283">
        <v>241407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3"/>
    </row>
    <row r="56" spans="1:38" s="35" customFormat="1" x14ac:dyDescent="0.35">
      <c r="A56" s="136" t="s">
        <v>230</v>
      </c>
      <c r="E56" s="199"/>
      <c r="F56" s="199"/>
      <c r="G56" s="199"/>
      <c r="H56" s="204"/>
      <c r="I56" s="204"/>
      <c r="J56" s="204"/>
      <c r="K56" s="204">
        <f>K55-K57</f>
        <v>192250</v>
      </c>
      <c r="L56" s="199">
        <f>K56*(1+L66)</f>
        <v>189950.61436735778</v>
      </c>
      <c r="M56" s="283">
        <v>189924.8072833599</v>
      </c>
      <c r="N56" s="116">
        <f>L56*(1+N66)</f>
        <v>191372.88477706735</v>
      </c>
      <c r="O56" s="116">
        <f t="shared" ref="O56:R56" si="35">N56*(1+O66)</f>
        <v>192140.9954476429</v>
      </c>
      <c r="P56" s="116">
        <f t="shared" si="35"/>
        <v>193022.43392207247</v>
      </c>
      <c r="Q56" s="116">
        <f t="shared" si="35"/>
        <v>194054.97613497748</v>
      </c>
      <c r="R56" s="116">
        <f t="shared" si="35"/>
        <v>195544.37969325102</v>
      </c>
      <c r="S56" s="116">
        <f t="shared" ref="S56" si="36">R56*(1+S66)</f>
        <v>197240.80684971521</v>
      </c>
      <c r="T56" s="116">
        <f t="shared" ref="T56" si="37">S56*(1+T66)</f>
        <v>198958.57178194768</v>
      </c>
      <c r="U56" s="116">
        <f t="shared" ref="U56" si="38">T56*(1+U66)</f>
        <v>200866.80125051294</v>
      </c>
      <c r="V56" s="116">
        <f t="shared" ref="V56:W56" si="39">U56*(1+V66)</f>
        <v>202622.47677399646</v>
      </c>
      <c r="W56" s="116">
        <f t="shared" si="39"/>
        <v>204572.45802602731</v>
      </c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138" customFormat="1" x14ac:dyDescent="0.35">
      <c r="A57" s="137" t="s">
        <v>210</v>
      </c>
      <c r="C57" t="s">
        <v>317</v>
      </c>
      <c r="E57" s="206"/>
      <c r="F57" s="206"/>
      <c r="G57" s="206"/>
      <c r="H57" s="207"/>
      <c r="I57" s="207"/>
      <c r="J57" s="207"/>
      <c r="K57" s="207">
        <v>692000</v>
      </c>
      <c r="L57" s="199">
        <v>38500</v>
      </c>
      <c r="M57" s="283"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6"/>
    </row>
    <row r="58" spans="1:38" s="35" customFormat="1" ht="29" x14ac:dyDescent="0.35">
      <c r="A58" s="134" t="s">
        <v>211</v>
      </c>
      <c r="E58" s="199"/>
      <c r="F58" s="199"/>
      <c r="G58" s="199"/>
      <c r="H58" s="204"/>
      <c r="I58" s="204"/>
      <c r="J58" s="204"/>
      <c r="K58" s="208">
        <f>SUM(K59:K61)</f>
        <v>87000</v>
      </c>
      <c r="L58" s="199">
        <f>SUM(L59:L61)</f>
        <v>97000</v>
      </c>
      <c r="M58" s="283">
        <v>97000</v>
      </c>
      <c r="N58" s="116">
        <f t="shared" ref="N58:W58" si="40">SUM(N59:N61)</f>
        <v>107000</v>
      </c>
      <c r="O58" s="116">
        <f t="shared" si="40"/>
        <v>90000</v>
      </c>
      <c r="P58" s="116">
        <f t="shared" si="40"/>
        <v>62000</v>
      </c>
      <c r="Q58" s="116">
        <f t="shared" si="40"/>
        <v>62000</v>
      </c>
      <c r="R58" s="116">
        <f t="shared" si="40"/>
        <v>56000</v>
      </c>
      <c r="S58" s="116">
        <f t="shared" si="40"/>
        <v>50000</v>
      </c>
      <c r="T58" s="116">
        <f t="shared" si="40"/>
        <v>50000</v>
      </c>
      <c r="U58" s="116">
        <f t="shared" si="40"/>
        <v>50000</v>
      </c>
      <c r="V58" s="116">
        <f t="shared" si="40"/>
        <v>50000</v>
      </c>
      <c r="W58" s="116">
        <f t="shared" si="40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35">
      <c r="A59" s="113" t="s">
        <v>198</v>
      </c>
      <c r="E59" s="199"/>
      <c r="F59" s="199"/>
      <c r="G59" s="199"/>
      <c r="H59" s="204"/>
      <c r="I59" s="204"/>
      <c r="J59" s="204"/>
      <c r="K59" s="208">
        <v>35000</v>
      </c>
      <c r="L59" s="199">
        <v>45000</v>
      </c>
      <c r="M59" s="283">
        <v>45000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35">
      <c r="A60" s="113" t="s">
        <v>202</v>
      </c>
      <c r="E60" s="199"/>
      <c r="F60" s="199"/>
      <c r="G60" s="199"/>
      <c r="H60" s="204"/>
      <c r="I60" s="204"/>
      <c r="J60" s="204"/>
      <c r="K60" s="204">
        <v>27000</v>
      </c>
      <c r="L60" s="199">
        <v>27000</v>
      </c>
      <c r="M60" s="283">
        <v>27000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13" t="s">
        <v>199</v>
      </c>
      <c r="E61" s="199"/>
      <c r="F61" s="199"/>
      <c r="G61" s="199"/>
      <c r="H61" s="204"/>
      <c r="I61" s="204"/>
      <c r="J61" s="204"/>
      <c r="K61" s="204">
        <v>25000</v>
      </c>
      <c r="L61" s="199">
        <v>25000</v>
      </c>
      <c r="M61" s="283">
        <v>25000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35">
      <c r="A62" s="145" t="s">
        <v>218</v>
      </c>
      <c r="B62" s="141"/>
      <c r="D62" s="141"/>
      <c r="E62" s="199"/>
      <c r="F62" s="199"/>
      <c r="G62" s="199"/>
      <c r="H62" s="204"/>
      <c r="I62" s="204"/>
      <c r="J62" s="204">
        <f>J54-J67</f>
        <v>204376</v>
      </c>
      <c r="K62" s="208">
        <f>K56+K58</f>
        <v>279250</v>
      </c>
      <c r="L62" s="199">
        <f t="shared" ref="L62:W62" si="41">L56+L58</f>
        <v>286950.6143673578</v>
      </c>
      <c r="M62" s="283">
        <v>286924.80728335993</v>
      </c>
      <c r="N62" s="144">
        <f t="shared" si="41"/>
        <v>298372.88477706735</v>
      </c>
      <c r="O62" s="144">
        <f t="shared" si="41"/>
        <v>282140.99544764287</v>
      </c>
      <c r="P62" s="144">
        <f t="shared" si="41"/>
        <v>255022.43392207247</v>
      </c>
      <c r="Q62" s="144">
        <f t="shared" si="41"/>
        <v>256054.97613497748</v>
      </c>
      <c r="R62" s="144">
        <f t="shared" si="41"/>
        <v>251544.37969325102</v>
      </c>
      <c r="S62" s="144">
        <f t="shared" si="41"/>
        <v>247240.80684971521</v>
      </c>
      <c r="T62" s="144">
        <f t="shared" si="41"/>
        <v>248958.57178194768</v>
      </c>
      <c r="U62" s="144">
        <f t="shared" si="41"/>
        <v>250866.80125051294</v>
      </c>
      <c r="V62" s="144">
        <f t="shared" si="41"/>
        <v>252622.47677399646</v>
      </c>
      <c r="W62" s="144">
        <f t="shared" si="41"/>
        <v>254572.45802602731</v>
      </c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35">
      <c r="E63" s="199"/>
      <c r="F63" s="199"/>
      <c r="G63" s="199"/>
      <c r="H63" s="199"/>
      <c r="I63" s="199"/>
      <c r="J63" s="199"/>
      <c r="K63" s="205"/>
      <c r="L63" s="199"/>
      <c r="M63" s="283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A64" s="35" t="s">
        <v>17</v>
      </c>
      <c r="B64" s="35" t="s">
        <v>284</v>
      </c>
      <c r="C64" t="s">
        <v>318</v>
      </c>
      <c r="E64" s="208">
        <v>1241.5999999999999</v>
      </c>
      <c r="F64" s="208">
        <v>1245.8</v>
      </c>
      <c r="G64" s="208">
        <v>1473.6</v>
      </c>
      <c r="H64" s="208">
        <v>1288.5</v>
      </c>
      <c r="I64" s="208">
        <v>1301.0999999999999</v>
      </c>
      <c r="J64" s="208">
        <v>1306.0999999999999</v>
      </c>
      <c r="K64" s="208">
        <v>1360.1</v>
      </c>
      <c r="L64" s="199">
        <f>VLOOKUP(C64,'Haver NA'!$A$1:$I$34,9,0)/1000</f>
        <v>1335.3219999999999</v>
      </c>
      <c r="M64" s="283">
        <v>1335.2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5"/>
    </row>
    <row r="65" spans="1:38" s="35" customFormat="1" x14ac:dyDescent="0.35">
      <c r="A65" s="114" t="s">
        <v>204</v>
      </c>
      <c r="B65" s="35" t="s">
        <v>284</v>
      </c>
      <c r="C65" t="s">
        <v>319</v>
      </c>
      <c r="E65" s="199"/>
      <c r="F65" s="199"/>
      <c r="G65" s="199"/>
      <c r="H65" s="199"/>
      <c r="I65" s="199">
        <v>1447.9</v>
      </c>
      <c r="J65" s="199">
        <v>1452.6</v>
      </c>
      <c r="K65" s="199">
        <v>1504.8</v>
      </c>
      <c r="L65" s="199">
        <f>VLOOKUP(C65,'Haver NA'!$A$1:$I$34,9,0)/1000</f>
        <v>1486.8019999999999</v>
      </c>
      <c r="M65" s="283">
        <v>1486.6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5"/>
    </row>
    <row r="66" spans="1:38" s="187" customFormat="1" x14ac:dyDescent="0.35">
      <c r="A66" s="170" t="s">
        <v>203</v>
      </c>
      <c r="E66" s="209"/>
      <c r="F66" s="209"/>
      <c r="G66" s="209"/>
      <c r="H66" s="209"/>
      <c r="I66" s="209"/>
      <c r="J66" s="209"/>
      <c r="K66" s="209"/>
      <c r="L66" s="202">
        <f>L65/K65-1</f>
        <v>-1.1960393407761893E-2</v>
      </c>
      <c r="M66" s="283">
        <v>-1.2094630515683158E-2</v>
      </c>
      <c r="N66" s="188">
        <f>N65/L65-1</f>
        <v>7.4875799399045651E-3</v>
      </c>
      <c r="O66" s="188">
        <f t="shared" ref="O66:V66" si="42">O65/N65-1</f>
        <v>4.0136860113193507E-3</v>
      </c>
      <c r="P66" s="188">
        <f t="shared" si="42"/>
        <v>4.5874565829953085E-3</v>
      </c>
      <c r="Q66" s="188">
        <f t="shared" si="42"/>
        <v>5.3493378563544969E-3</v>
      </c>
      <c r="R66" s="188">
        <f t="shared" si="42"/>
        <v>7.6751629251576858E-3</v>
      </c>
      <c r="S66" s="188">
        <f t="shared" si="42"/>
        <v>8.675407388979206E-3</v>
      </c>
      <c r="T66" s="188">
        <f t="shared" si="42"/>
        <v>8.7089733593581631E-3</v>
      </c>
      <c r="U66" s="188">
        <f t="shared" si="42"/>
        <v>9.5910894990571816E-3</v>
      </c>
      <c r="V66" s="188">
        <f t="shared" si="42"/>
        <v>8.7404962520107876E-3</v>
      </c>
      <c r="W66" s="188">
        <f t="shared" ref="W66" si="43">W65/V65-1</f>
        <v>9.6237163965073869E-3</v>
      </c>
      <c r="X66" s="188">
        <f t="shared" ref="X66" si="44">X65/W65-1</f>
        <v>8.7455736250123817E-3</v>
      </c>
      <c r="Y66" s="188">
        <f>Y65/X65-1</f>
        <v>9.6201658414407643E-3</v>
      </c>
      <c r="Z66" s="188">
        <f t="shared" ref="Z66" si="45">Z65/Y65-1</f>
        <v>3.1021950970274714E-2</v>
      </c>
      <c r="AA66" s="188"/>
      <c r="AD66" s="189"/>
      <c r="AE66" s="189"/>
      <c r="AF66" s="189"/>
      <c r="AH66" s="189"/>
      <c r="AI66" s="189"/>
      <c r="AJ66" s="189"/>
      <c r="AK66" s="189"/>
      <c r="AL66" s="247"/>
    </row>
    <row r="67" spans="1:38" s="35" customFormat="1" x14ac:dyDescent="0.35">
      <c r="A67" s="35" t="s">
        <v>205</v>
      </c>
      <c r="B67" s="35" t="s">
        <v>284</v>
      </c>
      <c r="C67" t="s">
        <v>320</v>
      </c>
      <c r="E67" s="208">
        <v>389624</v>
      </c>
      <c r="F67" s="208">
        <v>404529</v>
      </c>
      <c r="G67" s="208">
        <v>419672</v>
      </c>
      <c r="H67" s="208">
        <v>418824</v>
      </c>
      <c r="I67" s="208">
        <v>411409</v>
      </c>
      <c r="J67" s="208">
        <v>423429</v>
      </c>
      <c r="K67" s="208">
        <v>512640</v>
      </c>
      <c r="L67" s="199">
        <f>VLOOKUP(C67,'Haver NA'!$A$1:$I$34,9,0)</f>
        <v>486072</v>
      </c>
      <c r="M67" s="283">
        <v>486072</v>
      </c>
      <c r="N67" s="116">
        <f t="shared" ref="N67:S67" si="46">N74*0.74</f>
        <v>520762.48586017155</v>
      </c>
      <c r="O67" s="116">
        <f t="shared" si="46"/>
        <v>530153.75073570432</v>
      </c>
      <c r="P67" s="116">
        <f t="shared" si="46"/>
        <v>535444.10571143136</v>
      </c>
      <c r="Q67" s="116">
        <f t="shared" si="46"/>
        <v>535444.10571143136</v>
      </c>
      <c r="R67" s="116">
        <f t="shared" si="46"/>
        <v>535444.10571143136</v>
      </c>
      <c r="S67" s="116">
        <f t="shared" si="46"/>
        <v>535444.10571143136</v>
      </c>
      <c r="T67" s="116">
        <f>T74*0.68</f>
        <v>492029.71876185591</v>
      </c>
      <c r="U67" s="116">
        <f>U74*0.68</f>
        <v>492029.71876185591</v>
      </c>
      <c r="V67" s="116">
        <f>V74*0.68</f>
        <v>492029.71876185591</v>
      </c>
      <c r="W67" s="116"/>
      <c r="X67" s="116"/>
      <c r="Y67" s="116"/>
      <c r="Z67" s="116"/>
      <c r="AA67" s="116"/>
      <c r="AB67" s="44">
        <f>AVERAGE(E67:H67)/1000</f>
        <v>408.16224999999997</v>
      </c>
      <c r="AC67" s="45">
        <f>AVERAGE(I67:L67)</f>
        <v>458387.5</v>
      </c>
      <c r="AD67" s="45">
        <f>AVERAGE(N67:Q67)</f>
        <v>530451.11200468463</v>
      </c>
      <c r="AE67" s="45">
        <f>AVERAGE(R67:U67)</f>
        <v>513736.91223664366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3"/>
    </row>
    <row r="68" spans="1:38" s="35" customFormat="1" x14ac:dyDescent="0.35">
      <c r="A68" s="141" t="s">
        <v>161</v>
      </c>
      <c r="B68" s="141"/>
      <c r="D68" s="141"/>
      <c r="E68" s="203">
        <f>E42+E39+E32+E35</f>
        <v>1440187</v>
      </c>
      <c r="F68" s="203">
        <f>F42+F39+F32+F35</f>
        <v>1503410</v>
      </c>
      <c r="G68" s="203">
        <f>G42+G39+G32+G35</f>
        <v>1508652</v>
      </c>
      <c r="H68" s="203">
        <f>H42+H39+H32+H35</f>
        <v>1513957</v>
      </c>
      <c r="I68" s="203">
        <f>I42+I39+I32+I35</f>
        <v>1521941</v>
      </c>
      <c r="J68" s="203">
        <f>J42+J39+J32+J35</f>
        <v>1574462</v>
      </c>
      <c r="K68" s="203">
        <f>K42+K39+K32+K35</f>
        <v>3713565.333333333</v>
      </c>
      <c r="L68" s="199">
        <f>L42+L39+L32+L35</f>
        <v>2508714</v>
      </c>
      <c r="M68" s="283">
        <v>2531540</v>
      </c>
      <c r="N68" s="142">
        <f>N42+N39+N32+N35</f>
        <v>1966597.486653418</v>
      </c>
      <c r="O68" s="142">
        <f>O42+O39+O32+O35</f>
        <v>1887942.7957109897</v>
      </c>
      <c r="P68" s="142">
        <f>P42+P39+P32+P35</f>
        <v>1799230.9611612814</v>
      </c>
      <c r="Q68" s="142">
        <f>Q42+Q39+Q32+Q35</f>
        <v>1662989.228952572</v>
      </c>
      <c r="R68" s="142">
        <f>R42+R39+R32+R35</f>
        <v>1659289.0673868605</v>
      </c>
      <c r="S68" s="142">
        <f>S42+S39+S32+S35</f>
        <v>1668953.4033976633</v>
      </c>
      <c r="T68" s="142">
        <f>T42+T39+T32+T35</f>
        <v>1693987.704448628</v>
      </c>
      <c r="U68" s="142">
        <f>U42+U39+U32+U35</f>
        <v>1719397.5200153573</v>
      </c>
      <c r="V68" s="142">
        <f>V42+V39+V32+V35</f>
        <v>1736591.4952155109</v>
      </c>
      <c r="AL68" s="243"/>
    </row>
    <row r="69" spans="1:38" s="35" customFormat="1" x14ac:dyDescent="0.35">
      <c r="A69" s="141" t="s">
        <v>215</v>
      </c>
      <c r="B69" s="141"/>
      <c r="D69" s="141"/>
      <c r="E69" s="199"/>
      <c r="F69" s="199"/>
      <c r="G69" s="199"/>
      <c r="H69" s="199"/>
      <c r="I69" s="199"/>
      <c r="J69" s="199"/>
      <c r="K69" s="205">
        <f>K67+K31</f>
        <v>1336698</v>
      </c>
      <c r="L69" s="199">
        <f>L67+L31</f>
        <v>1328805</v>
      </c>
      <c r="M69" s="283">
        <v>1328805</v>
      </c>
      <c r="N69" s="143">
        <f>N67+N31</f>
        <v>1373815.6728590003</v>
      </c>
      <c r="O69" s="143">
        <f>O67+O31</f>
        <v>1393653.5067068823</v>
      </c>
      <c r="P69" s="143">
        <f>P67+P31</f>
        <v>1409518.3603139264</v>
      </c>
      <c r="Q69" s="143">
        <f>Q67+Q31</f>
        <v>1420222.3552427585</v>
      </c>
      <c r="R69" s="143">
        <f>R67+R31</f>
        <v>1449154.204832383</v>
      </c>
      <c r="S69" s="143">
        <f>S67+S31</f>
        <v>1479032.1128509077</v>
      </c>
      <c r="T69" s="143">
        <f>T67+T31</f>
        <v>1466472.6280325653</v>
      </c>
      <c r="U69" s="143">
        <f>U67+U31</f>
        <v>1498336.4715432189</v>
      </c>
      <c r="V69" s="143">
        <f>V67+V31</f>
        <v>1508477.1168994233</v>
      </c>
      <c r="AL69" s="243"/>
    </row>
    <row r="70" spans="1:38" s="35" customFormat="1" x14ac:dyDescent="0.35">
      <c r="E70" s="199"/>
      <c r="F70" s="199"/>
      <c r="G70" s="199"/>
      <c r="H70" s="199"/>
      <c r="I70" s="199"/>
      <c r="J70" s="199"/>
      <c r="K70" s="199"/>
      <c r="L70" s="199"/>
      <c r="M70" s="283"/>
      <c r="AL70" s="243"/>
    </row>
    <row r="71" spans="1:38" s="35" customFormat="1" x14ac:dyDescent="0.35">
      <c r="A71" s="35" t="s">
        <v>15</v>
      </c>
      <c r="B71" s="35" t="s">
        <v>284</v>
      </c>
      <c r="C71" t="s">
        <v>321</v>
      </c>
      <c r="E71" s="199">
        <v>728844</v>
      </c>
      <c r="F71" s="199">
        <v>738714</v>
      </c>
      <c r="G71" s="199">
        <v>755204</v>
      </c>
      <c r="H71" s="199">
        <v>763370</v>
      </c>
      <c r="I71" s="199">
        <v>760967</v>
      </c>
      <c r="J71" s="199">
        <v>767087</v>
      </c>
      <c r="K71" s="199">
        <v>812158</v>
      </c>
      <c r="L71" s="199">
        <f>VLOOKUP(C71,'Haver NA'!$A$1:$I$34,9,0)</f>
        <v>835999</v>
      </c>
      <c r="M71" s="283">
        <v>843592</v>
      </c>
      <c r="N71" s="133">
        <f t="shared" ref="N71:U71" si="47">N72+N74</f>
        <v>846655.9390002318</v>
      </c>
      <c r="O71" s="133">
        <f t="shared" si="47"/>
        <v>859704.14460568153</v>
      </c>
      <c r="P71" s="133">
        <f t="shared" si="47"/>
        <v>867211.47334407107</v>
      </c>
      <c r="Q71" s="133">
        <f t="shared" si="47"/>
        <v>867929.66513166018</v>
      </c>
      <c r="R71" s="133">
        <f t="shared" si="47"/>
        <v>869012.33925145073</v>
      </c>
      <c r="S71" s="133">
        <f t="shared" si="47"/>
        <v>870466.73148570256</v>
      </c>
      <c r="T71" s="133">
        <f t="shared" si="47"/>
        <v>872014.07451017783</v>
      </c>
      <c r="U71" s="133">
        <f t="shared" si="47"/>
        <v>873408.51802630571</v>
      </c>
      <c r="V71" s="133">
        <f t="shared" ref="V71" si="48">V72+V74</f>
        <v>874637.8300734181</v>
      </c>
      <c r="AL71" s="243"/>
    </row>
    <row r="72" spans="1:38" s="35" customFormat="1" x14ac:dyDescent="0.35">
      <c r="A72" s="35" t="s">
        <v>231</v>
      </c>
      <c r="E72" s="205">
        <f t="shared" ref="E72:J72" si="49">E71-E74</f>
        <v>139025</v>
      </c>
      <c r="F72" s="205">
        <f t="shared" si="49"/>
        <v>139342</v>
      </c>
      <c r="G72" s="205">
        <f t="shared" si="49"/>
        <v>140228</v>
      </c>
      <c r="H72" s="205">
        <f t="shared" si="49"/>
        <v>141105</v>
      </c>
      <c r="I72" s="205">
        <f t="shared" si="49"/>
        <v>141335</v>
      </c>
      <c r="J72" s="205">
        <f t="shared" si="49"/>
        <v>142991</v>
      </c>
      <c r="K72" s="205">
        <f>K71-K74</f>
        <v>143335</v>
      </c>
      <c r="L72" s="199">
        <f>L71-L74</f>
        <v>144732</v>
      </c>
      <c r="M72" s="283">
        <v>144609</v>
      </c>
      <c r="N72" s="133">
        <f>L72*(1+N83-0.015)</f>
        <v>142922.84999999998</v>
      </c>
      <c r="O72" s="133">
        <f t="shared" ref="O72:V72" si="50">N72*(1+O83)</f>
        <v>143280.15712499997</v>
      </c>
      <c r="P72" s="133">
        <f t="shared" si="50"/>
        <v>143638.35751781246</v>
      </c>
      <c r="Q72" s="133">
        <f t="shared" si="50"/>
        <v>144356.54930540151</v>
      </c>
      <c r="R72" s="133">
        <f t="shared" si="50"/>
        <v>145439.22342519203</v>
      </c>
      <c r="S72" s="133">
        <f t="shared" si="50"/>
        <v>146893.61565944395</v>
      </c>
      <c r="T72" s="133">
        <f t="shared" si="50"/>
        <v>148440.9586839191</v>
      </c>
      <c r="U72" s="133">
        <f t="shared" si="50"/>
        <v>149835.40220004701</v>
      </c>
      <c r="V72" s="133">
        <f t="shared" si="50"/>
        <v>151064.71424715937</v>
      </c>
      <c r="AL72" s="243"/>
    </row>
    <row r="73" spans="1:38" s="35" customFormat="1" x14ac:dyDescent="0.35">
      <c r="E73" s="205"/>
      <c r="F73" s="199"/>
      <c r="G73" s="199"/>
      <c r="H73" s="199"/>
      <c r="I73" s="199"/>
      <c r="J73" s="199"/>
      <c r="K73" s="199"/>
      <c r="L73" s="199"/>
      <c r="M73" s="283"/>
      <c r="AL73" s="243"/>
    </row>
    <row r="74" spans="1:38" s="35" customFormat="1" x14ac:dyDescent="0.35">
      <c r="A74" s="35" t="s">
        <v>228</v>
      </c>
      <c r="B74" s="35" t="s">
        <v>284</v>
      </c>
      <c r="C74" t="s">
        <v>322</v>
      </c>
      <c r="E74" s="199">
        <v>589819</v>
      </c>
      <c r="F74" s="199">
        <v>599372</v>
      </c>
      <c r="G74" s="199">
        <v>614976</v>
      </c>
      <c r="H74" s="199">
        <v>622265</v>
      </c>
      <c r="I74" s="199">
        <v>619632</v>
      </c>
      <c r="J74" s="199">
        <v>624096</v>
      </c>
      <c r="K74" s="199">
        <v>668823</v>
      </c>
      <c r="L74" s="199">
        <f>VLOOKUP(C74,'Haver NA'!$A$1:$I$34,9,0)</f>
        <v>691267</v>
      </c>
      <c r="M74" s="283">
        <v>698983</v>
      </c>
      <c r="N74" s="135">
        <f>L74*(($AI$74/$AH$74)^0.18)</f>
        <v>703733.08900023182</v>
      </c>
      <c r="O74" s="135">
        <f>N74*(($AI$74/$AH$74)^0.18)</f>
        <v>716423.98748068151</v>
      </c>
      <c r="P74" s="135">
        <f>O74*(($AI$74/$AH$74)^0.1)</f>
        <v>723573.11582625867</v>
      </c>
      <c r="Q74" s="135">
        <f>P74*(1+Q75)</f>
        <v>723573.11582625867</v>
      </c>
      <c r="R74" s="135">
        <f t="shared" ref="R74:V74" si="51">Q74*(1+R75)</f>
        <v>723573.11582625867</v>
      </c>
      <c r="S74" s="135">
        <f t="shared" si="51"/>
        <v>723573.11582625867</v>
      </c>
      <c r="T74" s="135">
        <f t="shared" si="51"/>
        <v>723573.11582625867</v>
      </c>
      <c r="U74" s="135">
        <f t="shared" si="51"/>
        <v>723573.11582625867</v>
      </c>
      <c r="V74" s="135">
        <f t="shared" si="51"/>
        <v>723573.11582625867</v>
      </c>
      <c r="AC74" s="45">
        <f>AVERAGE(I74:L74)/1000</f>
        <v>650.95450000000005</v>
      </c>
      <c r="AD74" s="45">
        <f>AVERAGE(N74:Q74)/1000</f>
        <v>716.82582703335765</v>
      </c>
      <c r="AE74" s="45">
        <f>AVERAGE(R74:U74)/1000</f>
        <v>723.57311582625869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3"/>
    </row>
    <row r="75" spans="1:38" s="187" customFormat="1" x14ac:dyDescent="0.35">
      <c r="A75" s="170" t="s">
        <v>271</v>
      </c>
      <c r="E75" s="209"/>
      <c r="F75" s="209"/>
      <c r="G75" s="209"/>
      <c r="H75" s="209"/>
      <c r="I75" s="202"/>
      <c r="J75" s="202"/>
      <c r="K75" s="202"/>
      <c r="L75" s="199"/>
      <c r="M75" s="283"/>
      <c r="N75" s="176"/>
      <c r="O75" s="176"/>
      <c r="P75" s="176"/>
      <c r="Q75" s="176">
        <v>0</v>
      </c>
      <c r="R75" s="176">
        <v>0</v>
      </c>
      <c r="S75" s="176">
        <v>0</v>
      </c>
      <c r="T75" s="176">
        <v>0</v>
      </c>
      <c r="U75" s="176">
        <v>0</v>
      </c>
      <c r="V75" s="176">
        <v>0</v>
      </c>
      <c r="W75" s="176"/>
      <c r="AL75" s="244"/>
    </row>
    <row r="76" spans="1:38" s="153" customFormat="1" x14ac:dyDescent="0.35">
      <c r="A76" s="153" t="s">
        <v>223</v>
      </c>
      <c r="E76" s="210">
        <f>E67/E74</f>
        <v>0.66058231423538405</v>
      </c>
      <c r="F76" s="210">
        <f t="shared" ref="F76:H76" si="52">F67/F74</f>
        <v>0.6749214177505789</v>
      </c>
      <c r="G76" s="210">
        <f t="shared" si="52"/>
        <v>0.68242012696430432</v>
      </c>
      <c r="H76" s="210">
        <f t="shared" si="52"/>
        <v>0.6730637268687778</v>
      </c>
      <c r="I76" s="210">
        <f t="shared" ref="I76" si="53">I67/I74</f>
        <v>0.66395699382859508</v>
      </c>
      <c r="J76" s="210">
        <f t="shared" ref="J76" si="54">J67/J74</f>
        <v>0.67846773573296415</v>
      </c>
      <c r="K76" s="211"/>
      <c r="L76" s="199"/>
      <c r="M76" s="283"/>
      <c r="AC76" s="154"/>
      <c r="AD76" s="154"/>
      <c r="AE76" s="154"/>
      <c r="AG76" s="155"/>
      <c r="AH76" s="155"/>
      <c r="AI76" s="155"/>
      <c r="AL76" s="248"/>
    </row>
    <row r="77" spans="1:38" s="35" customFormat="1" x14ac:dyDescent="0.35">
      <c r="A77" s="35" t="s">
        <v>18</v>
      </c>
      <c r="B77" s="35" t="s">
        <v>284</v>
      </c>
      <c r="C77" t="s">
        <v>323</v>
      </c>
      <c r="E77" s="199">
        <v>1997.1</v>
      </c>
      <c r="F77" s="199">
        <v>2012.7</v>
      </c>
      <c r="G77" s="199">
        <v>2025.5</v>
      </c>
      <c r="H77" s="199">
        <v>2028.3</v>
      </c>
      <c r="I77" s="199">
        <v>2035.6</v>
      </c>
      <c r="J77" s="199">
        <v>2041</v>
      </c>
      <c r="K77" s="199">
        <v>2013.1</v>
      </c>
      <c r="L77" s="199">
        <f>VLOOKUP(C77,'Haver NA'!$A$1:$I$34,9,0)/1000</f>
        <v>1992.6769999999999</v>
      </c>
      <c r="M77" s="283">
        <v>1996.2</v>
      </c>
      <c r="N77" s="35">
        <f>L77*(1+N79)</f>
        <v>2031.6535672371635</v>
      </c>
      <c r="O77" s="35">
        <f t="shared" ref="O77:V77" si="55">N77*(1+O79)</f>
        <v>2057.2848967789942</v>
      </c>
      <c r="P77" s="35">
        <f t="shared" si="55"/>
        <v>2079.7387887743166</v>
      </c>
      <c r="Q77" s="35">
        <f t="shared" si="55"/>
        <v>2094.5668306580201</v>
      </c>
      <c r="R77" s="35">
        <f t="shared" si="55"/>
        <v>2104.8405453917289</v>
      </c>
      <c r="S77" s="35">
        <f t="shared" si="55"/>
        <v>2115.0083455405543</v>
      </c>
      <c r="T77" s="35">
        <f t="shared" si="55"/>
        <v>2122.4223664824062</v>
      </c>
      <c r="U77" s="35">
        <f t="shared" si="55"/>
        <v>2126.9766936324008</v>
      </c>
      <c r="V77" s="35">
        <f t="shared" si="55"/>
        <v>2128.6713269905381</v>
      </c>
      <c r="AL77" s="243"/>
    </row>
    <row r="78" spans="1:38" s="187" customFormat="1" x14ac:dyDescent="0.35">
      <c r="A78" s="170" t="s">
        <v>288</v>
      </c>
      <c r="B78" s="35"/>
      <c r="C78" s="35"/>
      <c r="E78" s="202"/>
      <c r="F78" s="202">
        <f t="shared" ref="F78:K78" si="56">(F77/E77)-1</f>
        <v>7.8113264233139468E-3</v>
      </c>
      <c r="G78" s="202">
        <f t="shared" si="56"/>
        <v>6.3596164356336526E-3</v>
      </c>
      <c r="H78" s="202">
        <f t="shared" si="56"/>
        <v>1.3823747222907468E-3</v>
      </c>
      <c r="I78" s="202">
        <f t="shared" si="56"/>
        <v>3.5990731154167399E-3</v>
      </c>
      <c r="J78" s="202">
        <f t="shared" si="56"/>
        <v>2.6527805069758159E-3</v>
      </c>
      <c r="K78" s="202">
        <f t="shared" si="56"/>
        <v>-1.36697697207252E-2</v>
      </c>
      <c r="L78" s="199">
        <f>(L77/K77)-1</f>
        <v>-1.0145049923004357E-2</v>
      </c>
      <c r="M78" s="283">
        <v>-8.39501266703091E-3</v>
      </c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AL78" s="244"/>
    </row>
    <row r="79" spans="1:38" s="187" customFormat="1" x14ac:dyDescent="0.35">
      <c r="A79" s="170" t="s">
        <v>289</v>
      </c>
      <c r="B79" s="35" t="s">
        <v>284</v>
      </c>
      <c r="C79" s="35"/>
      <c r="E79" s="209"/>
      <c r="F79" s="209"/>
      <c r="G79" s="209"/>
      <c r="H79" s="209"/>
      <c r="I79" s="202"/>
      <c r="J79" s="202"/>
      <c r="K79" s="202"/>
      <c r="L79" s="199"/>
      <c r="M79" s="283"/>
      <c r="N79" s="198">
        <v>1.95599022004889E-2</v>
      </c>
      <c r="O79" s="198">
        <v>1.26159941611927E-2</v>
      </c>
      <c r="P79" s="198">
        <v>1.0914332784184499E-2</v>
      </c>
      <c r="Q79" s="198">
        <v>7.1297616622529904E-3</v>
      </c>
      <c r="R79" s="198">
        <v>4.9049352750809598E-3</v>
      </c>
      <c r="S79" s="198">
        <v>4.8306747848840797E-3</v>
      </c>
      <c r="T79" s="198">
        <v>3.5054334218038701E-3</v>
      </c>
      <c r="U79" s="198">
        <v>2.14581565946403E-3</v>
      </c>
      <c r="V79" s="198">
        <v>7.9673339308827796E-4</v>
      </c>
      <c r="W79" s="198">
        <v>3.9804955716982198E-4</v>
      </c>
      <c r="X79" s="198">
        <v>1.1439371331942701E-3</v>
      </c>
      <c r="Y79" s="198">
        <v>8.9423220229512001E-4</v>
      </c>
      <c r="AL79" s="244"/>
    </row>
    <row r="80" spans="1:38" s="35" customFormat="1" x14ac:dyDescent="0.35">
      <c r="A80" s="35" t="s">
        <v>217</v>
      </c>
      <c r="B80" s="35" t="s">
        <v>284</v>
      </c>
      <c r="C80" t="s">
        <v>324</v>
      </c>
      <c r="E80" s="199"/>
      <c r="F80" s="199"/>
      <c r="G80" s="199"/>
      <c r="H80" s="199"/>
      <c r="I80" s="199">
        <v>2357.4</v>
      </c>
      <c r="J80" s="199">
        <v>2381.6</v>
      </c>
      <c r="K80" s="199">
        <v>2334.5</v>
      </c>
      <c r="L80" s="199">
        <f>VLOOKUP(C80,'Haver NA'!$A$1:$I$34,9,0)/1000</f>
        <v>2329.6770000000001</v>
      </c>
      <c r="M80" s="283">
        <v>2337.9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3"/>
    </row>
    <row r="81" spans="1:38" s="35" customFormat="1" x14ac:dyDescent="0.35">
      <c r="E81" s="199"/>
      <c r="F81" s="199"/>
      <c r="G81" s="199"/>
      <c r="H81" s="199"/>
      <c r="I81" s="199"/>
      <c r="J81" s="199"/>
      <c r="K81" s="199"/>
      <c r="L81" s="199"/>
      <c r="M81" s="283"/>
      <c r="N81">
        <f>L80*(1+N83)</f>
        <v>2335.5011924999999</v>
      </c>
      <c r="O81">
        <f>N81*(1+O83)</f>
        <v>2341.3399454812497</v>
      </c>
      <c r="P81">
        <f t="shared" ref="P81:V81" si="57">O81*(1+P83)</f>
        <v>2347.1932953449527</v>
      </c>
      <c r="Q81">
        <f t="shared" si="57"/>
        <v>2358.9292618216773</v>
      </c>
      <c r="R81">
        <f t="shared" si="57"/>
        <v>2376.6212312853399</v>
      </c>
      <c r="S81">
        <f t="shared" si="57"/>
        <v>2400.3874435981934</v>
      </c>
      <c r="T81">
        <f t="shared" si="57"/>
        <v>2425.6725640591153</v>
      </c>
      <c r="U81">
        <f t="shared" si="57"/>
        <v>2448.4591548302242</v>
      </c>
      <c r="V81">
        <f t="shared" si="57"/>
        <v>2468.5473335363272</v>
      </c>
      <c r="W81"/>
      <c r="X81"/>
      <c r="Y81"/>
      <c r="AL81" s="243"/>
    </row>
    <row r="82" spans="1:38" s="187" customFormat="1" x14ac:dyDescent="0.35">
      <c r="A82" s="170" t="s">
        <v>288</v>
      </c>
      <c r="B82" s="35"/>
      <c r="C82" s="35"/>
      <c r="E82" s="202"/>
      <c r="F82" s="202"/>
      <c r="G82" s="202"/>
      <c r="H82" s="202"/>
      <c r="I82" s="202"/>
      <c r="J82" s="202">
        <f t="shared" ref="J82" si="58">(J80/I80)-1</f>
        <v>1.0265546788835067E-2</v>
      </c>
      <c r="K82" s="202">
        <f t="shared" ref="K82" si="59">(K80/J80)-1</f>
        <v>-1.9776620759153429E-2</v>
      </c>
      <c r="L82" s="202">
        <f>(((L80/K80))^4)-1</f>
        <v>-8.2382940014741335E-3</v>
      </c>
      <c r="M82" s="328">
        <v>5.8383978226230759E-3</v>
      </c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AL82" s="244"/>
    </row>
    <row r="83" spans="1:38" s="187" customFormat="1" x14ac:dyDescent="0.35">
      <c r="A83" s="170" t="s">
        <v>289</v>
      </c>
      <c r="E83" s="209"/>
      <c r="F83" s="209"/>
      <c r="G83" s="209"/>
      <c r="H83" s="209"/>
      <c r="I83" s="209"/>
      <c r="J83" s="202"/>
      <c r="K83" s="202"/>
      <c r="L83" s="199"/>
      <c r="M83" s="283"/>
      <c r="N83" s="176">
        <v>2.5000000000000001E-3</v>
      </c>
      <c r="O83" s="176">
        <v>2.5000000000000001E-3</v>
      </c>
      <c r="P83" s="176">
        <v>2.5000000000000001E-3</v>
      </c>
      <c r="Q83" s="176">
        <v>5.0000000000000001E-3</v>
      </c>
      <c r="R83" s="176">
        <v>7.4999999999999997E-3</v>
      </c>
      <c r="S83" s="176">
        <v>0.01</v>
      </c>
      <c r="T83" s="176">
        <f>T80/S80-1</f>
        <v>1.053376634191161E-2</v>
      </c>
      <c r="U83" s="176">
        <f>U80/T80-1</f>
        <v>9.3939269086582566E-3</v>
      </c>
      <c r="V83" s="176">
        <f>V80/U80-1</f>
        <v>8.2044165067951536E-3</v>
      </c>
      <c r="AL83" s="244"/>
    </row>
    <row r="84" spans="1:38" s="187" customFormat="1" x14ac:dyDescent="0.35">
      <c r="A84" s="266" t="s">
        <v>263</v>
      </c>
      <c r="E84" s="209"/>
      <c r="F84" s="209"/>
      <c r="G84" s="209"/>
      <c r="H84" s="209"/>
      <c r="I84" s="209"/>
      <c r="J84" s="202"/>
      <c r="K84" s="202"/>
      <c r="L84" s="199"/>
      <c r="M84" s="283"/>
      <c r="N84" s="176"/>
      <c r="O84" s="176"/>
      <c r="P84" s="176"/>
      <c r="Q84" s="176"/>
      <c r="R84" s="176"/>
      <c r="S84" s="176"/>
      <c r="T84" s="176"/>
      <c r="U84" s="176"/>
      <c r="V84" s="176"/>
      <c r="AL84" s="244"/>
    </row>
    <row r="85" spans="1:38" s="35" customFormat="1" x14ac:dyDescent="0.35">
      <c r="A85" s="35" t="s">
        <v>164</v>
      </c>
      <c r="E85" s="203">
        <f>E71+E38-E67</f>
        <v>339220</v>
      </c>
      <c r="F85" s="203">
        <f>F71+F38-F67</f>
        <v>334185</v>
      </c>
      <c r="G85" s="203">
        <f>G71+G38-G67</f>
        <v>335532</v>
      </c>
      <c r="H85" s="203">
        <f>H71+H38-H67</f>
        <v>344546</v>
      </c>
      <c r="I85" s="203">
        <f>I71+I38-I67</f>
        <v>349558</v>
      </c>
      <c r="J85" s="203">
        <f>J71+J38-J67</f>
        <v>343658</v>
      </c>
      <c r="K85" s="203">
        <f>K71+K38-K67</f>
        <v>577118</v>
      </c>
      <c r="L85" s="199">
        <f>L71+L38-L67</f>
        <v>489927</v>
      </c>
      <c r="M85" s="283">
        <v>497520</v>
      </c>
      <c r="N85" s="223">
        <f>N71+N38-N67</f>
        <v>405893.45314006024</v>
      </c>
      <c r="O85" s="223">
        <f>O71+O38-O67</f>
        <v>389550.39386997721</v>
      </c>
      <c r="P85" s="223">
        <f>P71+P38-P67</f>
        <v>375767.36763263971</v>
      </c>
      <c r="Q85" s="223">
        <f>Q71+Q38-Q67</f>
        <v>376485.55942022882</v>
      </c>
      <c r="R85" s="223">
        <f>R71+R38-R67</f>
        <v>377568.23354001937</v>
      </c>
      <c r="S85" s="223">
        <f>S71+S38-S67</f>
        <v>379022.6257742712</v>
      </c>
      <c r="T85" s="223">
        <f>T71+T38-T67</f>
        <v>423984.35574832192</v>
      </c>
      <c r="U85" s="223">
        <f>U71+U38-U67</f>
        <v>425378.7992644498</v>
      </c>
      <c r="V85" s="223">
        <f>V71+V38-V67</f>
        <v>426608.11131156218</v>
      </c>
      <c r="W85" s="223">
        <f>W71+W38-W67</f>
        <v>0</v>
      </c>
      <c r="X85" s="223">
        <f>X71+X38-X67</f>
        <v>0</v>
      </c>
      <c r="Y85" s="223">
        <f>Y71+Y38-Y67</f>
        <v>0</v>
      </c>
      <c r="AL85" s="243"/>
    </row>
    <row r="86" spans="1:38" s="35" customFormat="1" x14ac:dyDescent="0.35">
      <c r="A86" s="141" t="s">
        <v>214</v>
      </c>
      <c r="B86" s="141"/>
      <c r="D86" s="141"/>
      <c r="E86" s="203"/>
      <c r="F86" s="203"/>
      <c r="G86" s="203"/>
      <c r="H86" s="203"/>
      <c r="I86" s="203"/>
      <c r="J86" s="203"/>
      <c r="K86" s="203">
        <f>K74-K67</f>
        <v>156183</v>
      </c>
      <c r="L86" s="199">
        <f t="shared" ref="L86:U86" si="60">L74-L67</f>
        <v>205195</v>
      </c>
      <c r="M86" s="283">
        <v>212911</v>
      </c>
      <c r="N86" s="142">
        <f t="shared" si="60"/>
        <v>182970.60314006027</v>
      </c>
      <c r="O86" s="142">
        <f t="shared" si="60"/>
        <v>186270.23674497718</v>
      </c>
      <c r="P86" s="142">
        <f t="shared" si="60"/>
        <v>188129.01011482731</v>
      </c>
      <c r="Q86" s="142">
        <f t="shared" si="60"/>
        <v>188129.01011482731</v>
      </c>
      <c r="R86" s="142">
        <f t="shared" si="60"/>
        <v>188129.01011482731</v>
      </c>
      <c r="S86" s="142">
        <f t="shared" si="60"/>
        <v>188129.01011482731</v>
      </c>
      <c r="T86" s="142">
        <f t="shared" si="60"/>
        <v>231543.39706440276</v>
      </c>
      <c r="U86" s="142">
        <f t="shared" si="60"/>
        <v>231543.39706440276</v>
      </c>
      <c r="V86" s="142">
        <f t="shared" ref="V86:Y86" si="61">V74-V67</f>
        <v>231543.39706440276</v>
      </c>
      <c r="W86" s="142">
        <f t="shared" si="61"/>
        <v>0</v>
      </c>
      <c r="X86" s="142">
        <f t="shared" si="61"/>
        <v>0</v>
      </c>
      <c r="Y86" s="142">
        <f t="shared" si="61"/>
        <v>0</v>
      </c>
      <c r="AL86" s="243"/>
    </row>
    <row r="87" spans="1:38" s="141" customFormat="1" x14ac:dyDescent="0.35">
      <c r="A87" s="141" t="s">
        <v>232</v>
      </c>
      <c r="C87" s="35"/>
      <c r="E87" s="203">
        <f>E85-(E74-E67)</f>
        <v>139025</v>
      </c>
      <c r="F87" s="203">
        <f t="shared" ref="F87:V87" si="62">F85-(F74-F67)</f>
        <v>139342</v>
      </c>
      <c r="G87" s="203">
        <f t="shared" si="62"/>
        <v>140228</v>
      </c>
      <c r="H87" s="203">
        <f t="shared" si="62"/>
        <v>141105</v>
      </c>
      <c r="I87" s="203">
        <f t="shared" si="62"/>
        <v>141335</v>
      </c>
      <c r="J87" s="203">
        <f t="shared" si="62"/>
        <v>142991</v>
      </c>
      <c r="K87" s="203">
        <f t="shared" si="62"/>
        <v>420935</v>
      </c>
      <c r="L87" s="199">
        <f>L85-(L74-L67)</f>
        <v>284732</v>
      </c>
      <c r="M87" s="283">
        <v>284609</v>
      </c>
      <c r="N87" s="143">
        <f t="shared" si="62"/>
        <v>222922.84999999998</v>
      </c>
      <c r="O87" s="143">
        <f t="shared" si="62"/>
        <v>203280.15712500003</v>
      </c>
      <c r="P87" s="143">
        <f t="shared" si="62"/>
        <v>187638.3575178124</v>
      </c>
      <c r="Q87" s="143">
        <f t="shared" si="62"/>
        <v>188356.54930540151</v>
      </c>
      <c r="R87" s="143">
        <f t="shared" si="62"/>
        <v>189439.22342519206</v>
      </c>
      <c r="S87" s="143">
        <f t="shared" si="62"/>
        <v>190893.61565944389</v>
      </c>
      <c r="T87" s="143">
        <f t="shared" si="62"/>
        <v>192440.95868391916</v>
      </c>
      <c r="U87" s="143">
        <f t="shared" si="62"/>
        <v>193835.40220004704</v>
      </c>
      <c r="V87" s="143">
        <f t="shared" si="62"/>
        <v>195064.71424715943</v>
      </c>
      <c r="W87" s="143">
        <f t="shared" ref="W87:Y87" si="63">W85-(W74-W67)</f>
        <v>0</v>
      </c>
      <c r="X87" s="143">
        <f t="shared" si="63"/>
        <v>0</v>
      </c>
      <c r="Y87" s="143">
        <f t="shared" si="63"/>
        <v>0</v>
      </c>
      <c r="AL87" s="268"/>
    </row>
    <row r="88" spans="1:38" s="35" customFormat="1" x14ac:dyDescent="0.35">
      <c r="A88"/>
      <c r="E88" s="220"/>
      <c r="F88" s="220"/>
      <c r="G88" s="220"/>
      <c r="H88" s="220"/>
      <c r="I88" s="220"/>
      <c r="J88" s="220"/>
      <c r="K88" s="220"/>
      <c r="L88" s="135"/>
      <c r="M88" s="135"/>
      <c r="N88" s="94"/>
      <c r="O88" s="94"/>
      <c r="P88" s="94"/>
      <c r="Q88" s="94"/>
      <c r="R88" s="94"/>
      <c r="S88" s="94"/>
      <c r="T88" s="94"/>
      <c r="U88" s="94"/>
      <c r="V88"/>
      <c r="AL88" s="243"/>
    </row>
    <row r="89" spans="1:38" s="187" customFormat="1" x14ac:dyDescent="0.35">
      <c r="A89" s="170"/>
      <c r="E89" s="195"/>
      <c r="F89" s="195"/>
      <c r="G89" s="195"/>
      <c r="H89" s="195"/>
      <c r="I89" s="195"/>
      <c r="J89" s="195"/>
      <c r="K89" s="195"/>
      <c r="L89" s="221"/>
      <c r="M89" s="221"/>
      <c r="N89" s="195"/>
      <c r="O89" s="195"/>
      <c r="P89" s="195"/>
      <c r="Q89" s="195"/>
      <c r="R89" s="195"/>
      <c r="S89" s="195"/>
      <c r="T89" s="195"/>
      <c r="U89" s="195"/>
      <c r="AL89" s="244"/>
    </row>
    <row r="90" spans="1:38" x14ac:dyDescent="0.35">
      <c r="A90" t="s">
        <v>158</v>
      </c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35"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35"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35"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35"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35"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E2:H2"/>
    <mergeCell ref="A1:B1"/>
    <mergeCell ref="AL1:AO1"/>
    <mergeCell ref="AC2:AE2"/>
    <mergeCell ref="I2:L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F27" sqref="F27"/>
    </sheetView>
  </sheetViews>
  <sheetFormatPr defaultRowHeight="14.5" x14ac:dyDescent="0.35"/>
  <sheetData>
    <row r="1" spans="1:9" s="280" customFormat="1" x14ac:dyDescent="0.35">
      <c r="A1" s="280" t="s">
        <v>325</v>
      </c>
      <c r="B1" s="280" t="s">
        <v>326</v>
      </c>
      <c r="C1" s="280" t="s">
        <v>327</v>
      </c>
      <c r="D1" s="280" t="s">
        <v>328</v>
      </c>
      <c r="E1" s="280" t="s">
        <v>329</v>
      </c>
      <c r="F1" s="280" t="s">
        <v>330</v>
      </c>
      <c r="G1" s="280" t="s">
        <v>331</v>
      </c>
      <c r="H1" s="280" t="s">
        <v>332</v>
      </c>
      <c r="I1" s="280" t="s">
        <v>333</v>
      </c>
    </row>
    <row r="2" spans="1:9" x14ac:dyDescent="0.35">
      <c r="A2" t="s">
        <v>295</v>
      </c>
      <c r="B2" s="287">
        <v>20909.900000000001</v>
      </c>
      <c r="C2" s="287">
        <v>21115.3</v>
      </c>
      <c r="D2" s="287">
        <v>21329.9</v>
      </c>
      <c r="E2" s="287">
        <v>21540.3</v>
      </c>
      <c r="F2" s="287">
        <v>21747.4</v>
      </c>
      <c r="G2" s="287">
        <v>21561.1</v>
      </c>
      <c r="H2" s="287">
        <v>19520.099999999999</v>
      </c>
      <c r="I2" s="287">
        <v>21157.1</v>
      </c>
    </row>
    <row r="3" spans="1:9" x14ac:dyDescent="0.35">
      <c r="A3" t="s">
        <v>296</v>
      </c>
      <c r="B3" s="287">
        <v>18813.900000000001</v>
      </c>
      <c r="C3" s="287">
        <v>18950.3</v>
      </c>
      <c r="D3" s="287">
        <v>19020.599999999999</v>
      </c>
      <c r="E3" s="287">
        <v>19141.7</v>
      </c>
      <c r="F3" s="287">
        <v>19254</v>
      </c>
      <c r="G3" s="287">
        <v>19010.8</v>
      </c>
      <c r="H3" s="287">
        <v>17302.5</v>
      </c>
      <c r="I3" s="287">
        <v>18583.5</v>
      </c>
    </row>
    <row r="4" spans="1:9" x14ac:dyDescent="0.35">
      <c r="A4" t="s">
        <v>297</v>
      </c>
      <c r="B4" s="287">
        <v>1634.2</v>
      </c>
      <c r="C4" s="287">
        <v>1695.5</v>
      </c>
      <c r="D4" s="287">
        <v>1703.1</v>
      </c>
      <c r="E4" s="287">
        <v>1713.2</v>
      </c>
      <c r="F4" s="287">
        <v>1740.2</v>
      </c>
      <c r="G4" s="287">
        <v>1756.6</v>
      </c>
      <c r="H4" s="287">
        <v>1600.1</v>
      </c>
      <c r="I4" s="287">
        <v>1687.2</v>
      </c>
    </row>
    <row r="5" spans="1:9" x14ac:dyDescent="0.35">
      <c r="A5" t="s">
        <v>298</v>
      </c>
      <c r="B5" s="287">
        <v>183.5</v>
      </c>
      <c r="C5" s="287">
        <v>172.1</v>
      </c>
      <c r="D5" s="287">
        <v>168.3</v>
      </c>
      <c r="E5" s="287">
        <v>175.1</v>
      </c>
      <c r="F5" s="287">
        <v>179.2</v>
      </c>
      <c r="G5" s="287">
        <v>183.8</v>
      </c>
      <c r="H5" s="287">
        <v>131.4</v>
      </c>
      <c r="I5" s="287">
        <v>144.69999999999999</v>
      </c>
    </row>
    <row r="6" spans="1:9" x14ac:dyDescent="0.35">
      <c r="A6" t="s">
        <v>299</v>
      </c>
      <c r="B6" s="287">
        <v>1355.2</v>
      </c>
      <c r="C6" s="287">
        <v>1386.7</v>
      </c>
      <c r="D6" s="287">
        <v>1392.6</v>
      </c>
      <c r="E6" s="287">
        <v>1397.2</v>
      </c>
      <c r="F6" s="287">
        <v>1411.7</v>
      </c>
      <c r="G6" s="287">
        <v>1431.2</v>
      </c>
      <c r="H6" s="287">
        <v>1369.2</v>
      </c>
      <c r="I6" s="287">
        <v>1429.6</v>
      </c>
    </row>
    <row r="7" spans="1:9" x14ac:dyDescent="0.35">
      <c r="A7" t="s">
        <v>300</v>
      </c>
      <c r="B7" s="287">
        <v>234.7</v>
      </c>
      <c r="C7" s="287">
        <v>213.8</v>
      </c>
      <c r="D7" s="287">
        <v>224.2</v>
      </c>
      <c r="E7" s="287">
        <v>201.6</v>
      </c>
      <c r="F7" s="287">
        <v>229.7</v>
      </c>
      <c r="G7" s="287">
        <v>180.5</v>
      </c>
      <c r="H7" s="287">
        <v>171.5</v>
      </c>
      <c r="I7" s="287">
        <v>205.3</v>
      </c>
    </row>
    <row r="8" spans="1:9" x14ac:dyDescent="0.35">
      <c r="A8" t="s">
        <v>301</v>
      </c>
      <c r="B8" s="287">
        <v>456.5</v>
      </c>
      <c r="C8" s="287">
        <v>475.2</v>
      </c>
      <c r="D8" s="287">
        <v>519.4</v>
      </c>
      <c r="E8" s="287">
        <v>483.9</v>
      </c>
      <c r="F8" s="287">
        <v>480.9</v>
      </c>
      <c r="G8" s="287">
        <v>495.8</v>
      </c>
      <c r="H8" s="287">
        <v>496.4</v>
      </c>
      <c r="I8" s="287">
        <v>499.4</v>
      </c>
    </row>
    <row r="9" spans="1:9" x14ac:dyDescent="0.35">
      <c r="A9" t="s">
        <v>302</v>
      </c>
      <c r="B9" s="287">
        <v>1295.5</v>
      </c>
      <c r="C9" s="287">
        <v>1301.5999999999999</v>
      </c>
      <c r="D9" s="287">
        <v>1312.4</v>
      </c>
      <c r="E9" s="287">
        <v>1326.5</v>
      </c>
      <c r="F9" s="287">
        <v>1330.4</v>
      </c>
      <c r="G9" s="287">
        <v>1346.2</v>
      </c>
      <c r="H9" s="287">
        <v>1264.3</v>
      </c>
      <c r="I9" s="287">
        <v>1317.3</v>
      </c>
    </row>
    <row r="10" spans="1:9" x14ac:dyDescent="0.35">
      <c r="A10" t="s">
        <v>334</v>
      </c>
      <c r="B10" s="287">
        <v>8600</v>
      </c>
      <c r="C10" s="287">
        <v>8932</v>
      </c>
      <c r="D10" s="287">
        <v>8944</v>
      </c>
      <c r="E10" s="287">
        <v>8604</v>
      </c>
      <c r="F10" s="287">
        <v>7908</v>
      </c>
      <c r="G10" s="287">
        <v>7020</v>
      </c>
      <c r="H10" s="287">
        <v>6744</v>
      </c>
      <c r="I10" s="287">
        <v>7248</v>
      </c>
    </row>
    <row r="11" spans="1:9" x14ac:dyDescent="0.35">
      <c r="A11" t="s">
        <v>335</v>
      </c>
      <c r="B11" s="287">
        <v>12969</v>
      </c>
      <c r="C11" s="287">
        <v>13054</v>
      </c>
      <c r="D11" s="287">
        <v>13132</v>
      </c>
      <c r="E11" s="287">
        <v>13183</v>
      </c>
      <c r="F11" s="287">
        <v>13235</v>
      </c>
      <c r="G11" s="287">
        <v>13345</v>
      </c>
      <c r="H11" s="287">
        <v>12362</v>
      </c>
      <c r="I11" s="287">
        <v>12998</v>
      </c>
    </row>
    <row r="12" spans="1:9" x14ac:dyDescent="0.35">
      <c r="A12" t="s">
        <v>304</v>
      </c>
      <c r="B12" s="287">
        <v>63.5</v>
      </c>
      <c r="C12" s="287">
        <v>68.5</v>
      </c>
      <c r="D12" s="287">
        <v>68.7</v>
      </c>
      <c r="E12" s="287">
        <v>69.8</v>
      </c>
      <c r="F12" s="287">
        <v>71</v>
      </c>
      <c r="G12" s="287">
        <v>62.7</v>
      </c>
      <c r="H12" s="287">
        <v>54.2</v>
      </c>
      <c r="I12" s="287">
        <v>79.099999999999994</v>
      </c>
    </row>
    <row r="13" spans="1:9" x14ac:dyDescent="0.35">
      <c r="A13" t="s">
        <v>305</v>
      </c>
      <c r="B13" s="287">
        <v>2220523</v>
      </c>
      <c r="C13" s="287">
        <v>2298792</v>
      </c>
      <c r="D13" s="287">
        <v>2315842</v>
      </c>
      <c r="E13" s="287">
        <v>2331428</v>
      </c>
      <c r="F13" s="287">
        <v>2347737</v>
      </c>
      <c r="G13" s="287">
        <v>2422546</v>
      </c>
      <c r="H13" s="287">
        <v>4815254</v>
      </c>
      <c r="I13" s="287">
        <v>3488125</v>
      </c>
    </row>
    <row r="14" spans="1:9" x14ac:dyDescent="0.35">
      <c r="A14" t="s">
        <v>306</v>
      </c>
      <c r="B14" s="287">
        <v>753311</v>
      </c>
      <c r="C14" s="287">
        <v>767353</v>
      </c>
      <c r="D14" s="287">
        <v>779707</v>
      </c>
      <c r="E14" s="287">
        <v>789893</v>
      </c>
      <c r="F14" s="287">
        <v>797912</v>
      </c>
      <c r="G14" s="287">
        <v>804655</v>
      </c>
      <c r="H14" s="287">
        <v>824058</v>
      </c>
      <c r="I14" s="287">
        <v>842733</v>
      </c>
    </row>
    <row r="15" spans="1:9" x14ac:dyDescent="0.35">
      <c r="A15" t="s">
        <v>307</v>
      </c>
      <c r="H15" s="287">
        <v>1078100</v>
      </c>
      <c r="I15" s="287">
        <v>15600</v>
      </c>
    </row>
    <row r="16" spans="1:9" x14ac:dyDescent="0.35">
      <c r="A16" t="s">
        <v>308</v>
      </c>
      <c r="B16" s="287">
        <v>27025</v>
      </c>
      <c r="C16" s="287">
        <v>28029</v>
      </c>
      <c r="D16" s="287">
        <v>27483</v>
      </c>
      <c r="E16" s="287">
        <v>27578</v>
      </c>
      <c r="F16" s="287">
        <v>27884</v>
      </c>
      <c r="G16" s="287">
        <v>43429</v>
      </c>
      <c r="H16" s="287">
        <v>1084572</v>
      </c>
      <c r="I16" s="287">
        <v>768678</v>
      </c>
    </row>
    <row r="17" spans="1:9" x14ac:dyDescent="0.35">
      <c r="A17" t="s">
        <v>309</v>
      </c>
      <c r="H17" s="287">
        <v>19100</v>
      </c>
      <c r="I17" s="287">
        <v>27000</v>
      </c>
    </row>
    <row r="18" spans="1:9" x14ac:dyDescent="0.35">
      <c r="A18" t="s">
        <v>310</v>
      </c>
      <c r="H18" s="287">
        <v>160900</v>
      </c>
      <c r="I18" s="287">
        <v>58400</v>
      </c>
    </row>
    <row r="19" spans="1:9" x14ac:dyDescent="0.35">
      <c r="A19" t="s">
        <v>311</v>
      </c>
      <c r="B19" s="287">
        <v>79458</v>
      </c>
      <c r="C19" s="287">
        <v>71318</v>
      </c>
      <c r="D19" s="287">
        <v>61083</v>
      </c>
      <c r="E19" s="287">
        <v>81998</v>
      </c>
      <c r="F19" s="287">
        <v>81147</v>
      </c>
      <c r="G19" s="287">
        <v>75093</v>
      </c>
      <c r="H19" s="287">
        <v>1086548</v>
      </c>
      <c r="I19" s="287">
        <v>1213308</v>
      </c>
    </row>
    <row r="20" spans="1:9" x14ac:dyDescent="0.35">
      <c r="A20" t="s">
        <v>312</v>
      </c>
      <c r="H20" s="287">
        <v>609300</v>
      </c>
      <c r="I20" s="287">
        <v>865600</v>
      </c>
    </row>
    <row r="21" spans="1:9" x14ac:dyDescent="0.35">
      <c r="A21" t="s">
        <v>313</v>
      </c>
      <c r="H21" s="287">
        <v>63800</v>
      </c>
      <c r="I21" s="287">
        <v>15000</v>
      </c>
    </row>
    <row r="22" spans="1:9" x14ac:dyDescent="0.35">
      <c r="A22" t="s">
        <v>314</v>
      </c>
      <c r="H22" s="287">
        <v>73300</v>
      </c>
      <c r="I22" s="287">
        <v>73300</v>
      </c>
    </row>
    <row r="23" spans="1:9" x14ac:dyDescent="0.35">
      <c r="A23" t="s">
        <v>315</v>
      </c>
      <c r="H23" s="287">
        <v>140000</v>
      </c>
      <c r="I23" s="287">
        <v>140000</v>
      </c>
    </row>
    <row r="24" spans="1:9" x14ac:dyDescent="0.35">
      <c r="A24" t="s">
        <v>316</v>
      </c>
      <c r="B24" s="287">
        <v>586475</v>
      </c>
      <c r="C24" s="287">
        <v>594213</v>
      </c>
      <c r="D24" s="287">
        <v>612547</v>
      </c>
      <c r="E24" s="287">
        <v>610331</v>
      </c>
      <c r="F24" s="287">
        <v>615406</v>
      </c>
      <c r="G24" s="287">
        <v>627805</v>
      </c>
      <c r="H24" s="287">
        <v>1396890</v>
      </c>
      <c r="I24" s="287">
        <v>728172</v>
      </c>
    </row>
    <row r="25" spans="1:9" x14ac:dyDescent="0.35">
      <c r="A25" t="s">
        <v>319</v>
      </c>
      <c r="B25" s="287">
        <v>1368395</v>
      </c>
      <c r="C25" s="287">
        <v>1388750</v>
      </c>
      <c r="D25" s="287">
        <v>1410626</v>
      </c>
      <c r="E25" s="287">
        <v>1429281</v>
      </c>
      <c r="F25" s="287">
        <v>1447946</v>
      </c>
      <c r="G25" s="287">
        <v>1452551</v>
      </c>
      <c r="H25" s="287">
        <v>1504782</v>
      </c>
      <c r="I25" s="287">
        <v>1486802</v>
      </c>
    </row>
    <row r="26" spans="1:9" x14ac:dyDescent="0.35">
      <c r="A26" t="s">
        <v>318</v>
      </c>
      <c r="B26" s="287">
        <v>1241599</v>
      </c>
      <c r="C26" s="287">
        <v>1245767</v>
      </c>
      <c r="D26" s="287">
        <v>1273567</v>
      </c>
      <c r="E26" s="287">
        <v>1288518</v>
      </c>
      <c r="F26" s="287">
        <v>1301120</v>
      </c>
      <c r="G26" s="287">
        <v>1306142</v>
      </c>
      <c r="H26" s="287">
        <v>1356816</v>
      </c>
      <c r="I26" s="287">
        <v>1335322</v>
      </c>
    </row>
    <row r="27" spans="1:9" x14ac:dyDescent="0.35">
      <c r="A27" t="s">
        <v>320</v>
      </c>
      <c r="B27" s="287">
        <v>389624</v>
      </c>
      <c r="C27" s="287">
        <v>404529</v>
      </c>
      <c r="D27" s="287">
        <v>419672</v>
      </c>
      <c r="E27" s="287">
        <v>418824</v>
      </c>
      <c r="F27" s="287">
        <v>411409</v>
      </c>
      <c r="G27" s="287">
        <v>423429</v>
      </c>
      <c r="H27" s="287">
        <v>512640</v>
      </c>
      <c r="I27" s="287">
        <v>486072</v>
      </c>
    </row>
    <row r="28" spans="1:9" x14ac:dyDescent="0.35">
      <c r="A28" t="s">
        <v>321</v>
      </c>
      <c r="B28" s="287">
        <v>728844</v>
      </c>
      <c r="C28" s="287">
        <v>738714</v>
      </c>
      <c r="D28" s="287">
        <v>755204</v>
      </c>
      <c r="E28" s="287">
        <v>763370</v>
      </c>
      <c r="F28" s="287">
        <v>760967</v>
      </c>
      <c r="G28" s="287">
        <v>767087</v>
      </c>
      <c r="H28" s="287">
        <v>812158</v>
      </c>
      <c r="I28" s="287">
        <v>835999</v>
      </c>
    </row>
    <row r="29" spans="1:9" x14ac:dyDescent="0.35">
      <c r="A29" t="s">
        <v>322</v>
      </c>
      <c r="B29" s="287">
        <v>589819</v>
      </c>
      <c r="C29" s="287">
        <v>599372</v>
      </c>
      <c r="D29" s="287">
        <v>614976</v>
      </c>
      <c r="E29" s="287">
        <v>622265</v>
      </c>
      <c r="F29" s="287">
        <v>619362</v>
      </c>
      <c r="G29" s="287">
        <v>624096</v>
      </c>
      <c r="H29" s="287">
        <v>668823</v>
      </c>
      <c r="I29" s="287">
        <v>691267</v>
      </c>
    </row>
    <row r="30" spans="1:9" x14ac:dyDescent="0.35">
      <c r="A30" t="s">
        <v>323</v>
      </c>
      <c r="B30" s="287">
        <v>1997129</v>
      </c>
      <c r="C30" s="287">
        <v>2012720</v>
      </c>
      <c r="D30" s="287">
        <v>2025477</v>
      </c>
      <c r="E30" s="287">
        <v>2028275</v>
      </c>
      <c r="F30" s="287">
        <v>2035602</v>
      </c>
      <c r="G30" s="287">
        <v>2041017</v>
      </c>
      <c r="H30" s="287">
        <v>2013139</v>
      </c>
      <c r="I30" s="287">
        <v>1992677</v>
      </c>
    </row>
    <row r="31" spans="1:9" x14ac:dyDescent="0.35">
      <c r="A31" t="s">
        <v>324</v>
      </c>
      <c r="B31" s="287">
        <v>2279638</v>
      </c>
      <c r="C31" s="287">
        <v>2292717</v>
      </c>
      <c r="D31" s="287">
        <v>2327018</v>
      </c>
      <c r="E31" s="287">
        <v>2337774</v>
      </c>
      <c r="F31" s="287">
        <v>2357385</v>
      </c>
      <c r="G31" s="287">
        <v>2381563</v>
      </c>
      <c r="H31" s="287">
        <v>2334544</v>
      </c>
      <c r="I31" s="287">
        <v>2329677</v>
      </c>
    </row>
    <row r="32" spans="1:9" x14ac:dyDescent="0.35">
      <c r="A32" t="s">
        <v>303</v>
      </c>
      <c r="B32" s="287">
        <v>21.568999999999999</v>
      </c>
      <c r="C32" s="287">
        <v>21.986000000000001</v>
      </c>
      <c r="D32" s="287">
        <v>22.076000000000001</v>
      </c>
      <c r="E32" s="287">
        <v>21.786999999999999</v>
      </c>
      <c r="F32" s="287">
        <v>21.143000000000001</v>
      </c>
      <c r="G32" s="287">
        <v>20.364999999999998</v>
      </c>
      <c r="H32" s="287">
        <v>19.106000000000002</v>
      </c>
      <c r="I32" s="287">
        <v>20.245999999999999</v>
      </c>
    </row>
    <row r="33" spans="1:9" x14ac:dyDescent="0.35">
      <c r="A33" t="s">
        <v>337</v>
      </c>
      <c r="H33" s="287">
        <v>277100</v>
      </c>
      <c r="I33" s="287">
        <v>228300</v>
      </c>
    </row>
    <row r="34" spans="1:9" x14ac:dyDescent="0.35">
      <c r="A34" t="s">
        <v>317</v>
      </c>
      <c r="H34" s="287">
        <v>690700</v>
      </c>
      <c r="I34" s="287">
        <v>39200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F21" sqref="F2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94" t="s">
        <v>208</v>
      </c>
      <c r="B1" s="295"/>
      <c r="C1" s="35"/>
      <c r="H1"/>
      <c r="I1" s="250"/>
      <c r="J1" s="302" t="s">
        <v>283</v>
      </c>
      <c r="V1" s="289"/>
      <c r="W1" s="289"/>
      <c r="X1" s="289"/>
      <c r="Y1" s="289"/>
    </row>
    <row r="2" spans="1:27" x14ac:dyDescent="0.35">
      <c r="A2" s="296" t="s">
        <v>192</v>
      </c>
      <c r="B2" s="126"/>
      <c r="C2" t="s">
        <v>193</v>
      </c>
      <c r="I2" s="251"/>
      <c r="J2" s="302"/>
    </row>
    <row r="3" spans="1:27" x14ac:dyDescent="0.35">
      <c r="A3" s="297"/>
      <c r="B3" s="127"/>
      <c r="C3" t="s">
        <v>194</v>
      </c>
      <c r="I3" s="251"/>
      <c r="J3" s="302"/>
    </row>
    <row r="4" spans="1:27" x14ac:dyDescent="0.35">
      <c r="A4" s="297"/>
      <c r="B4" s="128"/>
      <c r="C4" t="s">
        <v>195</v>
      </c>
    </row>
    <row r="5" spans="1:27" x14ac:dyDescent="0.35">
      <c r="A5" s="298"/>
      <c r="B5" s="129"/>
      <c r="C5" t="s">
        <v>182</v>
      </c>
    </row>
    <row r="7" spans="1:27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0"/>
      <c r="O7" s="299" t="s">
        <v>272</v>
      </c>
      <c r="P7" s="300"/>
      <c r="Q7" s="300"/>
      <c r="R7" s="300"/>
      <c r="S7" s="299" t="s">
        <v>277</v>
      </c>
      <c r="T7" s="300"/>
      <c r="U7" s="300"/>
      <c r="V7" s="300"/>
      <c r="W7" s="299" t="s">
        <v>278</v>
      </c>
      <c r="X7" s="300"/>
      <c r="Y7" s="300"/>
      <c r="Z7" s="300"/>
      <c r="AA7" s="231" t="s">
        <v>279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x14ac:dyDescent="0.35">
      <c r="B11" s="86" t="s">
        <v>172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x14ac:dyDescent="0.35">
      <c r="B13" s="86" t="s">
        <v>174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x14ac:dyDescent="0.35">
      <c r="B16" s="86" t="s">
        <v>167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x14ac:dyDescent="0.35">
      <c r="B17" s="86" t="s">
        <v>168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x14ac:dyDescent="0.35">
      <c r="B18" s="86" t="s">
        <v>169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35">
      <c r="B20" t="s">
        <v>196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main!K86/1000</f>
        <v>156.18299999999999</v>
      </c>
      <c r="E24" s="104">
        <f>main!L86/1000</f>
        <v>205.19499999999999</v>
      </c>
      <c r="F24" s="104">
        <f>main!N86/1000</f>
        <v>182.97060314006026</v>
      </c>
      <c r="G24" s="149">
        <f>main!O86/1000</f>
        <v>186.27023674497718</v>
      </c>
      <c r="H24" s="104">
        <f>main!P86/1000</f>
        <v>188.12901011482731</v>
      </c>
      <c r="I24" s="104">
        <f>main!Q86/1000</f>
        <v>188.12901011482731</v>
      </c>
      <c r="J24" s="104">
        <f>main!R86/1000</f>
        <v>188.12901011482731</v>
      </c>
      <c r="K24" s="149">
        <f>main!S86/1000</f>
        <v>188.12901011482731</v>
      </c>
      <c r="L24" s="104">
        <f>main!T86/1000</f>
        <v>231.54339706440277</v>
      </c>
      <c r="M24" s="232">
        <f>main!U86/1000</f>
        <v>231.54339706440277</v>
      </c>
      <c r="N24" s="104">
        <f>M24*(1+N26)</f>
        <v>229.16775203348286</v>
      </c>
      <c r="O24" s="149">
        <f t="shared" ref="O24:AA24" si="0">N24*(1+O26)</f>
        <v>226.81542267562492</v>
      </c>
      <c r="P24" s="104">
        <f t="shared" si="0"/>
        <v>224.46309331776601</v>
      </c>
      <c r="Q24" s="104">
        <f t="shared" si="0"/>
        <v>222.11076395990807</v>
      </c>
      <c r="R24" s="104">
        <f t="shared" si="0"/>
        <v>219.7584346020501</v>
      </c>
      <c r="S24" s="149">
        <f t="shared" si="0"/>
        <v>222.23478113519113</v>
      </c>
      <c r="T24" s="104">
        <f t="shared" si="0"/>
        <v>224.71112766833312</v>
      </c>
      <c r="U24" s="104">
        <f t="shared" si="0"/>
        <v>227.18747420147511</v>
      </c>
      <c r="V24" s="104">
        <f t="shared" si="0"/>
        <v>229.66382073461614</v>
      </c>
      <c r="W24" s="149">
        <f t="shared" si="0"/>
        <v>232.80077800449581</v>
      </c>
      <c r="X24" s="104">
        <f t="shared" si="0"/>
        <v>235.93773527437455</v>
      </c>
      <c r="Y24" s="104">
        <f t="shared" si="0"/>
        <v>239.07469254425428</v>
      </c>
      <c r="Z24" s="104">
        <f t="shared" si="0"/>
        <v>242.21164981413298</v>
      </c>
      <c r="AA24" s="149">
        <f t="shared" si="0"/>
        <v>245.47595506973346</v>
      </c>
      <c r="AB24" s="95"/>
    </row>
    <row r="25" spans="1:28" x14ac:dyDescent="0.35">
      <c r="B25" t="s">
        <v>178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2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3">(N25/M25)-1</f>
        <v>-1.0260042225514798E-2</v>
      </c>
      <c r="O26" s="256">
        <f t="shared" ref="O26" si="4">(O25/N25)-1</f>
        <v>-1.0264661310262602E-2</v>
      </c>
      <c r="P26" s="239">
        <f t="shared" ref="P26" si="5">(P25/O25)-1</f>
        <v>-1.0371117316934075E-2</v>
      </c>
      <c r="Q26" s="239">
        <f t="shared" ref="Q26" si="6">(Q25/P25)-1</f>
        <v>-1.0479804599893949E-2</v>
      </c>
      <c r="R26" s="239">
        <f t="shared" ref="R26" si="7">(R25/Q25)-1</f>
        <v>-1.0590794052117936E-2</v>
      </c>
      <c r="S26" s="256">
        <f t="shared" ref="S26" si="8">(S25/R25)-1</f>
        <v>1.1268493687740966E-2</v>
      </c>
      <c r="T26" s="239">
        <f t="shared" ref="T26" si="9">(T25/S25)-1</f>
        <v>1.114292965526209E-2</v>
      </c>
      <c r="U26" s="239">
        <f t="shared" ref="U26" si="10">(U25/T25)-1</f>
        <v>1.1020133087476625E-2</v>
      </c>
      <c r="V26" s="239">
        <f t="shared" ref="V26" si="11">(V25/U25)-1</f>
        <v>1.0900013488177374E-2</v>
      </c>
      <c r="W26" s="256">
        <f t="shared" ref="W26" si="12">(W25/V25)-1</f>
        <v>1.3658909182324042E-2</v>
      </c>
      <c r="X26" s="239">
        <f t="shared" ref="X26" si="13">(X25/W25)-1</f>
        <v>1.3474857329807355E-2</v>
      </c>
      <c r="Y26" s="239">
        <f t="shared" ref="Y26" si="14">(Y25/X25)-1</f>
        <v>1.3295699673609773E-2</v>
      </c>
      <c r="Z26" s="239">
        <f t="shared" ref="Z26" si="15">(Z25/Y25)-1</f>
        <v>1.3121243559888862E-2</v>
      </c>
      <c r="AA26" s="256">
        <f t="shared" ref="AA26" si="16">(AA25/Z25)-1</f>
        <v>1.34770778288551E-2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7">F24-F25</f>
        <v>-29.957396859939735</v>
      </c>
      <c r="G27" s="150">
        <f t="shared" ref="G27" si="18">G24-G25</f>
        <v>-34.783497145431824</v>
      </c>
      <c r="H27" s="225">
        <f t="shared" ref="H27" si="19">H24-H25</f>
        <v>-41.050457665991701</v>
      </c>
      <c r="I27" s="225">
        <f t="shared" ref="I27" si="20">I24-I25</f>
        <v>-49.176191556400681</v>
      </c>
      <c r="J27" s="225">
        <f t="shared" ref="J27" si="21">J24-J25</f>
        <v>-57.30192544680969</v>
      </c>
      <c r="K27" s="150">
        <f t="shared" ref="K27:AA27" si="22">K24-K25</f>
        <v>-54.85898762026369</v>
      </c>
      <c r="L27" s="225">
        <f t="shared" si="22"/>
        <v>-9.001662844143226</v>
      </c>
      <c r="M27" s="249">
        <f t="shared" si="22"/>
        <v>-6.5587250175972258</v>
      </c>
      <c r="N27" s="225">
        <f t="shared" si="22"/>
        <v>-6.491432221971138</v>
      </c>
      <c r="O27" s="150">
        <f t="shared" si="22"/>
        <v>-6.4247998687940822</v>
      </c>
      <c r="P27" s="225">
        <f t="shared" si="22"/>
        <v>-6.3581675156169979</v>
      </c>
      <c r="Q27" s="225">
        <f t="shared" si="22"/>
        <v>-6.291535162439942</v>
      </c>
      <c r="R27" s="225">
        <f t="shared" si="22"/>
        <v>-6.2249028092628862</v>
      </c>
      <c r="S27" s="150">
        <f t="shared" si="22"/>
        <v>-6.295048087275859</v>
      </c>
      <c r="T27" s="225">
        <f t="shared" si="22"/>
        <v>-6.3651933652888886</v>
      </c>
      <c r="U27" s="225">
        <f t="shared" si="22"/>
        <v>-6.4353386433018898</v>
      </c>
      <c r="V27" s="225">
        <f t="shared" si="22"/>
        <v>-6.5054839213148625</v>
      </c>
      <c r="W27" s="150">
        <f t="shared" si="22"/>
        <v>-6.5943417353831819</v>
      </c>
      <c r="X27" s="225">
        <f t="shared" si="22"/>
        <v>-6.6831995494514445</v>
      </c>
      <c r="Y27" s="225">
        <f t="shared" si="22"/>
        <v>-6.7720573635197354</v>
      </c>
      <c r="Z27" s="225">
        <f t="shared" si="22"/>
        <v>-6.8609151775880264</v>
      </c>
      <c r="AA27" s="150">
        <f t="shared" si="22"/>
        <v>-6.9533802654135286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main!K87/1000</f>
        <v>420.935</v>
      </c>
      <c r="F31" s="104">
        <f>main!L87/1000</f>
        <v>284.73200000000003</v>
      </c>
      <c r="G31" s="104">
        <f>main!N87/1000</f>
        <v>222.92284999999998</v>
      </c>
      <c r="H31" s="104">
        <f>main!O87/1000</f>
        <v>203.28015712500002</v>
      </c>
      <c r="I31" s="104">
        <f>main!P87/1000</f>
        <v>187.63835751781241</v>
      </c>
      <c r="J31" s="104">
        <f>main!Q87/1000</f>
        <v>188.3565493054015</v>
      </c>
      <c r="K31" s="104">
        <f>main!R87/1000</f>
        <v>189.43922342519207</v>
      </c>
      <c r="L31" s="104">
        <f>main!S87/1000</f>
        <v>190.8936156594439</v>
      </c>
      <c r="M31" s="104">
        <f>L31*(1 + M33)</f>
        <v>196.1377384453541</v>
      </c>
      <c r="N31" s="104">
        <f t="shared" ref="N31:AA31" si="23">M31*(1 + N33)</f>
        <v>201.02049700267582</v>
      </c>
      <c r="O31" s="104">
        <f t="shared" si="23"/>
        <v>205.49740549889256</v>
      </c>
      <c r="P31" s="104">
        <f t="shared" si="23"/>
        <v>209.87313201110581</v>
      </c>
      <c r="Q31" s="104">
        <f t="shared" si="23"/>
        <v>214.56685904447599</v>
      </c>
      <c r="R31" s="104">
        <f t="shared" si="23"/>
        <v>219.23167693955926</v>
      </c>
      <c r="S31" s="104">
        <f t="shared" si="23"/>
        <v>220.69947059783161</v>
      </c>
      <c r="T31" s="104">
        <f t="shared" si="23"/>
        <v>222.34071908582786</v>
      </c>
      <c r="U31" s="104">
        <f t="shared" si="23"/>
        <v>224.14096783440166</v>
      </c>
      <c r="V31" s="104">
        <f t="shared" si="23"/>
        <v>226.17248968927152</v>
      </c>
      <c r="W31" s="104">
        <f t="shared" si="23"/>
        <v>227.80603558171478</v>
      </c>
      <c r="X31" s="104">
        <f t="shared" si="23"/>
        <v>229.41067233587103</v>
      </c>
      <c r="Y31" s="104">
        <f t="shared" si="23"/>
        <v>231.13094564317328</v>
      </c>
      <c r="Z31" s="104">
        <f t="shared" si="23"/>
        <v>232.98131007276805</v>
      </c>
      <c r="AA31" s="104">
        <f t="shared" si="23"/>
        <v>234.86223263512105</v>
      </c>
      <c r="AB31" s="95"/>
    </row>
    <row r="32" spans="1:28" x14ac:dyDescent="0.35">
      <c r="B32" t="s">
        <v>178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2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6">(M32/L32)-1</f>
        <v>2.747144145074909E-2</v>
      </c>
      <c r="N33" s="239">
        <f t="shared" ref="N33" si="27">(N32/M32)-1</f>
        <v>2.4894538888966089E-2</v>
      </c>
      <c r="O33" s="256">
        <f t="shared" ref="O33" si="28">(O32/N32)-1</f>
        <v>2.2270905519436335E-2</v>
      </c>
      <c r="P33" s="239">
        <f t="shared" ref="P33" si="29">(P32/O32)-1</f>
        <v>2.1293341887164807E-2</v>
      </c>
      <c r="Q33" s="239">
        <f t="shared" ref="Q33" si="30">(Q32/P32)-1</f>
        <v>2.2364592305802233E-2</v>
      </c>
      <c r="R33" s="239">
        <f t="shared" ref="R33" si="31">(R32/Q32)-1</f>
        <v>2.1740626282441555E-2</v>
      </c>
      <c r="S33" s="256">
        <f t="shared" ref="S33" si="32">(S32/R32)-1</f>
        <v>6.6951714221343828E-3</v>
      </c>
      <c r="T33" s="239">
        <f t="shared" ref="T33" si="33">(T32/S32)-1</f>
        <v>7.4365764609694018E-3</v>
      </c>
      <c r="U33" s="239">
        <f t="shared" ref="U33" si="34">(U32/T32)-1</f>
        <v>8.0968018632650018E-3</v>
      </c>
      <c r="V33" s="239">
        <f t="shared" ref="V33" si="35">(V32/U32)-1</f>
        <v>9.0635900901916422E-3</v>
      </c>
      <c r="W33" s="256">
        <f t="shared" ref="W33" si="36">(W32/V32)-1</f>
        <v>7.2225666998118054E-3</v>
      </c>
      <c r="X33" s="239">
        <f t="shared" ref="X33" si="37">(X32/W32)-1</f>
        <v>7.0438728721946564E-3</v>
      </c>
      <c r="Y33" s="239">
        <f t="shared" ref="Y33" si="38">(Y32/X32)-1</f>
        <v>7.4986629426885276E-3</v>
      </c>
      <c r="Z33" s="239">
        <f t="shared" ref="Z33" si="39">(Z32/Y32)-1</f>
        <v>8.0056974822031446E-3</v>
      </c>
      <c r="AA33" s="256">
        <f t="shared" ref="AA33" si="40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41">F31-F32</f>
        <v>-594.18499999999995</v>
      </c>
      <c r="G34" s="150">
        <f t="shared" ref="G34" si="42">G31-G32</f>
        <v>-692.43567224998105</v>
      </c>
      <c r="H34" s="225">
        <f t="shared" ref="H34" si="43">H31-H32</f>
        <v>-711.40498724321901</v>
      </c>
      <c r="I34" s="225">
        <f t="shared" ref="I34" si="44">I31-I32</f>
        <v>-728.34545407101155</v>
      </c>
      <c r="J34" s="225">
        <f t="shared" ref="J34" si="45">J31-J32</f>
        <v>-722.57156195195455</v>
      </c>
      <c r="K34" s="150">
        <f t="shared" ref="K34:N34" si="46">K31-K32</f>
        <v>-747.40304702488299</v>
      </c>
      <c r="L34" s="249">
        <f t="shared" si="46"/>
        <v>-773.68878167072808</v>
      </c>
      <c r="M34" s="225">
        <f t="shared" si="46"/>
        <v>-794.94312773749687</v>
      </c>
      <c r="N34" s="225">
        <f t="shared" si="46"/>
        <v>-814.73287034547423</v>
      </c>
      <c r="O34" s="150">
        <f t="shared" ref="O34:AA34" si="47">O31-O32</f>
        <v>-832.87770912451731</v>
      </c>
      <c r="P34" s="150">
        <f t="shared" si="47"/>
        <v>-850.61245893510431</v>
      </c>
      <c r="Q34" s="150">
        <f t="shared" si="47"/>
        <v>-869.63605978942394</v>
      </c>
      <c r="R34" s="150">
        <f t="shared" si="47"/>
        <v>-888.54249236704072</v>
      </c>
      <c r="S34" s="150">
        <f t="shared" si="47"/>
        <v>-894.49143666928853</v>
      </c>
      <c r="T34" s="150">
        <f t="shared" si="47"/>
        <v>-901.14339063176203</v>
      </c>
      <c r="U34" s="150">
        <f t="shared" si="47"/>
        <v>-908.43977011609832</v>
      </c>
      <c r="V34" s="150">
        <f t="shared" si="47"/>
        <v>-916.67349581405847</v>
      </c>
      <c r="W34" s="150">
        <f t="shared" si="47"/>
        <v>-923.29423127952521</v>
      </c>
      <c r="X34" s="150">
        <f t="shared" si="47"/>
        <v>-929.79779846828899</v>
      </c>
      <c r="Y34" s="150">
        <f t="shared" si="47"/>
        <v>-936.77003876385663</v>
      </c>
      <c r="Z34" s="150">
        <f t="shared" si="47"/>
        <v>-944.26953630459184</v>
      </c>
      <c r="AA34" s="150">
        <f t="shared" si="47"/>
        <v>-951.89288547033902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main!K22</f>
        <v>1779.8019999999999</v>
      </c>
      <c r="F38" s="104">
        <f>main!L22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-3.7540000000001328</v>
      </c>
      <c r="G40" s="150">
        <f t="shared" ref="G40:K40" si="49">G38-G39</f>
        <v>-3.7856223008150209</v>
      </c>
      <c r="H40" s="225">
        <f t="shared" si="49"/>
        <v>-3.8484065191764785</v>
      </c>
      <c r="I40" s="225">
        <f t="shared" si="49"/>
        <v>-3.909601731425937</v>
      </c>
      <c r="J40" s="225">
        <f t="shared" si="49"/>
        <v>-3.9750096575496627</v>
      </c>
      <c r="K40" s="150">
        <f t="shared" si="49"/>
        <v>-4.0188181865989918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main!K26</f>
        <v>54.2</v>
      </c>
      <c r="F44" s="104">
        <f>main!L26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16.466666666666697</v>
      </c>
      <c r="G46" s="150">
        <f t="shared" ref="G46:K46" si="51">G44-G45</f>
        <v>16.801557590396577</v>
      </c>
      <c r="H46" s="225">
        <f t="shared" si="51"/>
        <v>17.080209969497801</v>
      </c>
      <c r="I46" s="225">
        <f t="shared" si="51"/>
        <v>17.351809934060185</v>
      </c>
      <c r="J46" s="225">
        <f t="shared" si="51"/>
        <v>17.642106997632354</v>
      </c>
      <c r="K46" s="150">
        <f t="shared" si="51"/>
        <v>17.836540426369808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main!K69/1000</f>
        <v>1336.6980000000001</v>
      </c>
      <c r="F50" s="104">
        <f>main!L69/1000</f>
        <v>1328.8050000000001</v>
      </c>
      <c r="G50" s="149">
        <f>main!N69/1000</f>
        <v>1373.8156728590002</v>
      </c>
      <c r="H50" s="104">
        <f>main!O69/1000</f>
        <v>1393.6535067068824</v>
      </c>
      <c r="I50" s="104">
        <f>main!P69/1000</f>
        <v>1409.5183603139265</v>
      </c>
      <c r="J50" s="232">
        <f>main!Q69/1000</f>
        <v>1420.2223552427586</v>
      </c>
      <c r="K50" s="149">
        <f>J50*(1+K52)</f>
        <v>1456.3521805721509</v>
      </c>
      <c r="L50" s="104">
        <f t="shared" ref="L50:AA50" si="52">K50*(1+L52)</f>
        <v>1492.4820059015433</v>
      </c>
      <c r="M50" s="104">
        <f t="shared" si="52"/>
        <v>1528.6118312309252</v>
      </c>
      <c r="N50" s="104">
        <f t="shared" si="52"/>
        <v>1564.7416565603173</v>
      </c>
      <c r="O50" s="149">
        <f t="shared" si="52"/>
        <v>1569.1660714961929</v>
      </c>
      <c r="P50" s="104">
        <f t="shared" si="52"/>
        <v>1573.5904864320792</v>
      </c>
      <c r="Q50" s="104">
        <f t="shared" si="52"/>
        <v>1578.014901367955</v>
      </c>
      <c r="R50" s="104">
        <f t="shared" si="52"/>
        <v>1582.4393163038305</v>
      </c>
      <c r="S50" s="149">
        <f t="shared" si="52"/>
        <v>1594.4899061049896</v>
      </c>
      <c r="T50" s="104">
        <f t="shared" si="52"/>
        <v>1606.5404959061382</v>
      </c>
      <c r="U50" s="104">
        <f t="shared" si="52"/>
        <v>1618.5910857072975</v>
      </c>
      <c r="V50" s="104">
        <f t="shared" si="52"/>
        <v>1630.641675508446</v>
      </c>
      <c r="W50" s="149">
        <f t="shared" si="52"/>
        <v>1669.5855382015181</v>
      </c>
      <c r="X50" s="104">
        <f t="shared" si="52"/>
        <v>1708.5294008945793</v>
      </c>
      <c r="Y50" s="104">
        <f t="shared" si="52"/>
        <v>1747.4732635876408</v>
      </c>
      <c r="Z50" s="104">
        <f t="shared" si="52"/>
        <v>1786.4171262807126</v>
      </c>
      <c r="AA50" s="149">
        <f t="shared" si="52"/>
        <v>1815.5043883220092</v>
      </c>
      <c r="AB50" s="95"/>
    </row>
    <row r="51" spans="1:28" x14ac:dyDescent="0.35">
      <c r="B51" t="s">
        <v>178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2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3">
      <c r="B52" s="213" t="s">
        <v>281</v>
      </c>
      <c r="D52" s="237"/>
      <c r="E52" s="252"/>
      <c r="F52" s="252"/>
      <c r="G52" s="238"/>
      <c r="H52" s="252"/>
      <c r="I52" s="252"/>
      <c r="J52" s="252"/>
      <c r="K52" s="256">
        <f t="shared" ref="K52" si="55">(K51/J51)-1</f>
        <v>2.5439555430189387E-2</v>
      </c>
      <c r="L52" s="239">
        <f t="shared" ref="L52" si="56">(L51/K51)-1</f>
        <v>2.4808439751982325E-2</v>
      </c>
      <c r="M52" s="239">
        <f t="shared" ref="M52" si="57">(M51/L51)-1</f>
        <v>2.4207880019000649E-2</v>
      </c>
      <c r="N52" s="239">
        <f t="shared" ref="N52" si="58">(N51/M51)-1</f>
        <v>2.3635709596921295E-2</v>
      </c>
      <c r="O52" s="256">
        <f t="shared" ref="O52" si="59">(O51/N51)-1</f>
        <v>2.8275689583170394E-3</v>
      </c>
      <c r="P52" s="239">
        <f t="shared" ref="P52" si="60">(P51/O51)-1</f>
        <v>2.8195963551949088E-3</v>
      </c>
      <c r="Q52" s="239">
        <f t="shared" ref="Q52" si="61">(Q51/P51)-1</f>
        <v>2.8116685846948375E-3</v>
      </c>
      <c r="R52" s="239">
        <f t="shared" ref="R52" si="62">(R51/Q51)-1</f>
        <v>2.8037852697335719E-3</v>
      </c>
      <c r="S52" s="256">
        <f t="shared" ref="S52" si="63">(S51/R51)-1</f>
        <v>7.6151986853474352E-3</v>
      </c>
      <c r="T52" s="239">
        <f t="shared" ref="T52" si="64">(T51/S51)-1</f>
        <v>7.5576457116530715E-3</v>
      </c>
      <c r="U52" s="239">
        <f t="shared" ref="U52" si="65">(U51/T51)-1</f>
        <v>7.500956142635129E-3</v>
      </c>
      <c r="V52" s="239">
        <f t="shared" ref="V52" si="66">(V51/U51)-1</f>
        <v>7.4451106938369094E-3</v>
      </c>
      <c r="W52" s="256">
        <f t="shared" ref="W52" si="67">(W51/V51)-1</f>
        <v>2.3882538560121791E-2</v>
      </c>
      <c r="X52" s="239">
        <f t="shared" ref="X52" si="68">(X51/W51)-1</f>
        <v>2.3325467190504989E-2</v>
      </c>
      <c r="Y52" s="239">
        <f t="shared" ref="Y52" si="69">(Y51/X51)-1</f>
        <v>2.2793791358036053E-2</v>
      </c>
      <c r="Z52" s="239">
        <f t="shared" ref="Z52" si="70">(Z51/Y51)-1</f>
        <v>2.2285813182124636E-2</v>
      </c>
      <c r="AA52" s="256">
        <f t="shared" ref="AA52" si="71">(AA51/Z51)-1</f>
        <v>1.6282458118757281E-2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72">F50-F51</f>
        <v>3.3000000000129148E-2</v>
      </c>
      <c r="G53" s="150">
        <f t="shared" ref="G53" si="73">G50-G51</f>
        <v>39.284047628960252</v>
      </c>
      <c r="H53" s="225">
        <f t="shared" ref="H53" si="74">H50-H51</f>
        <v>53.362256246812422</v>
      </c>
      <c r="I53" s="225">
        <f t="shared" ref="I53" si="75">I50-I51</f>
        <v>63.467484623816517</v>
      </c>
      <c r="J53" s="249">
        <f t="shared" ref="J53" si="76">J50-J51</f>
        <v>68.411854322618638</v>
      </c>
      <c r="K53" s="150">
        <f t="shared" ref="K53:AA53" si="77">K50-K51</f>
        <v>70.15222148274097</v>
      </c>
      <c r="L53" s="225">
        <f t="shared" si="77"/>
        <v>71.892588642863302</v>
      </c>
      <c r="M53" s="225">
        <f t="shared" si="77"/>
        <v>73.63295580298518</v>
      </c>
      <c r="N53" s="225">
        <f t="shared" si="77"/>
        <v>75.373322963107285</v>
      </c>
      <c r="O53" s="150">
        <f t="shared" si="77"/>
        <v>75.586446231402988</v>
      </c>
      <c r="P53" s="225">
        <f t="shared" si="77"/>
        <v>75.799569499699146</v>
      </c>
      <c r="Q53" s="225">
        <f t="shared" si="77"/>
        <v>76.012692767994849</v>
      </c>
      <c r="R53" s="225">
        <f t="shared" si="77"/>
        <v>76.225816036290553</v>
      </c>
      <c r="S53" s="150">
        <f t="shared" si="77"/>
        <v>76.80629077035951</v>
      </c>
      <c r="T53" s="225">
        <f t="shared" si="77"/>
        <v>77.38676550442824</v>
      </c>
      <c r="U53" s="225">
        <f t="shared" si="77"/>
        <v>77.967240238497425</v>
      </c>
      <c r="V53" s="225">
        <f t="shared" si="77"/>
        <v>78.547714972566155</v>
      </c>
      <c r="W53" s="150">
        <f t="shared" si="77"/>
        <v>80.423633804208066</v>
      </c>
      <c r="X53" s="225">
        <f t="shared" si="77"/>
        <v>82.299552635849295</v>
      </c>
      <c r="Y53" s="225">
        <f t="shared" si="77"/>
        <v>84.175471467490752</v>
      </c>
      <c r="Z53" s="225">
        <f t="shared" si="77"/>
        <v>86.051390299132663</v>
      </c>
      <c r="AA53" s="150">
        <f t="shared" si="77"/>
        <v>87.452518457739188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main!J68/1000</f>
        <v>1574.462</v>
      </c>
      <c r="E57" s="104">
        <f>main!K68/1000</f>
        <v>3713.565333333333</v>
      </c>
      <c r="F57" s="104">
        <f>main!L68/1000</f>
        <v>2508.7139999999999</v>
      </c>
      <c r="G57" s="149">
        <f>main!N68/1000</f>
        <v>1966.5974866534179</v>
      </c>
      <c r="H57" s="104">
        <f>main!O68/1000</f>
        <v>1887.9427957109897</v>
      </c>
      <c r="I57" s="104">
        <f>main!P68/1000</f>
        <v>1799.2309611612814</v>
      </c>
      <c r="J57" s="104">
        <f>main!Q68/1000</f>
        <v>1662.9892289525719</v>
      </c>
      <c r="K57" s="275">
        <f>main!R68/1000</f>
        <v>1659.2890673868606</v>
      </c>
      <c r="L57" s="104">
        <f>K57*(1+L59)</f>
        <v>1667.0646381208169</v>
      </c>
      <c r="M57" s="104">
        <f t="shared" ref="M57:AA57" si="78">L57*(1+M59)</f>
        <v>1655.0461037082484</v>
      </c>
      <c r="N57" s="104">
        <f t="shared" si="78"/>
        <v>1615.6190830265325</v>
      </c>
      <c r="O57" s="104">
        <f t="shared" si="78"/>
        <v>1614.9538346665386</v>
      </c>
      <c r="P57" s="104">
        <f t="shared" si="78"/>
        <v>1615.432798976698</v>
      </c>
      <c r="Q57" s="104">
        <f t="shared" si="78"/>
        <v>1616.6942893335181</v>
      </c>
      <c r="R57" s="104">
        <f t="shared" si="78"/>
        <v>1620.1978756144483</v>
      </c>
      <c r="S57" s="104">
        <f t="shared" si="78"/>
        <v>1637.8202714328067</v>
      </c>
      <c r="T57" s="104">
        <f t="shared" si="78"/>
        <v>1654.689931451134</v>
      </c>
      <c r="U57" s="104">
        <f t="shared" si="78"/>
        <v>1668.0498757503647</v>
      </c>
      <c r="V57" s="104">
        <f t="shared" si="78"/>
        <v>1679.2584719670369</v>
      </c>
      <c r="W57" s="104">
        <f t="shared" si="78"/>
        <v>1716.2058199830558</v>
      </c>
      <c r="X57" s="104">
        <f t="shared" si="78"/>
        <v>1746.0717960563163</v>
      </c>
      <c r="Y57" s="104">
        <f t="shared" si="78"/>
        <v>1769.6646317304717</v>
      </c>
      <c r="Z57" s="104">
        <f t="shared" si="78"/>
        <v>1786.3092463695214</v>
      </c>
      <c r="AA57" s="104">
        <f t="shared" si="78"/>
        <v>1794.1262482725151</v>
      </c>
      <c r="AB57" s="95"/>
    </row>
    <row r="58" spans="1:28" x14ac:dyDescent="0.35">
      <c r="B58" t="s">
        <v>178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275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171" customFormat="1" ht="12" x14ac:dyDescent="0.3">
      <c r="B59" s="213" t="s">
        <v>281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81">(L58/K58)-1</f>
        <v>4.6860856777666271E-3</v>
      </c>
      <c r="M59" s="239">
        <f t="shared" ref="M59" si="82">(M58/L58)-1</f>
        <v>-7.2093991664992085E-3</v>
      </c>
      <c r="N59" s="239">
        <f t="shared" ref="N59" si="83">(N58/M58)-1</f>
        <v>-2.3822309598129587E-2</v>
      </c>
      <c r="O59" s="256">
        <f t="shared" ref="O59" si="84">(O58/N58)-1</f>
        <v>-4.1176064765691134E-4</v>
      </c>
      <c r="P59" s="239">
        <f t="shared" ref="P59" si="85">(P58/O58)-1</f>
        <v>2.9658080613703675E-4</v>
      </c>
      <c r="Q59" s="239">
        <f t="shared" ref="Q59" si="86">(Q58/P58)-1</f>
        <v>7.808993092248695E-4</v>
      </c>
      <c r="R59" s="239">
        <f t="shared" ref="R59" si="87">(R58/Q58)-1</f>
        <v>2.1671297437282355E-3</v>
      </c>
      <c r="S59" s="256">
        <f t="shared" ref="S59" si="88">(S58/R58)-1</f>
        <v>1.0876693571564733E-2</v>
      </c>
      <c r="T59" s="239">
        <f t="shared" ref="T59" si="89">(T58/S58)-1</f>
        <v>1.0300067908897814E-2</v>
      </c>
      <c r="U59" s="239">
        <f t="shared" ref="U59" si="90">(U58/T58)-1</f>
        <v>8.0739865791739085E-3</v>
      </c>
      <c r="V59" s="239">
        <f t="shared" ref="V59" si="91">(V58/U58)-1</f>
        <v>6.7195809787343741E-3</v>
      </c>
      <c r="W59" s="256">
        <f t="shared" ref="W59" si="92">(W58/V58)-1</f>
        <v>2.2002180505744207E-2</v>
      </c>
      <c r="X59" s="239">
        <f t="shared" ref="X59" si="93">(X58/W58)-1</f>
        <v>1.7402327696077524E-2</v>
      </c>
      <c r="Y59" s="239">
        <f t="shared" ref="Y59" si="94">(Y58/X58)-1</f>
        <v>1.3511950497936187E-2</v>
      </c>
      <c r="Z59" s="239">
        <f t="shared" ref="Z59" si="95">(Z58/Y58)-1</f>
        <v>9.4055191817750128E-3</v>
      </c>
      <c r="AA59" s="256">
        <f t="shared" ref="AA59" si="96">(AA58/Z58)-1</f>
        <v>4.3760630578837389E-3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7">F57-F58</f>
        <v>571.93100000000004</v>
      </c>
      <c r="G60" s="150">
        <f t="shared" ref="G60" si="98">G57-G58</f>
        <v>293.80086516330789</v>
      </c>
      <c r="H60" s="225">
        <f t="shared" ref="H60" si="99">H57-H58</f>
        <v>422.43236197226975</v>
      </c>
      <c r="I60" s="225">
        <f t="shared" ref="I60" si="100">I57-I58</f>
        <v>500.18578450030145</v>
      </c>
      <c r="J60" s="225">
        <f t="shared" ref="J60" si="101">J57-J58</f>
        <v>479.33909720374186</v>
      </c>
      <c r="K60" s="276">
        <f t="shared" ref="K60" si="102">K57-K58</f>
        <v>447.22496824155064</v>
      </c>
      <c r="L60" s="225">
        <f t="shared" ref="L60:AA60" si="103">L57-L58</f>
        <v>449.32070275996693</v>
      </c>
      <c r="M60" s="225">
        <f t="shared" si="103"/>
        <v>446.08137045999842</v>
      </c>
      <c r="N60" s="225">
        <f t="shared" si="103"/>
        <v>435.4546819469424</v>
      </c>
      <c r="O60" s="150">
        <f t="shared" si="103"/>
        <v>435.27537884507865</v>
      </c>
      <c r="P60" s="225">
        <f t="shared" si="103"/>
        <v>435.40447316782797</v>
      </c>
      <c r="Q60" s="225">
        <f t="shared" si="103"/>
        <v>435.74448022015804</v>
      </c>
      <c r="R60" s="225">
        <f t="shared" si="103"/>
        <v>436.68879504390839</v>
      </c>
      <c r="S60" s="150">
        <f t="shared" si="103"/>
        <v>441.43852525373677</v>
      </c>
      <c r="T60" s="225">
        <f t="shared" si="103"/>
        <v>445.98537204145396</v>
      </c>
      <c r="U60" s="225">
        <f t="shared" si="103"/>
        <v>449.5862519498246</v>
      </c>
      <c r="V60" s="225">
        <f t="shared" si="103"/>
        <v>452.60728317672692</v>
      </c>
      <c r="W60" s="150">
        <f t="shared" si="103"/>
        <v>462.56563031939572</v>
      </c>
      <c r="X60" s="225">
        <f t="shared" si="103"/>
        <v>470.61534899915637</v>
      </c>
      <c r="Y60" s="225">
        <f t="shared" si="103"/>
        <v>476.97428029840171</v>
      </c>
      <c r="Z60" s="225">
        <f t="shared" si="103"/>
        <v>481.46047104096147</v>
      </c>
      <c r="AA60" s="150">
        <f t="shared" si="103"/>
        <v>483.56737242211511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main!K46/1000</f>
        <v>1086.548</v>
      </c>
      <c r="F64" s="104">
        <f>main!L46/1000</f>
        <v>1213.308</v>
      </c>
      <c r="G64" s="149">
        <f>main!N46/1000</f>
        <v>382.93200834658188</v>
      </c>
      <c r="H64" s="104">
        <f>main!O46/1000</f>
        <v>100.25024999999999</v>
      </c>
      <c r="I64" s="104">
        <f>main!P46/1000</f>
        <v>100.25024999999999</v>
      </c>
      <c r="J64" s="104">
        <f>main!Q46/1000</f>
        <v>100.25024999999999</v>
      </c>
      <c r="K64" s="149">
        <f>main!R46/1000</f>
        <v>100.25024999999999</v>
      </c>
      <c r="L64" s="232">
        <f>main!S46/1000</f>
        <v>74.830250000000007</v>
      </c>
      <c r="M64" s="240">
        <f>L64*(1+M66)</f>
        <v>75.157160582543426</v>
      </c>
      <c r="N64" s="240">
        <f>M64*(1+N66)</f>
        <v>75.488247723051742</v>
      </c>
      <c r="O64" s="257">
        <f>N64*(1+O66)</f>
        <v>75.823511421525581</v>
      </c>
      <c r="P64" s="240">
        <f>O64*(1+P66)</f>
        <v>76.163711052139888</v>
      </c>
      <c r="Q64" s="240">
        <f t="shared" ref="Q64:AA64" si="104">P64*(1+Q66)</f>
        <v>76.50542943110527</v>
      </c>
      <c r="R64" s="240">
        <f t="shared" si="104"/>
        <v>76.852083742211136</v>
      </c>
      <c r="S64" s="257">
        <f t="shared" si="104"/>
        <v>77.203673985458053</v>
      </c>
      <c r="T64" s="240">
        <f t="shared" si="104"/>
        <v>77.559061099581498</v>
      </c>
      <c r="U64" s="240">
        <f t="shared" si="104"/>
        <v>77.915207587881099</v>
      </c>
      <c r="V64" s="240">
        <f t="shared" si="104"/>
        <v>78.273252511618978</v>
      </c>
      <c r="W64" s="257">
        <f t="shared" si="104"/>
        <v>78.633195870796328</v>
      </c>
      <c r="X64" s="240">
        <f t="shared" si="104"/>
        <v>78.993898604148015</v>
      </c>
      <c r="Y64" s="240">
        <f t="shared" si="104"/>
        <v>79.352702902062035</v>
      </c>
      <c r="Z64" s="240">
        <f t="shared" si="104"/>
        <v>79.71188688706323</v>
      </c>
      <c r="AA64" s="257">
        <f t="shared" si="104"/>
        <v>80.071070872064439</v>
      </c>
      <c r="AB64" s="95"/>
    </row>
    <row r="65" spans="1:32" x14ac:dyDescent="0.35">
      <c r="B65" t="s">
        <v>178</v>
      </c>
      <c r="D65" s="102">
        <f t="shared" ref="D65:AA65" si="105">D19</f>
        <v>74.5</v>
      </c>
      <c r="E65" s="104">
        <f t="shared" si="105"/>
        <v>1085.9000000000001</v>
      </c>
      <c r="F65" s="104">
        <f t="shared" si="105"/>
        <v>1211.7</v>
      </c>
      <c r="G65" s="149">
        <f t="shared" si="105"/>
        <v>1215.66820949049</v>
      </c>
      <c r="H65" s="104">
        <f t="shared" si="105"/>
        <v>1219.78734929441</v>
      </c>
      <c r="I65" s="104">
        <f t="shared" si="105"/>
        <v>1224.19577219907</v>
      </c>
      <c r="J65" s="104">
        <f t="shared" si="105"/>
        <v>1228.9563658350501</v>
      </c>
      <c r="K65" s="149">
        <f t="shared" si="105"/>
        <v>1234.08799649154</v>
      </c>
      <c r="L65" s="232">
        <f t="shared" si="105"/>
        <v>1239.41457880287</v>
      </c>
      <c r="M65" s="104">
        <f t="shared" si="105"/>
        <v>1244.82920379703</v>
      </c>
      <c r="N65" s="104">
        <f t="shared" si="105"/>
        <v>1250.31300518484</v>
      </c>
      <c r="O65" s="149">
        <f t="shared" si="105"/>
        <v>1255.86598296631</v>
      </c>
      <c r="P65" s="104">
        <f t="shared" si="105"/>
        <v>1261.50071466755</v>
      </c>
      <c r="Q65" s="104">
        <f t="shared" si="105"/>
        <v>1267.1606014210299</v>
      </c>
      <c r="R65" s="104">
        <f t="shared" si="105"/>
        <v>1272.9022420942799</v>
      </c>
      <c r="S65" s="149">
        <f t="shared" si="105"/>
        <v>1278.72563668731</v>
      </c>
      <c r="T65" s="104">
        <f t="shared" si="105"/>
        <v>1284.6119189109199</v>
      </c>
      <c r="U65" s="104">
        <f t="shared" si="105"/>
        <v>1290.51077866066</v>
      </c>
      <c r="V65" s="104">
        <f t="shared" si="105"/>
        <v>1296.44108222569</v>
      </c>
      <c r="W65" s="149">
        <f t="shared" si="105"/>
        <v>1302.4028296060301</v>
      </c>
      <c r="X65" s="104">
        <f t="shared" si="105"/>
        <v>1308.37715451247</v>
      </c>
      <c r="Y65" s="104">
        <f t="shared" si="105"/>
        <v>1314.32003560363</v>
      </c>
      <c r="Z65" s="104">
        <f t="shared" si="105"/>
        <v>1320.2692054578399</v>
      </c>
      <c r="AA65" s="149">
        <f t="shared" si="105"/>
        <v>1326.2183753120501</v>
      </c>
      <c r="AB65" s="95"/>
    </row>
    <row r="66" spans="1:32" s="171" customFormat="1" ht="12" x14ac:dyDescent="0.3">
      <c r="B66" s="213" t="s">
        <v>281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6">(M65/L65)-1</f>
        <v>4.3686955815784856E-3</v>
      </c>
      <c r="N66" s="239">
        <f t="shared" si="106"/>
        <v>4.4052640885055006E-3</v>
      </c>
      <c r="O66" s="256">
        <f t="shared" si="106"/>
        <v>4.4412701127178877E-3</v>
      </c>
      <c r="P66" s="239">
        <f t="shared" si="106"/>
        <v>4.4867300951421107E-3</v>
      </c>
      <c r="Q66" s="239">
        <f t="shared" si="106"/>
        <v>4.4866298430685791E-3</v>
      </c>
      <c r="R66" s="239">
        <f t="shared" si="106"/>
        <v>4.5311073172660254E-3</v>
      </c>
      <c r="S66" s="256">
        <f t="shared" si="106"/>
        <v>4.574895385091704E-3</v>
      </c>
      <c r="T66" s="239">
        <f t="shared" si="106"/>
        <v>4.6032409570351263E-3</v>
      </c>
      <c r="U66" s="239">
        <f t="shared" si="106"/>
        <v>4.5919391396749276E-3</v>
      </c>
      <c r="V66" s="239">
        <f t="shared" si="106"/>
        <v>4.5953150202935333E-3</v>
      </c>
      <c r="W66" s="256">
        <f t="shared" si="106"/>
        <v>4.5985486437263301E-3</v>
      </c>
      <c r="X66" s="239">
        <f t="shared" si="106"/>
        <v>4.5871559632952863E-3</v>
      </c>
      <c r="Y66" s="239">
        <f t="shared" si="106"/>
        <v>4.5421773612168703E-3</v>
      </c>
      <c r="Z66" s="239">
        <f t="shared" si="106"/>
        <v>4.5264240771294428E-3</v>
      </c>
      <c r="AA66" s="256">
        <f t="shared" si="106"/>
        <v>4.5060278840232115E-3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1.6079999999999472</v>
      </c>
      <c r="G67" s="150">
        <f t="shared" ref="G67:AA67" si="107">G64-G65</f>
        <v>-832.73620114390815</v>
      </c>
      <c r="H67" s="225">
        <f t="shared" si="107"/>
        <v>-1119.5370992944099</v>
      </c>
      <c r="I67" s="225">
        <f t="shared" si="107"/>
        <v>-1123.94552219907</v>
      </c>
      <c r="J67" s="225">
        <f t="shared" si="107"/>
        <v>-1128.70611583505</v>
      </c>
      <c r="K67" s="150">
        <f t="shared" si="107"/>
        <v>-1133.83774649154</v>
      </c>
      <c r="L67" s="225">
        <f t="shared" si="107"/>
        <v>-1164.58432880287</v>
      </c>
      <c r="M67" s="225">
        <f t="shared" si="107"/>
        <v>-1169.6720432144866</v>
      </c>
      <c r="N67" s="225">
        <f t="shared" si="107"/>
        <v>-1174.8247574617883</v>
      </c>
      <c r="O67" s="150">
        <f t="shared" si="107"/>
        <v>-1180.0424715447843</v>
      </c>
      <c r="P67" s="225">
        <f t="shared" si="107"/>
        <v>-1185.3370036154101</v>
      </c>
      <c r="Q67" s="225">
        <f t="shared" si="107"/>
        <v>-1190.6551719899246</v>
      </c>
      <c r="R67" s="225">
        <f t="shared" si="107"/>
        <v>-1196.0501583520688</v>
      </c>
      <c r="S67" s="150">
        <f t="shared" si="107"/>
        <v>-1201.5219627018521</v>
      </c>
      <c r="T67" s="225">
        <f t="shared" si="107"/>
        <v>-1207.0528578113385</v>
      </c>
      <c r="U67" s="225">
        <f t="shared" si="107"/>
        <v>-1212.595571072779</v>
      </c>
      <c r="V67" s="225">
        <f t="shared" si="107"/>
        <v>-1218.1678297140711</v>
      </c>
      <c r="W67" s="150">
        <f t="shared" si="107"/>
        <v>-1223.7696337352338</v>
      </c>
      <c r="X67" s="225">
        <f t="shared" si="107"/>
        <v>-1229.3832559083221</v>
      </c>
      <c r="Y67" s="225">
        <f t="shared" si="107"/>
        <v>-1234.967332701568</v>
      </c>
      <c r="Z67" s="225">
        <f t="shared" si="107"/>
        <v>-1240.5573185707767</v>
      </c>
      <c r="AA67" s="150">
        <f t="shared" si="107"/>
        <v>-1246.1473044399856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main!K62/1000</f>
        <v>279.25</v>
      </c>
      <c r="F71" s="226">
        <f>main!L62/1000</f>
        <v>286.95061436735779</v>
      </c>
      <c r="G71" s="151">
        <f>main!N62/1000</f>
        <v>298.37288477706733</v>
      </c>
      <c r="H71" s="226">
        <f>main!O62/1000</f>
        <v>282.14099544764287</v>
      </c>
      <c r="I71" s="226">
        <f>main!P62/1000</f>
        <v>255.02243392207245</v>
      </c>
      <c r="J71" s="226">
        <f>main!Q62/1000</f>
        <v>256.05497613497749</v>
      </c>
      <c r="K71" s="151">
        <f>main!R62/1000</f>
        <v>251.54437969325102</v>
      </c>
      <c r="L71" s="226">
        <f>main!S62/1000</f>
        <v>247.2408068497152</v>
      </c>
      <c r="M71" s="226">
        <f>main!T62/1000</f>
        <v>248.95857178194768</v>
      </c>
      <c r="N71" s="226">
        <f>main!U62/1000</f>
        <v>250.86680125051294</v>
      </c>
      <c r="O71" s="151">
        <f>main!V62/1000</f>
        <v>252.62247677399645</v>
      </c>
      <c r="P71" s="255">
        <f>main!W62/1000</f>
        <v>254.57245802602731</v>
      </c>
      <c r="Q71" s="258">
        <f>P71*(1+Q73)</f>
        <v>266.84554035043868</v>
      </c>
      <c r="R71" s="258">
        <f t="shared" ref="R71:AA71" si="108">Q71*(1+R73)</f>
        <v>279.86369412126004</v>
      </c>
      <c r="S71" s="259">
        <f t="shared" si="108"/>
        <v>281.7269716982471</v>
      </c>
      <c r="T71" s="258">
        <f t="shared" si="108"/>
        <v>283.66604178001614</v>
      </c>
      <c r="U71" s="258">
        <f t="shared" si="108"/>
        <v>285.64989666947559</v>
      </c>
      <c r="V71" s="258">
        <f t="shared" si="108"/>
        <v>287.69056277877843</v>
      </c>
      <c r="W71" s="259">
        <f t="shared" si="108"/>
        <v>288.25036038684794</v>
      </c>
      <c r="X71" s="258">
        <f t="shared" si="108"/>
        <v>289.5388549275047</v>
      </c>
      <c r="Y71" s="258">
        <f t="shared" si="108"/>
        <v>290.16440875152392</v>
      </c>
      <c r="Z71" s="258">
        <f t="shared" si="108"/>
        <v>290.83125325773699</v>
      </c>
      <c r="AA71" s="259">
        <f t="shared" si="108"/>
        <v>291.23889600882188</v>
      </c>
      <c r="AB71" s="95"/>
    </row>
    <row r="72" spans="1:32" x14ac:dyDescent="0.35">
      <c r="B72" t="s">
        <v>178</v>
      </c>
      <c r="D72" s="102">
        <f t="shared" ref="D72:O72" si="109">D20</f>
        <v>204.37100000000001</v>
      </c>
      <c r="E72" s="104">
        <f t="shared" si="109"/>
        <v>884.26</v>
      </c>
      <c r="F72" s="104">
        <f t="shared" si="109"/>
        <v>241.428</v>
      </c>
      <c r="G72" s="149">
        <f t="shared" si="109"/>
        <v>228.42538380464799</v>
      </c>
      <c r="H72" s="104">
        <f t="shared" si="109"/>
        <v>212.81817966260101</v>
      </c>
      <c r="I72" s="104">
        <f t="shared" si="109"/>
        <v>197.64507351167001</v>
      </c>
      <c r="J72" s="104">
        <f t="shared" si="109"/>
        <v>183.050764682226</v>
      </c>
      <c r="K72" s="149">
        <f t="shared" si="109"/>
        <v>194.33260834913199</v>
      </c>
      <c r="L72" s="104">
        <f t="shared" si="109"/>
        <v>206.40744830671201</v>
      </c>
      <c r="M72" s="104">
        <f t="shared" si="109"/>
        <v>218.56402183082099</v>
      </c>
      <c r="N72" s="104">
        <f t="shared" si="109"/>
        <v>231.450162767232</v>
      </c>
      <c r="O72" s="149">
        <f t="shared" si="109"/>
        <v>243.697218746837</v>
      </c>
      <c r="P72" s="232">
        <f t="shared" ref="P72:AA72" si="110">P20</f>
        <v>256.68855568447401</v>
      </c>
      <c r="Q72" s="240">
        <f t="shared" si="110"/>
        <v>269.06365627500099</v>
      </c>
      <c r="R72" s="240">
        <f t="shared" si="110"/>
        <v>282.19002161326898</v>
      </c>
      <c r="S72" s="257">
        <f t="shared" si="110"/>
        <v>284.06878742236199</v>
      </c>
      <c r="T72" s="240">
        <f t="shared" si="110"/>
        <v>286.02397575074502</v>
      </c>
      <c r="U72" s="240">
        <f t="shared" si="110"/>
        <v>288.02432115421698</v>
      </c>
      <c r="V72" s="240">
        <f t="shared" si="110"/>
        <v>290.08195001278602</v>
      </c>
      <c r="W72" s="257">
        <f t="shared" si="110"/>
        <v>290.64640085953198</v>
      </c>
      <c r="X72" s="240">
        <f t="shared" si="110"/>
        <v>291.94560582935901</v>
      </c>
      <c r="Y72" s="240">
        <f t="shared" si="110"/>
        <v>292.57635948132702</v>
      </c>
      <c r="Z72" s="240">
        <f t="shared" si="110"/>
        <v>293.248747038462</v>
      </c>
      <c r="AA72" s="257">
        <f t="shared" si="110"/>
        <v>293.65977826243102</v>
      </c>
      <c r="AB72" s="95"/>
    </row>
    <row r="73" spans="1:32" s="171" customFormat="1" ht="12" x14ac:dyDescent="0.3">
      <c r="B73" s="213" t="s">
        <v>281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11">(Q72/P72)-1</f>
        <v>4.8210566137349309E-2</v>
      </c>
      <c r="R73" s="239">
        <f t="shared" ref="R73" si="112">(R72/Q72)-1</f>
        <v>4.8785352581591113E-2</v>
      </c>
      <c r="S73" s="256">
        <f t="shared" ref="S73" si="113">(S72/R72)-1</f>
        <v>6.6578038385347593E-3</v>
      </c>
      <c r="T73" s="239">
        <f t="shared" ref="T73" si="114">(T72/S72)-1</f>
        <v>6.8827988675714824E-3</v>
      </c>
      <c r="U73" s="239">
        <f t="shared" ref="U73" si="115">(U72/T72)-1</f>
        <v>6.9936284125187154E-3</v>
      </c>
      <c r="V73" s="239">
        <f t="shared" ref="V73" si="116">(V72/U72)-1</f>
        <v>7.143941353019656E-3</v>
      </c>
      <c r="W73" s="256">
        <f t="shared" ref="W73" si="117">(W72/V72)-1</f>
        <v>1.9458323646854847E-3</v>
      </c>
      <c r="X73" s="239">
        <f t="shared" ref="X73" si="118">(X72/W72)-1</f>
        <v>4.4700535289097232E-3</v>
      </c>
      <c r="Y73" s="239">
        <f t="shared" ref="Y73" si="119">(Y72/X72)-1</f>
        <v>2.160517710743326E-3</v>
      </c>
      <c r="Z73" s="239">
        <f t="shared" ref="Z73" si="120">(Z72/Y72)-1</f>
        <v>2.2981609256707003E-3</v>
      </c>
      <c r="AA73" s="256">
        <f t="shared" ref="AA73" si="121">(AA72/Z72)-1</f>
        <v>1.4016469912319085E-3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45.522614367357789</v>
      </c>
      <c r="G74" s="150">
        <f t="shared" ref="G74:K74" si="122">G71-G72</f>
        <v>69.947500972419334</v>
      </c>
      <c r="H74" s="225">
        <f t="shared" si="122"/>
        <v>69.322815785041854</v>
      </c>
      <c r="I74" s="225">
        <f t="shared" si="122"/>
        <v>57.377360410402446</v>
      </c>
      <c r="J74" s="225">
        <f t="shared" si="122"/>
        <v>73.004211452751491</v>
      </c>
      <c r="K74" s="150">
        <f t="shared" si="122"/>
        <v>57.211771344119029</v>
      </c>
      <c r="L74" s="225">
        <f t="shared" ref="L74:N74" si="123">L71-L72</f>
        <v>40.833358543003186</v>
      </c>
      <c r="M74" s="225">
        <f t="shared" si="123"/>
        <v>30.394549951126692</v>
      </c>
      <c r="N74" s="225">
        <f t="shared" si="123"/>
        <v>19.416638483280934</v>
      </c>
      <c r="O74" s="150">
        <f t="shared" ref="O74:AA74" si="124">O71-O72</f>
        <v>8.9252580271594582</v>
      </c>
      <c r="P74" s="249">
        <f t="shared" si="124"/>
        <v>-2.1160976584467051</v>
      </c>
      <c r="Q74" s="260">
        <f t="shared" si="124"/>
        <v>-2.2181159245623121</v>
      </c>
      <c r="R74" s="260">
        <f t="shared" si="124"/>
        <v>-2.326327492008943</v>
      </c>
      <c r="S74" s="261">
        <f t="shared" si="124"/>
        <v>-2.3418157241148947</v>
      </c>
      <c r="T74" s="260">
        <f t="shared" si="124"/>
        <v>-2.3579339707288796</v>
      </c>
      <c r="U74" s="260">
        <f t="shared" si="124"/>
        <v>-2.3744244847413825</v>
      </c>
      <c r="V74" s="260">
        <f t="shared" si="124"/>
        <v>-2.3913872340075955</v>
      </c>
      <c r="W74" s="261">
        <f t="shared" si="124"/>
        <v>-2.3960404726840352</v>
      </c>
      <c r="X74" s="260">
        <f t="shared" si="124"/>
        <v>-2.4067509018543092</v>
      </c>
      <c r="Y74" s="260">
        <f t="shared" si="124"/>
        <v>-2.4119507298030953</v>
      </c>
      <c r="Z74" s="260">
        <f t="shared" si="124"/>
        <v>-2.4174937807250103</v>
      </c>
      <c r="AA74" s="261">
        <f t="shared" si="124"/>
        <v>-2.4208822536091361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3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290</v>
      </c>
      <c r="J1" t="s">
        <v>276</v>
      </c>
      <c r="K1" t="s">
        <v>292</v>
      </c>
      <c r="L1" t="s">
        <v>293</v>
      </c>
      <c r="M1" t="s">
        <v>294</v>
      </c>
    </row>
    <row r="2" spans="1:13" x14ac:dyDescent="0.35">
      <c r="A2" s="190">
        <v>44104</v>
      </c>
      <c r="B2" s="102">
        <f t="array" ref="B2:B23">TRANSPOSE('add-ons calculations'!F27:AA27)</f>
        <v>-29.957396859939735</v>
      </c>
      <c r="C2">
        <f t="array" ref="C2:C23">TRANSPOSE('add-ons calculations'!F34:AA34)</f>
        <v>-594.18499999999995</v>
      </c>
      <c r="D2">
        <f t="array" ref="D2:D23">TRANSPOSE('add-ons calculations'!F40:AA40)</f>
        <v>-3.7540000000001328</v>
      </c>
      <c r="E2">
        <f t="array" ref="E2:E23">TRANSPOSE('add-ons calculations'!F46:AA46)</f>
        <v>16.466666666666697</v>
      </c>
      <c r="F2">
        <f t="array" ref="F2:F23">TRANSPOSE('add-ons calculations'!F53:AA53)</f>
        <v>3.3000000000129148E-2</v>
      </c>
      <c r="G2">
        <f t="array" ref="G2:G23">TRANSPOSE('add-ons calculations'!F60:AA60)</f>
        <v>571.93100000000004</v>
      </c>
      <c r="H2">
        <f t="array" ref="H2:H23">TRANSPOSE('add-ons calculations'!F67:AA67)</f>
        <v>1.6079999999999472</v>
      </c>
      <c r="I2">
        <f t="array" ref="I2:I23">TRANSPOSE('add-ons calculations'!F74:AA74)</f>
        <v>45.522614367357789</v>
      </c>
      <c r="J2" s="102">
        <f>'add-ons calculations'!E71</f>
        <v>279.25</v>
      </c>
    </row>
    <row r="3" spans="1:13" x14ac:dyDescent="0.35">
      <c r="A3" s="190">
        <v>44196</v>
      </c>
      <c r="B3">
        <v>-34.783497145431824</v>
      </c>
      <c r="C3">
        <v>-692.43567224998105</v>
      </c>
      <c r="D3">
        <v>-3.7856223008150209</v>
      </c>
      <c r="E3">
        <v>16.801557590396577</v>
      </c>
      <c r="F3">
        <v>39.284047628960252</v>
      </c>
      <c r="G3">
        <v>293.80086516330789</v>
      </c>
      <c r="H3">
        <v>-832.73620114390815</v>
      </c>
      <c r="I3">
        <v>69.947500972419334</v>
      </c>
      <c r="J3" s="102">
        <f>'add-ons calculations'!F71</f>
        <v>286.95061436735779</v>
      </c>
      <c r="K3" cm="1">
        <f t="array" ref="K3:K11">TRANSPOSE(main!N33:V33)/1000</f>
        <v>337.8</v>
      </c>
      <c r="L3" cm="1">
        <f t="array" ref="L3:L11">TRANSPOSE(main!N35:V35)/1000</f>
        <v>257.8</v>
      </c>
      <c r="M3" cm="1">
        <f t="array" ref="M3:M11">TRANSPOSE(main!N38:V38)/1000</f>
        <v>80</v>
      </c>
    </row>
    <row r="4" spans="1:13" x14ac:dyDescent="0.35">
      <c r="A4" s="190">
        <v>44286</v>
      </c>
      <c r="B4">
        <v>-41.050457665991701</v>
      </c>
      <c r="C4">
        <v>-711.40498724321901</v>
      </c>
      <c r="D4">
        <v>-3.8484065191764785</v>
      </c>
      <c r="E4">
        <v>17.080209969497801</v>
      </c>
      <c r="F4">
        <v>53.362256246812422</v>
      </c>
      <c r="G4">
        <v>422.43236197226975</v>
      </c>
      <c r="H4">
        <v>-1119.5370992944099</v>
      </c>
      <c r="I4">
        <v>69.322815785041854</v>
      </c>
      <c r="K4">
        <v>244</v>
      </c>
      <c r="L4">
        <v>184</v>
      </c>
      <c r="M4">
        <v>60</v>
      </c>
    </row>
    <row r="5" spans="1:13" x14ac:dyDescent="0.35">
      <c r="A5" s="190">
        <v>44377</v>
      </c>
      <c r="B5">
        <v>-49.176191556400681</v>
      </c>
      <c r="C5">
        <v>-728.34545407101155</v>
      </c>
      <c r="D5">
        <v>-3.909601731425937</v>
      </c>
      <c r="E5">
        <v>17.351809934060185</v>
      </c>
      <c r="F5">
        <v>63.467484623816517</v>
      </c>
      <c r="G5">
        <v>500.18578450030145</v>
      </c>
      <c r="H5">
        <v>-1123.94552219907</v>
      </c>
      <c r="I5">
        <v>57.377360410402446</v>
      </c>
      <c r="K5">
        <v>152</v>
      </c>
      <c r="L5">
        <v>108</v>
      </c>
      <c r="M5">
        <v>44</v>
      </c>
    </row>
    <row r="6" spans="1:13" x14ac:dyDescent="0.35">
      <c r="A6" s="190">
        <v>44469</v>
      </c>
      <c r="B6">
        <v>-57.30192544680969</v>
      </c>
      <c r="C6">
        <v>-722.57156195195455</v>
      </c>
      <c r="D6">
        <v>-3.9750096575496627</v>
      </c>
      <c r="E6">
        <v>17.642106997632354</v>
      </c>
      <c r="F6">
        <v>68.411854322618638</v>
      </c>
      <c r="G6">
        <v>479.33909720374186</v>
      </c>
      <c r="H6">
        <v>-1128.70611583505</v>
      </c>
      <c r="I6">
        <v>73.004211452751491</v>
      </c>
      <c r="K6">
        <v>44</v>
      </c>
      <c r="L6">
        <v>0</v>
      </c>
      <c r="M6">
        <v>44</v>
      </c>
    </row>
    <row r="7" spans="1:13" x14ac:dyDescent="0.35">
      <c r="A7" s="190">
        <v>44561</v>
      </c>
      <c r="B7">
        <v>-54.85898762026369</v>
      </c>
      <c r="C7">
        <v>-747.40304702488299</v>
      </c>
      <c r="D7">
        <v>-4.0188181865989918</v>
      </c>
      <c r="E7">
        <v>17.836540426369808</v>
      </c>
      <c r="F7">
        <v>70.15222148274097</v>
      </c>
      <c r="G7">
        <v>447.22496824155064</v>
      </c>
      <c r="H7">
        <v>-1133.83774649154</v>
      </c>
      <c r="I7">
        <v>57.211771344119029</v>
      </c>
      <c r="K7">
        <v>44</v>
      </c>
      <c r="L7">
        <v>0</v>
      </c>
      <c r="M7">
        <v>44</v>
      </c>
    </row>
    <row r="8" spans="1:13" x14ac:dyDescent="0.35">
      <c r="A8" s="190">
        <v>44651</v>
      </c>
      <c r="B8">
        <v>-9.001662844143226</v>
      </c>
      <c r="C8">
        <v>-773.68878167072808</v>
      </c>
      <c r="D8">
        <v>0</v>
      </c>
      <c r="E8">
        <v>0</v>
      </c>
      <c r="F8">
        <v>71.892588642863302</v>
      </c>
      <c r="G8">
        <v>449.32070275996693</v>
      </c>
      <c r="H8">
        <v>-1164.58432880287</v>
      </c>
      <c r="I8">
        <v>40.833358543003186</v>
      </c>
      <c r="K8">
        <v>44</v>
      </c>
      <c r="L8">
        <v>0</v>
      </c>
      <c r="M8">
        <v>44</v>
      </c>
    </row>
    <row r="9" spans="1:13" x14ac:dyDescent="0.35">
      <c r="A9" s="190">
        <v>44742</v>
      </c>
      <c r="B9">
        <v>-6.5587250175972258</v>
      </c>
      <c r="C9">
        <v>-794.94312773749687</v>
      </c>
      <c r="D9">
        <v>0</v>
      </c>
      <c r="E9">
        <v>0</v>
      </c>
      <c r="F9">
        <v>73.63295580298518</v>
      </c>
      <c r="G9">
        <v>446.08137045999842</v>
      </c>
      <c r="H9">
        <v>-1169.6720432144866</v>
      </c>
      <c r="I9">
        <v>30.394549951126692</v>
      </c>
      <c r="K9">
        <v>44</v>
      </c>
      <c r="L9">
        <v>0</v>
      </c>
      <c r="M9">
        <v>44</v>
      </c>
    </row>
    <row r="10" spans="1:13" x14ac:dyDescent="0.35">
      <c r="A10" s="190">
        <v>44834</v>
      </c>
      <c r="B10">
        <v>-6.491432221971138</v>
      </c>
      <c r="C10">
        <v>-814.73287034547423</v>
      </c>
      <c r="D10">
        <v>0</v>
      </c>
      <c r="E10">
        <v>0</v>
      </c>
      <c r="F10">
        <v>75.373322963107285</v>
      </c>
      <c r="G10">
        <v>435.4546819469424</v>
      </c>
      <c r="H10">
        <v>-1174.8247574617883</v>
      </c>
      <c r="I10">
        <v>19.416638483280934</v>
      </c>
      <c r="K10">
        <v>44</v>
      </c>
      <c r="L10">
        <v>0</v>
      </c>
      <c r="M10">
        <v>44</v>
      </c>
    </row>
    <row r="11" spans="1:13" x14ac:dyDescent="0.35">
      <c r="A11" s="190">
        <v>44926</v>
      </c>
      <c r="B11">
        <v>-6.4247998687940822</v>
      </c>
      <c r="C11">
        <v>-832.87770912451731</v>
      </c>
      <c r="D11">
        <v>0</v>
      </c>
      <c r="E11">
        <v>0</v>
      </c>
      <c r="F11">
        <v>75.586446231402988</v>
      </c>
      <c r="G11">
        <v>435.27537884507865</v>
      </c>
      <c r="H11">
        <v>-1180.0424715447843</v>
      </c>
      <c r="I11">
        <v>8.9252580271594582</v>
      </c>
      <c r="K11">
        <v>44</v>
      </c>
      <c r="L11">
        <v>0</v>
      </c>
      <c r="M11">
        <v>44</v>
      </c>
    </row>
    <row r="12" spans="1:13" x14ac:dyDescent="0.35">
      <c r="A12" s="190">
        <v>45016</v>
      </c>
      <c r="B12">
        <v>-6.3581675156169979</v>
      </c>
      <c r="C12">
        <v>-850.61245893510431</v>
      </c>
      <c r="D12">
        <v>0</v>
      </c>
      <c r="E12">
        <v>0</v>
      </c>
      <c r="F12">
        <v>75.799569499699146</v>
      </c>
      <c r="G12">
        <v>435.40447316782797</v>
      </c>
      <c r="H12">
        <v>-1185.3370036154101</v>
      </c>
      <c r="I12">
        <v>-2.1160976584467051</v>
      </c>
    </row>
    <row r="13" spans="1:13" x14ac:dyDescent="0.35">
      <c r="A13" s="190">
        <v>45107</v>
      </c>
      <c r="B13">
        <v>-6.291535162439942</v>
      </c>
      <c r="C13">
        <v>-869.63605978942394</v>
      </c>
      <c r="D13">
        <v>0</v>
      </c>
      <c r="E13">
        <v>0</v>
      </c>
      <c r="F13">
        <v>76.012692767994849</v>
      </c>
      <c r="G13">
        <v>435.74448022015804</v>
      </c>
      <c r="H13">
        <v>-1190.6551719899246</v>
      </c>
      <c r="I13">
        <v>-2.2181159245623121</v>
      </c>
    </row>
    <row r="14" spans="1:13" x14ac:dyDescent="0.35">
      <c r="A14" s="190">
        <v>45199</v>
      </c>
      <c r="B14">
        <v>-6.2249028092628862</v>
      </c>
      <c r="C14">
        <v>-888.54249236704072</v>
      </c>
      <c r="D14">
        <v>0</v>
      </c>
      <c r="E14">
        <v>0</v>
      </c>
      <c r="F14">
        <v>76.225816036290553</v>
      </c>
      <c r="G14">
        <v>436.68879504390839</v>
      </c>
      <c r="H14">
        <v>-1196.0501583520688</v>
      </c>
      <c r="I14">
        <v>-2.326327492008943</v>
      </c>
    </row>
    <row r="15" spans="1:13" x14ac:dyDescent="0.35">
      <c r="A15" s="190">
        <v>45291</v>
      </c>
      <c r="B15">
        <v>-6.295048087275859</v>
      </c>
      <c r="C15">
        <v>-894.49143666928853</v>
      </c>
      <c r="D15">
        <v>0</v>
      </c>
      <c r="E15">
        <v>0</v>
      </c>
      <c r="F15">
        <v>76.80629077035951</v>
      </c>
      <c r="G15">
        <v>441.43852525373677</v>
      </c>
      <c r="H15">
        <v>-1201.5219627018521</v>
      </c>
      <c r="I15">
        <v>-2.3418157241148947</v>
      </c>
    </row>
    <row r="16" spans="1:13" x14ac:dyDescent="0.35">
      <c r="A16" s="190">
        <v>45382</v>
      </c>
      <c r="B16">
        <v>-6.3651933652888886</v>
      </c>
      <c r="C16">
        <v>-901.14339063176203</v>
      </c>
      <c r="D16">
        <v>0</v>
      </c>
      <c r="E16">
        <v>0</v>
      </c>
      <c r="F16">
        <v>77.38676550442824</v>
      </c>
      <c r="G16">
        <v>445.98537204145396</v>
      </c>
      <c r="H16">
        <v>-1207.0528578113385</v>
      </c>
      <c r="I16">
        <v>-2.3579339707288796</v>
      </c>
    </row>
    <row r="17" spans="1:9" x14ac:dyDescent="0.35">
      <c r="A17" s="190">
        <v>45473</v>
      </c>
      <c r="B17">
        <v>-6.4353386433018898</v>
      </c>
      <c r="C17">
        <v>-908.43977011609832</v>
      </c>
      <c r="D17">
        <v>0</v>
      </c>
      <c r="E17">
        <v>0</v>
      </c>
      <c r="F17">
        <v>77.967240238497425</v>
      </c>
      <c r="G17">
        <v>449.5862519498246</v>
      </c>
      <c r="H17">
        <v>-1212.595571072779</v>
      </c>
      <c r="I17">
        <v>-2.3744244847413825</v>
      </c>
    </row>
    <row r="18" spans="1:9" x14ac:dyDescent="0.35">
      <c r="A18" s="190">
        <v>45565</v>
      </c>
      <c r="B18">
        <v>-6.5054839213148625</v>
      </c>
      <c r="C18">
        <v>-916.67349581405847</v>
      </c>
      <c r="D18">
        <v>0</v>
      </c>
      <c r="E18">
        <v>0</v>
      </c>
      <c r="F18">
        <v>78.547714972566155</v>
      </c>
      <c r="G18">
        <v>452.60728317672692</v>
      </c>
      <c r="H18">
        <v>-1218.1678297140711</v>
      </c>
      <c r="I18">
        <v>-2.3913872340075955</v>
      </c>
    </row>
    <row r="19" spans="1:9" x14ac:dyDescent="0.35">
      <c r="A19" s="190">
        <v>45657</v>
      </c>
      <c r="B19">
        <v>-6.5943417353831819</v>
      </c>
      <c r="C19">
        <v>-923.29423127952521</v>
      </c>
      <c r="D19">
        <v>0</v>
      </c>
      <c r="E19">
        <v>0</v>
      </c>
      <c r="F19">
        <v>80.423633804208066</v>
      </c>
      <c r="G19">
        <v>462.56563031939572</v>
      </c>
      <c r="H19">
        <v>-1223.7696337352338</v>
      </c>
      <c r="I19">
        <v>-2.3960404726840352</v>
      </c>
    </row>
    <row r="20" spans="1:9" x14ac:dyDescent="0.35">
      <c r="A20" s="190">
        <v>45747</v>
      </c>
      <c r="B20">
        <v>-6.6831995494514445</v>
      </c>
      <c r="C20">
        <v>-929.79779846828899</v>
      </c>
      <c r="D20">
        <v>0</v>
      </c>
      <c r="E20">
        <v>0</v>
      </c>
      <c r="F20">
        <v>82.299552635849295</v>
      </c>
      <c r="G20">
        <v>470.61534899915637</v>
      </c>
      <c r="H20">
        <v>-1229.3832559083221</v>
      </c>
      <c r="I20">
        <v>-2.4067509018543092</v>
      </c>
    </row>
    <row r="21" spans="1:9" x14ac:dyDescent="0.35">
      <c r="A21" s="190">
        <v>45838</v>
      </c>
      <c r="B21">
        <v>-6.7720573635197354</v>
      </c>
      <c r="C21">
        <v>-936.77003876385663</v>
      </c>
      <c r="D21">
        <v>0</v>
      </c>
      <c r="E21">
        <v>0</v>
      </c>
      <c r="F21">
        <v>84.175471467490752</v>
      </c>
      <c r="G21">
        <v>476.97428029840171</v>
      </c>
      <c r="H21">
        <v>-1234.967332701568</v>
      </c>
      <c r="I21">
        <v>-2.4119507298030953</v>
      </c>
    </row>
    <row r="22" spans="1:9" x14ac:dyDescent="0.35">
      <c r="A22" s="190">
        <v>45930</v>
      </c>
      <c r="B22">
        <v>-6.8609151775880264</v>
      </c>
      <c r="C22">
        <v>-944.26953630459184</v>
      </c>
      <c r="D22">
        <v>0</v>
      </c>
      <c r="E22">
        <v>0</v>
      </c>
      <c r="F22">
        <v>86.051390299132663</v>
      </c>
      <c r="G22">
        <v>481.46047104096147</v>
      </c>
      <c r="H22">
        <v>-1240.5573185707767</v>
      </c>
      <c r="I22">
        <v>-2.4174937807250103</v>
      </c>
    </row>
    <row r="23" spans="1:9" x14ac:dyDescent="0.35">
      <c r="A23" s="190">
        <v>46022</v>
      </c>
      <c r="B23">
        <v>-6.9533802654135286</v>
      </c>
      <c r="C23">
        <v>-951.89288547033902</v>
      </c>
      <c r="D23">
        <v>0</v>
      </c>
      <c r="E23">
        <v>0</v>
      </c>
      <c r="F23">
        <v>87.452518457739188</v>
      </c>
      <c r="G23">
        <v>483.56737242211511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89" t="s">
        <v>21</v>
      </c>
      <c r="E1" s="289"/>
      <c r="F1" s="289"/>
      <c r="G1" s="289"/>
      <c r="H1" s="289" t="s">
        <v>9</v>
      </c>
      <c r="I1" s="289"/>
      <c r="J1" s="289"/>
      <c r="K1" s="289"/>
      <c r="L1" s="289" t="s">
        <v>10</v>
      </c>
      <c r="M1" s="289"/>
      <c r="N1" s="289"/>
      <c r="O1" s="289"/>
      <c r="P1" s="289" t="s">
        <v>11</v>
      </c>
      <c r="Q1" s="289"/>
      <c r="R1" s="289"/>
      <c r="S1" s="289"/>
      <c r="T1" s="289" t="s">
        <v>268</v>
      </c>
      <c r="U1" s="289"/>
      <c r="V1" s="289"/>
      <c r="W1" s="289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main!E30</f>
        <v>2220523</v>
      </c>
      <c r="E3" s="199">
        <f>main!F30</f>
        <v>2298792</v>
      </c>
      <c r="F3" s="199">
        <f>main!G30</f>
        <v>2315842</v>
      </c>
      <c r="G3" s="199">
        <f>main!H30</f>
        <v>2331428</v>
      </c>
      <c r="H3" s="199">
        <f>main!I30</f>
        <v>2347737</v>
      </c>
      <c r="I3" s="199">
        <f>main!J30</f>
        <v>2422546</v>
      </c>
      <c r="J3" s="199">
        <f>main!K30</f>
        <v>4815254</v>
      </c>
      <c r="K3" s="199">
        <f>main!L30</f>
        <v>3488125</v>
      </c>
      <c r="L3" s="267">
        <f>main!N30</f>
        <v>2847845.8319988288</v>
      </c>
      <c r="M3" s="267">
        <f>main!O30</f>
        <v>2752064.9561336781</v>
      </c>
      <c r="N3" s="267">
        <f>main!P30</f>
        <v>2658305.2157637766</v>
      </c>
      <c r="O3" s="267">
        <f>main!Q30</f>
        <v>2548767.4784838995</v>
      </c>
      <c r="P3" s="267">
        <f>main!R30</f>
        <v>2601999.1665078122</v>
      </c>
      <c r="Q3" s="267">
        <f>main!S30</f>
        <v>2656541.4105371395</v>
      </c>
      <c r="R3" s="267">
        <f>main!T30</f>
        <v>2712430.6137193376</v>
      </c>
      <c r="S3" s="267">
        <f>main!U30</f>
        <v>2769704.2727967203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35">
      <c r="A4" s="35" t="s">
        <v>215</v>
      </c>
      <c r="D4" s="199">
        <f>main!E31</f>
        <v>753311</v>
      </c>
      <c r="E4" s="199">
        <f>main!F31</f>
        <v>767353</v>
      </c>
      <c r="F4" s="199">
        <f>main!G31</f>
        <v>779707</v>
      </c>
      <c r="G4" s="199">
        <f>main!H31</f>
        <v>789893</v>
      </c>
      <c r="H4" s="199">
        <f>main!I31</f>
        <v>797912</v>
      </c>
      <c r="I4" s="199">
        <f>main!J31</f>
        <v>804655</v>
      </c>
      <c r="J4" s="199">
        <f>main!K31</f>
        <v>824058</v>
      </c>
      <c r="K4" s="199">
        <f>main!L31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main!E71</f>
        <v>728844</v>
      </c>
      <c r="E5" s="199">
        <f>main!F71</f>
        <v>738714</v>
      </c>
      <c r="F5" s="199">
        <f>main!G71</f>
        <v>755204</v>
      </c>
      <c r="G5" s="199">
        <f>main!H71</f>
        <v>763370</v>
      </c>
      <c r="H5" s="199">
        <f>main!I71</f>
        <v>760967</v>
      </c>
      <c r="I5" s="199">
        <f>main!J71</f>
        <v>767087</v>
      </c>
      <c r="J5" s="199">
        <f>main!K71</f>
        <v>812158</v>
      </c>
      <c r="K5" s="199">
        <f>main!L71</f>
        <v>835999</v>
      </c>
      <c r="L5" s="274">
        <f>main!N71</f>
        <v>846655.9390002318</v>
      </c>
      <c r="M5" s="274">
        <f>main!O71</f>
        <v>859704.14460568153</v>
      </c>
      <c r="N5" s="274">
        <f>main!P71</f>
        <v>867211.47334407107</v>
      </c>
      <c r="O5" s="274">
        <f>main!Q71</f>
        <v>867929.66513166018</v>
      </c>
      <c r="P5" s="274">
        <f>main!R71</f>
        <v>869012.33925145073</v>
      </c>
      <c r="Q5" s="274">
        <f>main!S71</f>
        <v>870466.73148570256</v>
      </c>
      <c r="R5" s="274">
        <f>main!T71</f>
        <v>872014.07451017783</v>
      </c>
      <c r="S5" s="274">
        <f>main!U71</f>
        <v>873408.51802630571</v>
      </c>
      <c r="T5" s="274">
        <f>main!V71</f>
        <v>874637.8300734181</v>
      </c>
      <c r="U5" s="274"/>
      <c r="V5" s="274"/>
      <c r="W5" s="274"/>
      <c r="AJ5" s="270"/>
    </row>
    <row r="6" spans="1:36" s="35" customFormat="1" x14ac:dyDescent="0.35">
      <c r="A6" s="35" t="s">
        <v>214</v>
      </c>
      <c r="D6" s="199">
        <f>main!E74</f>
        <v>589819</v>
      </c>
      <c r="E6" s="199">
        <f>main!F74</f>
        <v>599372</v>
      </c>
      <c r="F6" s="199">
        <f>main!G74</f>
        <v>614976</v>
      </c>
      <c r="G6" s="199">
        <f>main!H74</f>
        <v>622265</v>
      </c>
      <c r="H6" s="199">
        <f>main!I74</f>
        <v>619632</v>
      </c>
      <c r="I6" s="199">
        <f>main!J74</f>
        <v>624096</v>
      </c>
      <c r="J6" s="199">
        <f>main!K74</f>
        <v>668823</v>
      </c>
      <c r="K6" s="199">
        <f>main!L74</f>
        <v>691267</v>
      </c>
      <c r="L6" s="35">
        <f>main!N74</f>
        <v>703733.08900023182</v>
      </c>
      <c r="M6" s="35">
        <f>main!O74</f>
        <v>716423.98748068151</v>
      </c>
      <c r="N6" s="35">
        <f>main!P74</f>
        <v>723573.11582625867</v>
      </c>
      <c r="O6" s="35">
        <f>main!Q74</f>
        <v>723573.11582625867</v>
      </c>
      <c r="P6" s="35">
        <f>main!R74</f>
        <v>723573.11582625867</v>
      </c>
      <c r="Q6" s="35">
        <f>main!S74</f>
        <v>723573.11582625867</v>
      </c>
      <c r="R6" s="35">
        <f>main!T74</f>
        <v>723573.11582625867</v>
      </c>
      <c r="S6" s="35">
        <f>main!U74</f>
        <v>723573.11582625867</v>
      </c>
      <c r="T6" s="35">
        <f>main!V74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294" t="s">
        <v>208</v>
      </c>
      <c r="B1" s="295"/>
      <c r="C1" s="35"/>
      <c r="I1" s="250"/>
      <c r="J1" s="302" t="s">
        <v>283</v>
      </c>
      <c r="V1" s="289"/>
      <c r="W1" s="289"/>
      <c r="X1" s="289"/>
      <c r="Y1" s="289"/>
    </row>
    <row r="2" spans="1:27" x14ac:dyDescent="0.35">
      <c r="A2" s="296" t="s">
        <v>192</v>
      </c>
      <c r="B2" s="126"/>
      <c r="C2" t="s">
        <v>193</v>
      </c>
      <c r="H2" s="95"/>
      <c r="I2" s="251"/>
      <c r="J2" s="302"/>
    </row>
    <row r="3" spans="1:27" x14ac:dyDescent="0.35">
      <c r="A3" s="297"/>
      <c r="B3" s="127"/>
      <c r="C3" t="s">
        <v>194</v>
      </c>
      <c r="H3" s="95"/>
      <c r="I3" s="251"/>
      <c r="J3" s="302"/>
    </row>
    <row r="4" spans="1:27" x14ac:dyDescent="0.35">
      <c r="A4" s="297"/>
      <c r="B4" s="128"/>
      <c r="C4" t="s">
        <v>195</v>
      </c>
      <c r="H4" s="95"/>
      <c r="I4" s="95"/>
      <c r="J4" s="95"/>
    </row>
    <row r="5" spans="1:27" x14ac:dyDescent="0.35">
      <c r="A5" s="298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0"/>
      <c r="O7" s="299" t="s">
        <v>272</v>
      </c>
      <c r="P7" s="300"/>
      <c r="Q7" s="300"/>
      <c r="R7" s="300"/>
      <c r="S7" s="299" t="s">
        <v>277</v>
      </c>
      <c r="T7" s="300"/>
      <c r="U7" s="300"/>
      <c r="V7" s="300"/>
      <c r="W7" s="299" t="s">
        <v>278</v>
      </c>
      <c r="X7" s="300"/>
      <c r="Y7" s="300"/>
      <c r="Z7" s="300"/>
      <c r="AA7" s="231" t="s">
        <v>279</v>
      </c>
    </row>
    <row r="8" spans="1:27" s="269" customFormat="1" x14ac:dyDescent="0.35">
      <c r="B8" s="269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x14ac:dyDescent="0.35">
      <c r="B11" s="86" t="s">
        <v>172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x14ac:dyDescent="0.35">
      <c r="B12" s="86" t="s">
        <v>173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x14ac:dyDescent="0.35">
      <c r="B13" s="86" t="s">
        <v>174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x14ac:dyDescent="0.35">
      <c r="B14" s="86" t="s">
        <v>175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x14ac:dyDescent="0.35">
      <c r="B15" s="86" t="s">
        <v>176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x14ac:dyDescent="0.35">
      <c r="B16" s="86" t="s">
        <v>167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x14ac:dyDescent="0.35">
      <c r="B17" s="86" t="s">
        <v>168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x14ac:dyDescent="0.35">
      <c r="B18" s="86" t="s">
        <v>169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x14ac:dyDescent="0.35">
      <c r="B19" s="86" t="s">
        <v>170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35">
      <c r="B20" t="s">
        <v>196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281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2752.0649561336782</v>
      </c>
      <c r="I45" s="102">
        <f>main_nipas!N3/1000</f>
        <v>2658.3052157637767</v>
      </c>
      <c r="J45" s="102">
        <f>main_nipas!O3/1000</f>
        <v>2548.7674784838996</v>
      </c>
      <c r="K45" s="275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281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683.50185830197597</v>
      </c>
      <c r="I48" s="225">
        <f t="shared" si="30"/>
        <v>803.5651155471096</v>
      </c>
      <c r="J48" s="225">
        <f t="shared" si="30"/>
        <v>843.28782539808162</v>
      </c>
      <c r="K48" s="276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1" t="s">
        <v>257</v>
      </c>
      <c r="B1" s="271" t="s">
        <v>250</v>
      </c>
      <c r="C1" s="271" t="s">
        <v>251</v>
      </c>
      <c r="D1" s="271" t="s">
        <v>252</v>
      </c>
      <c r="E1" s="271" t="s">
        <v>253</v>
      </c>
      <c r="F1" s="271" t="s">
        <v>254</v>
      </c>
      <c r="G1" s="271" t="s">
        <v>255</v>
      </c>
      <c r="H1" s="271" t="s">
        <v>256</v>
      </c>
      <c r="I1" s="271" t="s">
        <v>290</v>
      </c>
    </row>
    <row r="2" spans="1:9" x14ac:dyDescent="0.35">
      <c r="A2" s="272">
        <v>44104</v>
      </c>
      <c r="B2" s="273">
        <f t="array" ref="B2:B23">TRANSPOSE('add-ons calculations nipas'!F27:AA27)</f>
        <v>-7.7329999999999472</v>
      </c>
      <c r="C2" s="271">
        <f t="array" ref="C2:C23">TRANSPOSE('add-ons calculations nipas'!F34:AA34)</f>
        <v>691.399</v>
      </c>
      <c r="D2" s="271">
        <f t="array" ref="D2:D23">TRANSPOSE('add-ons calculations'!F40:AA40)</f>
        <v>-3.7540000000001328</v>
      </c>
      <c r="E2" s="271">
        <f t="array" ref="E2:E23">TRANSPOSE('add-ons calculations'!F46:AA46)</f>
        <v>16.466666666666697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817.02500000000009</v>
      </c>
      <c r="H2" s="271">
        <f t="array" ref="H2:H23">TRANSPOSE('add-ons calculations'!F67:AA67)</f>
        <v>1.6079999999999472</v>
      </c>
      <c r="I2" s="271">
        <f t="array" ref="I2:I23">TRANSPOSE('add-ons calculations'!F74:AA74)</f>
        <v>45.522614367357789</v>
      </c>
    </row>
    <row r="3" spans="1:9" x14ac:dyDescent="0.35">
      <c r="A3" s="272">
        <v>44196</v>
      </c>
      <c r="B3" s="271">
        <v>-21.942068749787381</v>
      </c>
      <c r="C3" s="271">
        <v>726.6220967502511</v>
      </c>
      <c r="D3" s="271">
        <v>-3.7856223008150209</v>
      </c>
      <c r="E3" s="271">
        <v>16.801557590396577</v>
      </c>
      <c r="F3" s="271">
        <v>23.142985628403267</v>
      </c>
      <c r="G3" s="271">
        <v>513.85424509879022</v>
      </c>
      <c r="H3" s="271">
        <v>-832.73620114390815</v>
      </c>
      <c r="I3" s="271">
        <v>69.947500972419334</v>
      </c>
    </row>
    <row r="4" spans="1:9" x14ac:dyDescent="0.35">
      <c r="A4" s="272">
        <v>44286</v>
      </c>
      <c r="B4" s="271">
        <v>-35.926328019357129</v>
      </c>
      <c r="C4" s="271">
        <v>764.23118760572027</v>
      </c>
      <c r="D4" s="271">
        <v>-3.8484065191764785</v>
      </c>
      <c r="E4" s="271">
        <v>17.080209969497801</v>
      </c>
      <c r="F4" s="271">
        <v>46.379353230327069</v>
      </c>
      <c r="G4" s="271">
        <v>683.50185830197597</v>
      </c>
      <c r="H4" s="271">
        <v>-1119.5370992944099</v>
      </c>
      <c r="I4" s="271">
        <v>69.322815785041854</v>
      </c>
    </row>
    <row r="5" spans="1:9" x14ac:dyDescent="0.35">
      <c r="A5" s="272">
        <v>44377</v>
      </c>
      <c r="B5" s="271">
        <v>-55.452357423799299</v>
      </c>
      <c r="C5" s="271">
        <v>796.29411591287919</v>
      </c>
      <c r="D5" s="271">
        <v>-3.909601731425937</v>
      </c>
      <c r="E5" s="271">
        <v>17.351809934060185</v>
      </c>
      <c r="F5" s="271">
        <v>69.743650491218432</v>
      </c>
      <c r="G5" s="271">
        <v>803.5651155471096</v>
      </c>
      <c r="H5" s="271">
        <v>-1123.94552219907</v>
      </c>
      <c r="I5" s="271">
        <v>57.377360410402446</v>
      </c>
    </row>
    <row r="6" spans="1:9" x14ac:dyDescent="0.35">
      <c r="A6" s="272">
        <v>44469</v>
      </c>
      <c r="B6" s="271">
        <v>-82.127515173818438</v>
      </c>
      <c r="C6" s="271">
        <v>819.43775129708126</v>
      </c>
      <c r="D6" s="271">
        <v>-3.9750096575496627</v>
      </c>
      <c r="E6" s="271">
        <v>17.642106997632354</v>
      </c>
      <c r="F6" s="271">
        <v>93.23744404962531</v>
      </c>
      <c r="G6" s="271">
        <v>843.28782539808162</v>
      </c>
      <c r="H6" s="271">
        <v>-1128.70611583505</v>
      </c>
      <c r="I6" s="271">
        <v>73.004211452751491</v>
      </c>
    </row>
    <row r="7" spans="1:9" x14ac:dyDescent="0.35">
      <c r="A7" s="272">
        <v>44561</v>
      </c>
      <c r="B7" s="271">
        <v>-74.107839317399907</v>
      </c>
      <c r="C7" s="271">
        <v>806.09430547419333</v>
      </c>
      <c r="D7" s="271">
        <v>-4.0188181865989918</v>
      </c>
      <c r="E7" s="271">
        <v>17.836540426369808</v>
      </c>
      <c r="F7" s="271">
        <v>97.945155839323775</v>
      </c>
      <c r="G7" s="271">
        <v>850.04005809445835</v>
      </c>
      <c r="H7" s="271">
        <v>-1133.83774649154</v>
      </c>
      <c r="I7" s="271">
        <v>57.211771344119029</v>
      </c>
    </row>
    <row r="8" spans="1:9" x14ac:dyDescent="0.35">
      <c r="A8" s="272">
        <v>44651</v>
      </c>
      <c r="B8" s="271">
        <v>-66.088163460981491</v>
      </c>
      <c r="C8" s="271">
        <v>790.92303196281762</v>
      </c>
      <c r="D8" s="271">
        <v>0</v>
      </c>
      <c r="E8" s="271">
        <v>0</v>
      </c>
      <c r="F8" s="271">
        <v>102.65286762902224</v>
      </c>
      <c r="G8" s="271">
        <v>858.64698733295586</v>
      </c>
      <c r="H8" s="271">
        <v>-1164.58432880287</v>
      </c>
      <c r="I8" s="271">
        <v>40.833358543003186</v>
      </c>
    </row>
    <row r="9" spans="1:9" x14ac:dyDescent="0.35">
      <c r="A9" s="272">
        <v>44742</v>
      </c>
      <c r="B9" s="271">
        <v>-58.068487604563074</v>
      </c>
      <c r="C9" s="271">
        <v>961.70512289327155</v>
      </c>
      <c r="D9" s="271">
        <v>0</v>
      </c>
      <c r="E9" s="271">
        <v>0</v>
      </c>
      <c r="F9" s="271">
        <v>107.3605794187207</v>
      </c>
      <c r="G9" s="271">
        <v>858.38505548999569</v>
      </c>
      <c r="H9" s="271">
        <v>-1169.6720432144866</v>
      </c>
      <c r="I9" s="271">
        <v>30.394549951126692</v>
      </c>
    </row>
    <row r="10" spans="1:9" x14ac:dyDescent="0.35">
      <c r="A10" s="272">
        <v>44834</v>
      </c>
      <c r="B10" s="271">
        <v>-57.472702469768592</v>
      </c>
      <c r="C10" s="271">
        <v>1123.4911234396754</v>
      </c>
      <c r="D10" s="271">
        <v>0</v>
      </c>
      <c r="E10" s="271">
        <v>0</v>
      </c>
      <c r="F10" s="271">
        <v>112.06829120841905</v>
      </c>
      <c r="G10" s="271">
        <v>845.84259591544492</v>
      </c>
      <c r="H10" s="271">
        <v>-1174.8247574617883</v>
      </c>
      <c r="I10" s="271">
        <v>19.416638483280934</v>
      </c>
    </row>
    <row r="11" spans="1:9" x14ac:dyDescent="0.35">
      <c r="A11" s="272">
        <v>44926</v>
      </c>
      <c r="B11" s="271">
        <v>-56.882764644330791</v>
      </c>
      <c r="C11" s="271">
        <v>1274.778725078075</v>
      </c>
      <c r="D11" s="271">
        <v>0</v>
      </c>
      <c r="E11" s="271">
        <v>0</v>
      </c>
      <c r="F11" s="271">
        <v>113.21479904544935</v>
      </c>
      <c r="G11" s="271">
        <v>846.79218391518066</v>
      </c>
      <c r="H11" s="271">
        <v>-1180.0424715447843</v>
      </c>
      <c r="I11" s="271">
        <v>8.9252580271594582</v>
      </c>
    </row>
    <row r="12" spans="1:9" x14ac:dyDescent="0.35">
      <c r="A12" s="272">
        <v>45016</v>
      </c>
      <c r="B12" s="271">
        <v>-56.292826818892991</v>
      </c>
      <c r="C12" s="271">
        <v>1423.5474214089395</v>
      </c>
      <c r="D12" s="271">
        <v>0</v>
      </c>
      <c r="E12" s="271">
        <v>0</v>
      </c>
      <c r="F12" s="271">
        <v>114.36130688247965</v>
      </c>
      <c r="G12" s="271">
        <v>848.25444289166103</v>
      </c>
      <c r="H12" s="271">
        <v>-1185.3370036154101</v>
      </c>
      <c r="I12" s="271">
        <v>-2.1160976584467051</v>
      </c>
    </row>
    <row r="13" spans="1:9" x14ac:dyDescent="0.35">
      <c r="A13" s="272">
        <v>45107</v>
      </c>
      <c r="B13" s="271">
        <v>-55.70288899345519</v>
      </c>
      <c r="C13" s="271">
        <v>1580.2326772777706</v>
      </c>
      <c r="D13" s="271">
        <v>0</v>
      </c>
      <c r="E13" s="271">
        <v>0</v>
      </c>
      <c r="F13" s="271">
        <v>115.50781471950995</v>
      </c>
      <c r="G13" s="271">
        <v>850.06731710176859</v>
      </c>
      <c r="H13" s="271">
        <v>-1190.6551719899246</v>
      </c>
      <c r="I13" s="271">
        <v>-2.2181159245623121</v>
      </c>
    </row>
    <row r="14" spans="1:9" x14ac:dyDescent="0.35">
      <c r="A14" s="272">
        <v>45199</v>
      </c>
      <c r="B14" s="271">
        <v>-55.112951168017389</v>
      </c>
      <c r="C14" s="271">
        <v>1736.1982459158774</v>
      </c>
      <c r="D14" s="271">
        <v>0</v>
      </c>
      <c r="E14" s="271">
        <v>0</v>
      </c>
      <c r="F14" s="271">
        <v>116.65432255654025</v>
      </c>
      <c r="G14" s="271">
        <v>852.88477510766552</v>
      </c>
      <c r="H14" s="271">
        <v>-1196.0501583520688</v>
      </c>
      <c r="I14" s="271">
        <v>-2.326327492008943</v>
      </c>
    </row>
    <row r="15" spans="1:9" x14ac:dyDescent="0.35">
      <c r="A15" s="272">
        <v>45291</v>
      </c>
      <c r="B15" s="271">
        <v>-55.733991110367128</v>
      </c>
      <c r="C15" s="271">
        <v>1730.8026319571122</v>
      </c>
      <c r="D15" s="271">
        <v>0</v>
      </c>
      <c r="E15" s="271">
        <v>0</v>
      </c>
      <c r="F15" s="271">
        <v>117.32067194419665</v>
      </c>
      <c r="G15" s="271">
        <v>861.50572629627095</v>
      </c>
      <c r="H15" s="271">
        <v>-1201.5219627018521</v>
      </c>
      <c r="I15" s="271">
        <v>-2.3418157241148947</v>
      </c>
    </row>
    <row r="16" spans="1:9" x14ac:dyDescent="0.35">
      <c r="A16" s="272">
        <v>45382</v>
      </c>
      <c r="B16" s="271">
        <v>-56.355031052716868</v>
      </c>
      <c r="C16" s="271">
        <v>1729.7251413826953</v>
      </c>
      <c r="D16" s="271">
        <v>0</v>
      </c>
      <c r="E16" s="271">
        <v>0</v>
      </c>
      <c r="F16" s="271">
        <v>117.98702133185293</v>
      </c>
      <c r="G16" s="271">
        <v>869.78940994020809</v>
      </c>
      <c r="H16" s="271">
        <v>-1207.0528578113385</v>
      </c>
      <c r="I16" s="271">
        <v>-2.3579339707288796</v>
      </c>
    </row>
    <row r="17" spans="1:9" x14ac:dyDescent="0.35">
      <c r="A17" s="272">
        <v>45473</v>
      </c>
      <c r="B17" s="271">
        <v>-56.976070995066607</v>
      </c>
      <c r="C17" s="271">
        <v>1732.6059305772574</v>
      </c>
      <c r="D17" s="271">
        <v>0</v>
      </c>
      <c r="E17" s="271">
        <v>0</v>
      </c>
      <c r="F17" s="271">
        <v>118.65337071950921</v>
      </c>
      <c r="G17" s="271">
        <v>876.50054554939038</v>
      </c>
      <c r="H17" s="271">
        <v>-1212.595571072779</v>
      </c>
      <c r="I17" s="271">
        <v>-2.3744244847413825</v>
      </c>
    </row>
    <row r="18" spans="1:9" x14ac:dyDescent="0.35">
      <c r="A18" s="272">
        <v>45565</v>
      </c>
      <c r="B18" s="271">
        <v>-57.597110937416346</v>
      </c>
      <c r="C18" s="271">
        <v>1741.244217617616</v>
      </c>
      <c r="D18" s="271">
        <v>0</v>
      </c>
      <c r="E18" s="271">
        <v>0</v>
      </c>
      <c r="F18" s="271">
        <v>119.31972010716561</v>
      </c>
      <c r="G18" s="271">
        <v>882.24775744790236</v>
      </c>
      <c r="H18" s="271">
        <v>-1218.1678297140711</v>
      </c>
      <c r="I18" s="271">
        <v>-2.3913872340075955</v>
      </c>
    </row>
    <row r="19" spans="1:9" x14ac:dyDescent="0.35">
      <c r="A19" s="272">
        <v>45657</v>
      </c>
      <c r="B19" s="271">
        <v>-58.383824644874608</v>
      </c>
      <c r="C19" s="271">
        <v>1728.7877655292568</v>
      </c>
      <c r="D19" s="271">
        <v>0</v>
      </c>
      <c r="E19" s="271">
        <v>0</v>
      </c>
      <c r="F19" s="271">
        <v>122.81863012191729</v>
      </c>
      <c r="G19" s="271">
        <v>902.60982095533109</v>
      </c>
      <c r="H19" s="271">
        <v>-1223.7696337352338</v>
      </c>
      <c r="I19" s="271">
        <v>-2.3960404726840352</v>
      </c>
    </row>
    <row r="20" spans="1:9" x14ac:dyDescent="0.35">
      <c r="A20" s="272">
        <v>45747</v>
      </c>
      <c r="B20" s="271">
        <v>-59.170538352332983</v>
      </c>
      <c r="C20" s="271">
        <v>1715.6116262101732</v>
      </c>
      <c r="D20" s="271">
        <v>0</v>
      </c>
      <c r="E20" s="271">
        <v>0</v>
      </c>
      <c r="F20" s="271">
        <v>126.31754013666887</v>
      </c>
      <c r="G20" s="271">
        <v>919.79903559883928</v>
      </c>
      <c r="H20" s="271">
        <v>-1229.3832559083221</v>
      </c>
      <c r="I20" s="271">
        <v>-2.4067509018543092</v>
      </c>
    </row>
    <row r="21" spans="1:9" x14ac:dyDescent="0.35">
      <c r="A21" s="272">
        <v>45838</v>
      </c>
      <c r="B21" s="271">
        <v>-59.957252059791244</v>
      </c>
      <c r="C21" s="271">
        <v>1705.3142358139858</v>
      </c>
      <c r="D21" s="271">
        <v>0</v>
      </c>
      <c r="E21" s="271">
        <v>0</v>
      </c>
      <c r="F21" s="271">
        <v>129.81645015142067</v>
      </c>
      <c r="G21" s="271">
        <v>934.17753410578689</v>
      </c>
      <c r="H21" s="271">
        <v>-1234.967332701568</v>
      </c>
      <c r="I21" s="271">
        <v>-2.4119507298030953</v>
      </c>
    </row>
    <row r="22" spans="1:9" x14ac:dyDescent="0.35">
      <c r="A22" s="272">
        <v>45930</v>
      </c>
      <c r="B22" s="271">
        <v>-60.74396576724962</v>
      </c>
      <c r="C22" s="271">
        <v>1698.2554379560565</v>
      </c>
      <c r="D22" s="271">
        <v>0</v>
      </c>
      <c r="E22" s="271">
        <v>0</v>
      </c>
      <c r="F22" s="271">
        <v>133.31536016617247</v>
      </c>
      <c r="G22" s="271">
        <v>945.44284276820849</v>
      </c>
      <c r="H22" s="271">
        <v>-1240.5573185707767</v>
      </c>
      <c r="I22" s="271">
        <v>-2.4174937807250103</v>
      </c>
    </row>
    <row r="23" spans="1:9" x14ac:dyDescent="0.35">
      <c r="A23" s="272">
        <v>46022</v>
      </c>
      <c r="B23" s="271">
        <v>-61.562616921527933</v>
      </c>
      <c r="C23" s="271">
        <v>1689.8007860527734</v>
      </c>
      <c r="D23" s="271">
        <v>0</v>
      </c>
      <c r="E23" s="271">
        <v>0</v>
      </c>
      <c r="F23" s="271">
        <v>135.67395143661656</v>
      </c>
      <c r="G23" s="271">
        <v>951.51196828767593</v>
      </c>
      <c r="H23" s="271">
        <v>-1246.1473044399856</v>
      </c>
      <c r="I23" s="271">
        <v>-2.4208822536091361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defaultColWidth="10.90625" defaultRowHeight="14.5" x14ac:dyDescent="0.35"/>
  <sheetData>
    <row r="1" spans="1:2" x14ac:dyDescent="0.35">
      <c r="A1" t="s">
        <v>257</v>
      </c>
      <c r="B1" t="s">
        <v>291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3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6"/>
      <c r="S8" s="307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main!J76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90" t="s">
        <v>208</v>
      </c>
      <c r="B1" s="290"/>
      <c r="C1" s="35"/>
      <c r="H1"/>
      <c r="I1"/>
      <c r="J1"/>
      <c r="X1" t="s">
        <v>28</v>
      </c>
      <c r="Z1" s="308" t="s">
        <v>84</v>
      </c>
      <c r="AA1" s="308"/>
      <c r="AB1" s="308"/>
      <c r="AC1" s="289"/>
      <c r="AD1" s="289"/>
      <c r="AE1" s="289"/>
      <c r="AF1" s="289"/>
    </row>
    <row r="2" spans="1:32" x14ac:dyDescent="0.35">
      <c r="A2" s="309" t="s">
        <v>192</v>
      </c>
      <c r="B2" s="107"/>
      <c r="C2" t="s">
        <v>193</v>
      </c>
    </row>
    <row r="3" spans="1:32" x14ac:dyDescent="0.35">
      <c r="A3" s="309"/>
      <c r="B3" s="108"/>
      <c r="C3" t="s">
        <v>194</v>
      </c>
    </row>
    <row r="4" spans="1:32" x14ac:dyDescent="0.35">
      <c r="A4" s="309"/>
      <c r="B4" s="109"/>
      <c r="C4" t="s">
        <v>195</v>
      </c>
    </row>
    <row r="5" spans="1:32" x14ac:dyDescent="0.35">
      <c r="A5" s="309"/>
      <c r="B5" s="98"/>
      <c r="C5" t="s">
        <v>182</v>
      </c>
    </row>
    <row r="7" spans="1:32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1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main!K46/1000</f>
        <v>1086.548</v>
      </c>
      <c r="F70" s="102">
        <f>main!L46/1000</f>
        <v>1213.308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10" t="s">
        <v>104</v>
      </c>
      <c r="B2" s="310"/>
      <c r="C2" s="310"/>
      <c r="D2" s="310"/>
      <c r="E2" s="310"/>
      <c r="F2" s="310"/>
      <c r="G2" s="310"/>
      <c r="H2" s="310"/>
      <c r="I2" s="310"/>
      <c r="J2" s="310"/>
      <c r="K2" s="77"/>
    </row>
    <row r="3" spans="1:24" x14ac:dyDescent="0.35">
      <c r="A3" s="310" t="s">
        <v>105</v>
      </c>
      <c r="B3" s="310"/>
      <c r="C3" s="310"/>
      <c r="D3" s="310"/>
      <c r="E3" s="310"/>
      <c r="F3" s="310"/>
      <c r="G3" s="310"/>
      <c r="H3" s="310"/>
      <c r="I3" s="310"/>
      <c r="J3" s="310"/>
      <c r="K3" s="77"/>
    </row>
    <row r="4" spans="1:24" ht="15" thickBot="1" x14ac:dyDescent="0.4">
      <c r="A4" s="311"/>
      <c r="B4" s="311"/>
      <c r="C4" s="311"/>
      <c r="D4" s="311"/>
      <c r="E4" s="311"/>
      <c r="F4" s="311"/>
      <c r="G4" s="311"/>
      <c r="H4" s="311"/>
      <c r="I4" s="311"/>
      <c r="J4" s="311"/>
      <c r="K4" s="316" t="s">
        <v>160</v>
      </c>
      <c r="L4" s="316"/>
      <c r="M4" s="316"/>
      <c r="N4" s="316"/>
    </row>
    <row r="5" spans="1:24" x14ac:dyDescent="0.35">
      <c r="A5" s="47"/>
      <c r="B5" s="48"/>
      <c r="C5" s="312" t="s">
        <v>106</v>
      </c>
      <c r="D5" s="313"/>
      <c r="E5" s="313"/>
      <c r="F5" s="313"/>
      <c r="G5" s="313"/>
      <c r="H5" s="313"/>
      <c r="I5" s="313"/>
      <c r="J5" s="314"/>
      <c r="K5" s="78"/>
      <c r="L5" s="315" t="s">
        <v>107</v>
      </c>
      <c r="M5" s="289"/>
      <c r="N5" s="289"/>
    </row>
    <row r="6" spans="1:24" x14ac:dyDescent="0.35">
      <c r="A6" s="1" t="s">
        <v>109</v>
      </c>
      <c r="B6" s="49"/>
      <c r="C6" s="318">
        <v>2020</v>
      </c>
      <c r="D6" s="319"/>
      <c r="E6" s="319"/>
      <c r="F6" s="319"/>
      <c r="G6" s="319"/>
      <c r="H6" s="319"/>
      <c r="I6" s="319"/>
      <c r="J6" s="32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9" t="s">
        <v>9</v>
      </c>
      <c r="L22" s="289"/>
      <c r="M22" s="289"/>
      <c r="N22" s="289"/>
      <c r="O22" s="289" t="s">
        <v>10</v>
      </c>
      <c r="P22" s="289"/>
      <c r="Q22" s="289"/>
      <c r="R22" s="289"/>
      <c r="S22" s="289" t="s">
        <v>11</v>
      </c>
      <c r="T22" s="289"/>
      <c r="U22" s="289"/>
      <c r="V22" s="289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21" t="s">
        <v>108</v>
      </c>
      <c r="L23" s="321"/>
      <c r="M23" s="321"/>
      <c r="N23" s="321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17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1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1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17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17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17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25" t="s">
        <v>87</v>
      </c>
      <c r="F6" s="325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325"/>
    </row>
    <row r="7" spans="1:18" x14ac:dyDescent="0.35">
      <c r="A7" s="322" t="s">
        <v>88</v>
      </c>
      <c r="B7" s="322"/>
      <c r="C7" s="322"/>
      <c r="D7" s="32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22" t="s">
        <v>89</v>
      </c>
      <c r="C8" s="322"/>
      <c r="D8" s="322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22" t="s">
        <v>90</v>
      </c>
      <c r="C9" s="322"/>
      <c r="D9" s="322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22" t="s">
        <v>91</v>
      </c>
      <c r="C10" s="322"/>
      <c r="D10" s="322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22" t="s">
        <v>58</v>
      </c>
      <c r="C11" s="322"/>
      <c r="D11" s="322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22" t="s">
        <v>34</v>
      </c>
      <c r="D13" s="322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22" t="s">
        <v>89</v>
      </c>
      <c r="C19" s="322"/>
      <c r="D19" s="322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22" t="s">
        <v>90</v>
      </c>
      <c r="C20" s="322"/>
      <c r="D20" s="322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22" t="s">
        <v>91</v>
      </c>
      <c r="C21" s="322"/>
      <c r="D21" s="322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22" t="s">
        <v>58</v>
      </c>
      <c r="C22" s="322"/>
      <c r="D22" s="322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23" t="s">
        <v>95</v>
      </c>
      <c r="I27" s="323"/>
      <c r="J27" s="323"/>
      <c r="K27" s="323"/>
      <c r="L27" s="323"/>
      <c r="M27" s="323"/>
      <c r="N27" s="323"/>
      <c r="O27" s="323"/>
      <c r="P27" s="323"/>
      <c r="Q27" s="323"/>
      <c r="R27" s="323"/>
      <c r="S27" s="323"/>
      <c r="T27" s="323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24" t="s">
        <v>99</v>
      </c>
      <c r="G37" s="324"/>
      <c r="H37" s="324"/>
      <c r="I37" s="324"/>
      <c r="J37" s="324"/>
      <c r="K37" s="324"/>
      <c r="L37" s="324"/>
      <c r="M37" s="324"/>
      <c r="N37" s="324"/>
      <c r="O37" s="324"/>
      <c r="P37" s="324"/>
      <c r="Q37" s="324"/>
      <c r="R37" s="324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23" t="s">
        <v>101</v>
      </c>
      <c r="G48" s="323"/>
      <c r="H48" s="323"/>
      <c r="I48" s="323"/>
      <c r="J48" s="323"/>
      <c r="K48" s="323"/>
      <c r="L48" s="323"/>
      <c r="M48" s="323"/>
      <c r="N48" s="323"/>
      <c r="O48" s="323"/>
      <c r="P48" s="323"/>
      <c r="Q48" s="323"/>
      <c r="R48" s="323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3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6" t="s">
        <v>34</v>
      </c>
      <c r="S8" s="307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26" t="s">
        <v>42</v>
      </c>
      <c r="E75" s="327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Haver NA</vt:lpstr>
      <vt:lpstr>add-ons calculations</vt:lpstr>
      <vt:lpstr>FIM Add Factors</vt:lpstr>
      <vt:lpstr>main_nipas</vt:lpstr>
      <vt:lpstr>add-ons calculations nipas</vt:lpstr>
      <vt:lpstr>NIPA Add Factors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2020-11-25T15:36:33Z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