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mpbell\Documents\GitHub\Fiscal-Impact-Measure\data\add-ons\"/>
    </mc:Choice>
  </mc:AlternateContent>
  <xr:revisionPtr revIDLastSave="0" documentId="13_ncr:1_{5B7B7A5D-7AA1-4240-A65A-FEE53BA76D82}" xr6:coauthVersionLast="44" xr6:coauthVersionMax="46" xr10:uidLastSave="{00000000-0000-0000-0000-000000000000}"/>
  <bookViews>
    <workbookView xWindow="-110" yWindow="-110" windowWidth="19420" windowHeight="10420" firstSheet="2" activeTab="2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72" i="1" l="1"/>
  <c r="L69" i="1"/>
  <c r="L72" i="1"/>
  <c r="M3" i="9" l="1"/>
  <c r="M4" i="9"/>
  <c r="M5" i="9"/>
  <c r="M2" i="9"/>
  <c r="K13" i="9"/>
  <c r="K14" i="9"/>
  <c r="K15" i="9"/>
  <c r="K16" i="9"/>
  <c r="K17" i="9"/>
  <c r="K18" i="9"/>
  <c r="K19" i="9"/>
  <c r="K20" i="9"/>
  <c r="K21" i="9"/>
  <c r="K22" i="9"/>
  <c r="K23" i="9"/>
  <c r="K24" i="9"/>
  <c r="M73" i="1" l="1"/>
  <c r="M83" i="1" s="1"/>
  <c r="N73" i="1"/>
  <c r="O90" i="1"/>
  <c r="O91" i="1"/>
  <c r="O92" i="1"/>
  <c r="D22" i="5"/>
  <c r="D29" i="5"/>
  <c r="D36" i="5"/>
  <c r="D42" i="5"/>
  <c r="D48" i="5"/>
  <c r="D55" i="5"/>
  <c r="O74" i="1"/>
  <c r="P74" i="1"/>
  <c r="Q74" i="1"/>
  <c r="R74" i="1"/>
  <c r="S74" i="1"/>
  <c r="O89" i="1" l="1"/>
  <c r="L8" i="1"/>
  <c r="K8" i="1"/>
  <c r="J8" i="1"/>
  <c r="I8" i="1"/>
  <c r="H8" i="1"/>
  <c r="G8" i="1"/>
  <c r="M13" i="4" l="1"/>
  <c r="M12" i="4"/>
  <c r="M11" i="4"/>
  <c r="M10" i="4"/>
  <c r="T74" i="1"/>
  <c r="U74" i="1"/>
  <c r="V74" i="1"/>
  <c r="W74" i="1"/>
  <c r="X74" i="1"/>
  <c r="Y74" i="1"/>
  <c r="Z74" i="1"/>
  <c r="L73" i="1"/>
  <c r="I62" i="5"/>
  <c r="O8" i="9"/>
  <c r="O7" i="9"/>
  <c r="O6" i="9"/>
  <c r="O5" i="9"/>
  <c r="L12" i="9"/>
  <c r="L11" i="9"/>
  <c r="L10" i="9"/>
  <c r="L9" i="9"/>
  <c r="N21" i="1"/>
  <c r="E21" i="5" l="1"/>
  <c r="E22" i="5"/>
  <c r="F22" i="5"/>
  <c r="G22" i="5"/>
  <c r="H22" i="5"/>
  <c r="I22" i="5"/>
  <c r="J22" i="5"/>
  <c r="K22" i="5"/>
  <c r="F28" i="5"/>
  <c r="E29" i="5"/>
  <c r="F29" i="5"/>
  <c r="G29" i="5"/>
  <c r="H29" i="5"/>
  <c r="I29" i="5"/>
  <c r="J29" i="5"/>
  <c r="K29" i="5"/>
  <c r="F35" i="5"/>
  <c r="E36" i="5"/>
  <c r="F36" i="5"/>
  <c r="G36" i="5"/>
  <c r="H36" i="5"/>
  <c r="I36" i="5"/>
  <c r="J36" i="5"/>
  <c r="K36" i="5"/>
  <c r="E41" i="5"/>
  <c r="F41" i="5"/>
  <c r="E42" i="5"/>
  <c r="F42" i="5"/>
  <c r="G42" i="5"/>
  <c r="H42" i="5"/>
  <c r="I42" i="5"/>
  <c r="J42" i="5"/>
  <c r="K42" i="5"/>
  <c r="F47" i="5"/>
  <c r="E48" i="5"/>
  <c r="F48" i="5"/>
  <c r="G48" i="5"/>
  <c r="H48" i="5"/>
  <c r="I48" i="5"/>
  <c r="J48" i="5"/>
  <c r="K48" i="5"/>
  <c r="K49" i="5" l="1"/>
  <c r="F50" i="5"/>
  <c r="F37" i="5"/>
  <c r="F31" i="5"/>
  <c r="F43" i="5"/>
  <c r="N37" i="1"/>
  <c r="N72" i="1"/>
  <c r="N106" i="1"/>
  <c r="N103" i="1"/>
  <c r="N100" i="1"/>
  <c r="N97" i="1"/>
  <c r="N93" i="1"/>
  <c r="N86" i="1"/>
  <c r="N85" i="1"/>
  <c r="N87" i="1" s="1"/>
  <c r="N68" i="1"/>
  <c r="N61" i="1"/>
  <c r="N60" i="1"/>
  <c r="N59" i="1"/>
  <c r="N57" i="1"/>
  <c r="N54" i="1"/>
  <c r="N49" i="1"/>
  <c r="N48" i="1"/>
  <c r="N41" i="1"/>
  <c r="N35" i="1"/>
  <c r="N34" i="1"/>
  <c r="N18" i="1"/>
  <c r="N15" i="1"/>
  <c r="N12" i="1"/>
  <c r="N7" i="1"/>
  <c r="N5" i="1"/>
  <c r="N29" i="1"/>
  <c r="N28" i="1"/>
  <c r="N27" i="1"/>
  <c r="L102" i="1"/>
  <c r="N8" i="1" l="1"/>
  <c r="O7" i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N104" i="1"/>
  <c r="N108" i="1"/>
  <c r="N95" i="1"/>
  <c r="N26" i="1"/>
  <c r="G35" i="5" s="1"/>
  <c r="G37" i="5" s="1"/>
  <c r="N102" i="1"/>
  <c r="N98" i="1"/>
  <c r="O98" i="1" s="1"/>
  <c r="P98" i="1" s="1"/>
  <c r="Q98" i="1" s="1"/>
  <c r="R98" i="1" s="1"/>
  <c r="S98" i="1" s="1"/>
  <c r="N112" i="1"/>
  <c r="N70" i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N58" i="1"/>
  <c r="N47" i="1"/>
  <c r="N40" i="1"/>
  <c r="N11" i="1"/>
  <c r="N6" i="1"/>
  <c r="N30" i="1" s="1"/>
  <c r="G41" i="5" s="1"/>
  <c r="G43" i="5" s="1"/>
  <c r="N88" i="1"/>
  <c r="N83" i="1" l="1"/>
  <c r="F21" i="5"/>
  <c r="F24" i="5" s="1"/>
  <c r="G47" i="5"/>
  <c r="G50" i="5" s="1"/>
  <c r="N55" i="1"/>
  <c r="N50" i="1"/>
  <c r="N31" i="1"/>
  <c r="O26" i="4"/>
  <c r="N26" i="4"/>
  <c r="L112" i="1"/>
  <c r="D21" i="5" s="1"/>
  <c r="K112" i="1"/>
  <c r="J112" i="1"/>
  <c r="I112" i="1"/>
  <c r="H112" i="1"/>
  <c r="G112" i="1"/>
  <c r="F112" i="1"/>
  <c r="N51" i="1" l="1"/>
  <c r="B21" i="16"/>
  <c r="C20" i="16"/>
  <c r="S66" i="1" s="1"/>
  <c r="S55" i="1" s="1"/>
  <c r="C19" i="16"/>
  <c r="R39" i="1" s="1"/>
  <c r="C18" i="16"/>
  <c r="R65" i="1" s="1"/>
  <c r="C17" i="16"/>
  <c r="B16" i="16"/>
  <c r="C16" i="16" s="1"/>
  <c r="C15" i="16"/>
  <c r="P38" i="1" s="1"/>
  <c r="B13" i="16"/>
  <c r="C13" i="16" s="1"/>
  <c r="V79" i="1" s="1"/>
  <c r="B10" i="16"/>
  <c r="C10" i="16" s="1"/>
  <c r="U81" i="1" s="1"/>
  <c r="C9" i="16"/>
  <c r="P92" i="1" s="1"/>
  <c r="C8" i="16"/>
  <c r="Q91" i="1" s="1"/>
  <c r="C7" i="16"/>
  <c r="C14" i="16"/>
  <c r="C12" i="16"/>
  <c r="P64" i="1" s="1"/>
  <c r="C11" i="16"/>
  <c r="C6" i="16"/>
  <c r="C5" i="16"/>
  <c r="T80" i="1" s="1"/>
  <c r="C4" i="16"/>
  <c r="O37" i="1" s="1"/>
  <c r="P5" i="9" s="1"/>
  <c r="C3" i="16"/>
  <c r="O45" i="1" s="1"/>
  <c r="C2" i="16"/>
  <c r="R92" i="1"/>
  <c r="AD93" i="1"/>
  <c r="AC93" i="1"/>
  <c r="AI93" i="1"/>
  <c r="AJ93" i="1"/>
  <c r="AK93" i="1"/>
  <c r="W94" i="1"/>
  <c r="X94" i="1"/>
  <c r="Y94" i="1"/>
  <c r="Z94" i="1"/>
  <c r="P79" i="1" l="1"/>
  <c r="P90" i="1"/>
  <c r="O79" i="1"/>
  <c r="W79" i="1"/>
  <c r="W80" i="1"/>
  <c r="T66" i="1"/>
  <c r="X80" i="1"/>
  <c r="Q90" i="1"/>
  <c r="P63" i="1"/>
  <c r="O63" i="1"/>
  <c r="Q92" i="1"/>
  <c r="Z80" i="1"/>
  <c r="X79" i="1"/>
  <c r="V81" i="1"/>
  <c r="Y79" i="1"/>
  <c r="W81" i="1"/>
  <c r="Z79" i="1"/>
  <c r="X81" i="1"/>
  <c r="Y80" i="1"/>
  <c r="O80" i="1"/>
  <c r="Y81" i="1"/>
  <c r="R90" i="1"/>
  <c r="O65" i="1"/>
  <c r="P80" i="1"/>
  <c r="Z81" i="1"/>
  <c r="P65" i="1"/>
  <c r="Q80" i="1"/>
  <c r="Q65" i="1"/>
  <c r="U80" i="1"/>
  <c r="V80" i="1"/>
  <c r="Z82" i="1"/>
  <c r="Y82" i="1"/>
  <c r="X82" i="1"/>
  <c r="W82" i="1"/>
  <c r="V82" i="1"/>
  <c r="O82" i="1"/>
  <c r="U82" i="1"/>
  <c r="T82" i="1"/>
  <c r="S82" i="1"/>
  <c r="R82" i="1"/>
  <c r="Q82" i="1"/>
  <c r="P82" i="1"/>
  <c r="O64" i="1"/>
  <c r="U66" i="1"/>
  <c r="Q64" i="1"/>
  <c r="V66" i="1"/>
  <c r="O39" i="1"/>
  <c r="O66" i="1"/>
  <c r="P39" i="1"/>
  <c r="R91" i="1"/>
  <c r="Q39" i="1"/>
  <c r="O81" i="1"/>
  <c r="Q79" i="1"/>
  <c r="P81" i="1"/>
  <c r="O38" i="1"/>
  <c r="R79" i="1"/>
  <c r="Q81" i="1"/>
  <c r="R66" i="1"/>
  <c r="S79" i="1"/>
  <c r="R81" i="1"/>
  <c r="Q66" i="1"/>
  <c r="T79" i="1"/>
  <c r="R80" i="1"/>
  <c r="S81" i="1"/>
  <c r="P66" i="1"/>
  <c r="U79" i="1"/>
  <c r="S80" i="1"/>
  <c r="T81" i="1"/>
  <c r="P91" i="1"/>
  <c r="W54" i="1"/>
  <c r="X54" i="1"/>
  <c r="Y54" i="1"/>
  <c r="Z54" i="1"/>
  <c r="Z95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P89" i="1" l="1"/>
  <c r="Q89" i="1"/>
  <c r="V78" i="1"/>
  <c r="V73" i="1" s="1"/>
  <c r="O55" i="1"/>
  <c r="W78" i="1"/>
  <c r="W73" i="1" s="1"/>
  <c r="Y78" i="1"/>
  <c r="Y73" i="1" s="1"/>
  <c r="Z78" i="1"/>
  <c r="Z73" i="1" s="1"/>
  <c r="U78" i="1"/>
  <c r="U73" i="1" s="1"/>
  <c r="X78" i="1"/>
  <c r="X73" i="1" s="1"/>
  <c r="P78" i="1"/>
  <c r="P73" i="1" s="1"/>
  <c r="Q78" i="1"/>
  <c r="Q73" i="1" s="1"/>
  <c r="O78" i="1"/>
  <c r="O73" i="1" s="1"/>
  <c r="T78" i="1"/>
  <c r="T73" i="1" s="1"/>
  <c r="R89" i="1"/>
  <c r="S78" i="1"/>
  <c r="S73" i="1" s="1"/>
  <c r="R78" i="1"/>
  <c r="R73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7" i="1" l="1"/>
  <c r="P107" i="1" s="1"/>
  <c r="Q107" i="1" s="1"/>
  <c r="R107" i="1" s="1"/>
  <c r="S107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5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2" i="1"/>
  <c r="X112" i="1"/>
  <c r="W112" i="1"/>
  <c r="Y111" i="1"/>
  <c r="X111" i="1"/>
  <c r="W111" i="1"/>
  <c r="G104" i="1"/>
  <c r="H104" i="1"/>
  <c r="I104" i="1"/>
  <c r="J104" i="1"/>
  <c r="K104" i="1"/>
  <c r="L104" i="1"/>
  <c r="L108" i="1"/>
  <c r="K108" i="1"/>
  <c r="W113" i="1" l="1"/>
  <c r="X113" i="1"/>
  <c r="Y113" i="1"/>
  <c r="M5" i="15"/>
  <c r="L7" i="15"/>
  <c r="L9" i="15"/>
  <c r="N5" i="15" l="1"/>
  <c r="M7" i="15"/>
  <c r="M9" i="15"/>
  <c r="L58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L35" i="1"/>
  <c r="AK35" i="1"/>
  <c r="AJ35" i="1"/>
  <c r="AI35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M62" i="5"/>
  <c r="H50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Q63" i="5" l="1"/>
  <c r="Z30" i="5"/>
  <c r="U70" i="5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O35" i="1" l="1"/>
  <c r="P35" i="1" s="1"/>
  <c r="Q35" i="1" s="1"/>
  <c r="R35" i="1" s="1"/>
  <c r="L4" i="10"/>
  <c r="G38" i="11" s="1"/>
  <c r="G41" i="11" s="1"/>
  <c r="Q70" i="5"/>
  <c r="R70" i="5"/>
  <c r="O69" i="5"/>
  <c r="P57" i="1"/>
  <c r="P55" i="1" s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K12" i="9" s="1"/>
  <c r="V18" i="4"/>
  <c r="U46" i="1" s="1"/>
  <c r="M11" i="9" s="1"/>
  <c r="K11" i="9" s="1"/>
  <c r="U18" i="4"/>
  <c r="T46" i="1" s="1"/>
  <c r="M10" i="9" s="1"/>
  <c r="K10" i="9" s="1"/>
  <c r="T18" i="4"/>
  <c r="S46" i="1" s="1"/>
  <c r="M9" i="9" s="1"/>
  <c r="K9" i="9" s="1"/>
  <c r="F29" i="4"/>
  <c r="V33" i="4"/>
  <c r="V26" i="4" s="1"/>
  <c r="U33" i="4"/>
  <c r="U26" i="4" s="1"/>
  <c r="T33" i="4"/>
  <c r="T26" i="4" s="1"/>
  <c r="S33" i="4"/>
  <c r="S37" i="4" s="1"/>
  <c r="V54" i="1"/>
  <c r="U54" i="1"/>
  <c r="T54" i="1"/>
  <c r="S54" i="1"/>
  <c r="L61" i="5" s="1"/>
  <c r="U40" i="1" l="1"/>
  <c r="V40" i="1"/>
  <c r="S40" i="1"/>
  <c r="T40" i="1"/>
  <c r="O4" i="10"/>
  <c r="J38" i="11" s="1"/>
  <c r="S26" i="4"/>
  <c r="M61" i="5"/>
  <c r="L64" i="5"/>
  <c r="L26" i="1"/>
  <c r="E35" i="5" s="1"/>
  <c r="K26" i="1"/>
  <c r="J26" i="1"/>
  <c r="I26" i="1"/>
  <c r="H26" i="1"/>
  <c r="G26" i="1"/>
  <c r="F26" i="1"/>
  <c r="L6" i="1"/>
  <c r="K6" i="1"/>
  <c r="J6" i="1"/>
  <c r="I6" i="1"/>
  <c r="H6" i="1"/>
  <c r="G6" i="1"/>
  <c r="L31" i="1"/>
  <c r="K31" i="1"/>
  <c r="J31" i="1"/>
  <c r="I31" i="1"/>
  <c r="H31" i="1"/>
  <c r="G31" i="1"/>
  <c r="F31" i="1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5" i="1" s="1"/>
  <c r="T4" i="10"/>
  <c r="Q64" i="5"/>
  <c r="R61" i="5"/>
  <c r="X35" i="1" l="1"/>
  <c r="X95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5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AD15" i="1"/>
  <c r="U38" i="11" l="1"/>
  <c r="T41" i="11"/>
  <c r="X61" i="5"/>
  <c r="W64" i="5"/>
  <c r="AC21" i="1"/>
  <c r="AC18" i="1"/>
  <c r="AC15" i="1"/>
  <c r="AC12" i="1"/>
  <c r="L11" i="1"/>
  <c r="K11" i="1"/>
  <c r="J11" i="1"/>
  <c r="I11" i="1"/>
  <c r="H11" i="1"/>
  <c r="G11" i="1"/>
  <c r="F11" i="1"/>
  <c r="O15" i="1"/>
  <c r="P15" i="1" s="1"/>
  <c r="Q15" i="1" s="1"/>
  <c r="R15" i="1" s="1"/>
  <c r="S15" i="1" s="1"/>
  <c r="T15" i="1" s="1"/>
  <c r="U15" i="1" s="1"/>
  <c r="V15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8" i="1" l="1"/>
  <c r="K98" i="1"/>
  <c r="J98" i="1"/>
  <c r="I98" i="1"/>
  <c r="H98" i="1"/>
  <c r="G98" i="1"/>
  <c r="F98" i="1"/>
  <c r="G70" i="1"/>
  <c r="H70" i="1"/>
  <c r="I70" i="1"/>
  <c r="J70" i="1"/>
  <c r="K70" i="1"/>
  <c r="L70" i="1"/>
  <c r="L71" i="1" s="1"/>
  <c r="F70" i="1"/>
  <c r="J102" i="1"/>
  <c r="K102" i="1"/>
  <c r="G102" i="1"/>
  <c r="H102" i="1"/>
  <c r="I102" i="1"/>
  <c r="F102" i="1"/>
  <c r="F15" i="7" l="1"/>
  <c r="F13" i="7" s="1"/>
  <c r="L83" i="1"/>
  <c r="E68" i="5" s="1"/>
  <c r="J2" i="9" s="1"/>
  <c r="K83" i="1"/>
  <c r="T107" i="1"/>
  <c r="I15" i="7" l="1"/>
  <c r="I13" i="7" s="1"/>
  <c r="AK100" i="1" s="1"/>
  <c r="K15" i="7"/>
  <c r="K13" i="7" s="1"/>
  <c r="H15" i="7"/>
  <c r="H13" i="7" s="1"/>
  <c r="AJ100" i="1" s="1"/>
  <c r="G15" i="7"/>
  <c r="G13" i="7" s="1"/>
  <c r="AI100" i="1" s="1"/>
  <c r="J15" i="7"/>
  <c r="J13" i="7" s="1"/>
  <c r="U107" i="1"/>
  <c r="V107" i="1" s="1"/>
  <c r="O103" i="1"/>
  <c r="P103" i="1" s="1"/>
  <c r="Q103" i="1" s="1"/>
  <c r="R103" i="1" s="1"/>
  <c r="S103" i="1" s="1"/>
  <c r="T103" i="1" s="1"/>
  <c r="U103" i="1" s="1"/>
  <c r="V103" i="1" s="1"/>
  <c r="L15" i="7"/>
  <c r="L13" i="7" s="1"/>
  <c r="AD100" i="1"/>
  <c r="F111" i="1"/>
  <c r="F113" i="1" s="1"/>
  <c r="L47" i="1"/>
  <c r="L6" i="10" l="1"/>
  <c r="G24" i="11" s="1"/>
  <c r="G27" i="11" s="1"/>
  <c r="O100" i="1"/>
  <c r="O93" i="1" s="1"/>
  <c r="O95" i="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M6" i="10" l="1"/>
  <c r="H24" i="11" s="1"/>
  <c r="H27" i="11" s="1"/>
  <c r="P100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3" i="1"/>
  <c r="F54" i="6"/>
  <c r="Q100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3" i="1"/>
  <c r="AE93" i="1" s="1"/>
  <c r="G54" i="6"/>
  <c r="F56" i="6"/>
  <c r="F58" i="6" s="1"/>
  <c r="R100" i="1"/>
  <c r="AE100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3" i="1"/>
  <c r="G56" i="6"/>
  <c r="G58" i="6" s="1"/>
  <c r="H54" i="6"/>
  <c r="S100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3" i="1"/>
  <c r="H56" i="6"/>
  <c r="H58" i="6" s="1"/>
  <c r="I54" i="6"/>
  <c r="T100" i="1"/>
  <c r="S83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3" i="1"/>
  <c r="I56" i="6"/>
  <c r="I58" i="6" s="1"/>
  <c r="J54" i="6"/>
  <c r="U100" i="1"/>
  <c r="T83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3" i="1"/>
  <c r="AF93" i="1" s="1"/>
  <c r="M27" i="11"/>
  <c r="K54" i="6"/>
  <c r="K56" i="6" s="1"/>
  <c r="K58" i="6" s="1"/>
  <c r="J56" i="6"/>
  <c r="J58" i="6" s="1"/>
  <c r="O24" i="11"/>
  <c r="N27" i="11"/>
  <c r="V100" i="1"/>
  <c r="AF100" i="1"/>
  <c r="U83" i="1"/>
  <c r="N68" i="5" s="1"/>
  <c r="N71" i="5" s="1"/>
  <c r="O83" i="1"/>
  <c r="P83" i="1"/>
  <c r="Q83" i="1"/>
  <c r="R83" i="1"/>
  <c r="O54" i="1"/>
  <c r="P54" i="1"/>
  <c r="Q54" i="1"/>
  <c r="R54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P36" i="1"/>
  <c r="O36" i="1"/>
  <c r="T6" i="10" l="1"/>
  <c r="V93" i="1"/>
  <c r="V112" i="1" s="1"/>
  <c r="P24" i="11"/>
  <c r="O27" i="11"/>
  <c r="L49" i="5"/>
  <c r="V83" i="1"/>
  <c r="O68" i="5" s="1"/>
  <c r="O71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3" i="1" l="1"/>
  <c r="P68" i="5" s="1"/>
  <c r="P71" i="5" s="1"/>
  <c r="H2" i="12" a="1"/>
  <c r="H12" i="12" s="1"/>
  <c r="Q24" i="11"/>
  <c r="P27" i="11"/>
  <c r="H3" i="9" a="1"/>
  <c r="X83" i="1" l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3" i="1" l="1"/>
  <c r="Y83" i="1"/>
  <c r="S24" i="11"/>
  <c r="R27" i="11"/>
  <c r="R71" i="5"/>
  <c r="T24" i="11" l="1"/>
  <c r="S27" i="11"/>
  <c r="T68" i="5"/>
  <c r="S71" i="5"/>
  <c r="G111" i="1"/>
  <c r="G113" i="1" s="1"/>
  <c r="H111" i="1"/>
  <c r="H113" i="1" s="1"/>
  <c r="I111" i="1"/>
  <c r="I113" i="1" s="1"/>
  <c r="J111" i="1"/>
  <c r="J113" i="1" s="1"/>
  <c r="K111" i="1"/>
  <c r="K113" i="1" s="1"/>
  <c r="U24" i="11" l="1"/>
  <c r="T27" i="11"/>
  <c r="U68" i="5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0" i="1"/>
  <c r="K50" i="1"/>
  <c r="J50" i="1"/>
  <c r="AD47" i="1"/>
  <c r="G48" i="2"/>
  <c r="AI47" i="1" s="1"/>
  <c r="AI52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4" i="1"/>
  <c r="K94" i="1"/>
  <c r="D54" i="5" s="1"/>
  <c r="K51" i="1"/>
  <c r="V68" i="5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O17" i="4"/>
  <c r="N43" i="1" s="1"/>
  <c r="W68" i="5"/>
  <c r="V71" i="5"/>
  <c r="R42" i="1"/>
  <c r="L8" i="9" s="1"/>
  <c r="K8" i="9" s="1"/>
  <c r="M33" i="4"/>
  <c r="M37" i="4" s="1"/>
  <c r="AF43" i="1"/>
  <c r="L34" i="4"/>
  <c r="L38" i="4"/>
  <c r="L18" i="4" s="1"/>
  <c r="P18" i="4"/>
  <c r="O46" i="1" s="1"/>
  <c r="O18" i="4"/>
  <c r="R18" i="4"/>
  <c r="Q46" i="1" s="1"/>
  <c r="M7" i="9" s="1"/>
  <c r="K7" i="9" l="1"/>
  <c r="N42" i="1"/>
  <c r="N94" i="1"/>
  <c r="N46" i="1"/>
  <c r="M17" i="4"/>
  <c r="L43" i="1" s="1"/>
  <c r="L42" i="1" s="1"/>
  <c r="P40" i="1"/>
  <c r="Q40" i="1"/>
  <c r="AE43" i="1"/>
  <c r="X24" i="11"/>
  <c r="W27" i="11"/>
  <c r="R40" i="1"/>
  <c r="O40" i="1"/>
  <c r="M34" i="4"/>
  <c r="X68" i="5"/>
  <c r="W71" i="5"/>
  <c r="N33" i="4"/>
  <c r="N10" i="4"/>
  <c r="M38" i="4"/>
  <c r="M18" i="4" s="1"/>
  <c r="L46" i="1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50" i="1"/>
  <c r="H94" i="1"/>
  <c r="I50" i="1"/>
  <c r="F50" i="1"/>
  <c r="AC40" i="1"/>
  <c r="I47" i="2"/>
  <c r="H47" i="2"/>
  <c r="F24" i="2"/>
  <c r="N111" i="1" l="1"/>
  <c r="AF40" i="1"/>
  <c r="AE46" i="1"/>
  <c r="N37" i="4"/>
  <c r="N38" i="4" s="1"/>
  <c r="N18" i="4" s="1"/>
  <c r="L94" i="1"/>
  <c r="E54" i="5" s="1"/>
  <c r="L40" i="1"/>
  <c r="Y24" i="11"/>
  <c r="X27" i="11"/>
  <c r="F94" i="1"/>
  <c r="G94" i="1"/>
  <c r="G51" i="1"/>
  <c r="H51" i="1"/>
  <c r="I94" i="1"/>
  <c r="I51" i="1"/>
  <c r="J51" i="1"/>
  <c r="Y68" i="5"/>
  <c r="X71" i="5"/>
  <c r="O18" i="1"/>
  <c r="P18" i="1" s="1"/>
  <c r="Q18" i="1" s="1"/>
  <c r="R18" i="1" s="1"/>
  <c r="S18" i="1" s="1"/>
  <c r="T18" i="1" s="1"/>
  <c r="U18" i="1" s="1"/>
  <c r="V18" i="1" s="1"/>
  <c r="AD18" i="1"/>
  <c r="N34" i="4"/>
  <c r="N35" i="4" s="1"/>
  <c r="AD46" i="1"/>
  <c r="L111" i="1"/>
  <c r="L113" i="1" s="1"/>
  <c r="E28" i="5" s="1"/>
  <c r="AE40" i="1"/>
  <c r="H49" i="2"/>
  <c r="H50" i="2" s="1"/>
  <c r="I49" i="2"/>
  <c r="I50" i="2" s="1"/>
  <c r="N113" i="1" l="1"/>
  <c r="N17" i="4"/>
  <c r="Z24" i="11"/>
  <c r="Y27" i="11"/>
  <c r="AD40" i="1"/>
  <c r="Z68" i="5"/>
  <c r="Y71" i="5"/>
  <c r="AE15" i="1"/>
  <c r="AF18" i="1"/>
  <c r="AE18" i="1"/>
  <c r="AC68" i="1"/>
  <c r="AC54" i="1"/>
  <c r="AC35" i="1"/>
  <c r="AC34" i="1"/>
  <c r="AG21" i="1"/>
  <c r="AG18" i="1"/>
  <c r="AG15" i="1"/>
  <c r="AG12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0" i="1" s="1"/>
  <c r="AK34" i="1"/>
  <c r="AK50" i="1" s="1"/>
  <c r="AF15" i="1"/>
  <c r="B2" i="12" l="1" a="1"/>
  <c r="B2" i="12" s="1"/>
  <c r="AD21" i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5" i="1"/>
  <c r="AC50" i="1"/>
  <c r="O21" i="1"/>
  <c r="AD50" i="1"/>
  <c r="AO50" i="1" s="1"/>
  <c r="AE35" i="1"/>
  <c r="F54" i="5" l="1"/>
  <c r="F57" i="5" s="1"/>
  <c r="AN50" i="1"/>
  <c r="P21" i="1"/>
  <c r="O12" i="1"/>
  <c r="AF35" i="1"/>
  <c r="Q21" i="1" l="1"/>
  <c r="AE21" i="1" s="1"/>
  <c r="P12" i="1"/>
  <c r="O11" i="1"/>
  <c r="R21" i="1" l="1"/>
  <c r="Q12" i="1"/>
  <c r="AE12" i="1" s="1"/>
  <c r="P11" i="1"/>
  <c r="S21" i="1" l="1"/>
  <c r="R12" i="1"/>
  <c r="Q11" i="1"/>
  <c r="T21" i="1" l="1"/>
  <c r="S12" i="1"/>
  <c r="R11" i="1"/>
  <c r="U21" i="1" l="1"/>
  <c r="T12" i="1"/>
  <c r="S11" i="1"/>
  <c r="V21" i="1" l="1"/>
  <c r="AF21" i="1"/>
  <c r="U12" i="1"/>
  <c r="T11" i="1"/>
  <c r="U11" i="1" l="1"/>
  <c r="V12" i="1"/>
  <c r="V11" i="1" s="1"/>
  <c r="AF12" i="1"/>
  <c r="G68" i="5" l="1"/>
  <c r="G71" i="5" l="1"/>
  <c r="J4" i="9"/>
  <c r="O112" i="1"/>
  <c r="G21" i="5" s="1"/>
  <c r="G24" i="5" s="1"/>
  <c r="H68" i="5"/>
  <c r="H71" i="5" s="1"/>
  <c r="H47" i="5"/>
  <c r="H50" i="5" s="1"/>
  <c r="I68" i="5" l="1"/>
  <c r="I71" i="5" s="1"/>
  <c r="P112" i="1"/>
  <c r="H21" i="5" s="1"/>
  <c r="H24" i="5" s="1"/>
  <c r="P95" i="1"/>
  <c r="I47" i="5" s="1"/>
  <c r="I50" i="5" s="1"/>
  <c r="J68" i="5" l="1"/>
  <c r="J71" i="5" s="1"/>
  <c r="Q112" i="1"/>
  <c r="I21" i="5" s="1"/>
  <c r="I24" i="5" s="1"/>
  <c r="Q95" i="1"/>
  <c r="J47" i="5" s="1"/>
  <c r="K47" i="5" l="1"/>
  <c r="K50" i="5" s="1"/>
  <c r="J50" i="5"/>
  <c r="K68" i="5"/>
  <c r="K71" i="5" s="1"/>
  <c r="R95" i="1"/>
  <c r="R112" i="1"/>
  <c r="J21" i="5" s="1"/>
  <c r="J24" i="5" s="1"/>
  <c r="L47" i="5" l="1"/>
  <c r="M47" i="5" s="1"/>
  <c r="N47" i="5" s="1"/>
  <c r="O47" i="5" s="1"/>
  <c r="P47" i="5" s="1"/>
  <c r="I3" i="9" a="1"/>
  <c r="I5" i="9" s="1"/>
  <c r="I2" i="12" a="1"/>
  <c r="S112" i="1"/>
  <c r="K21" i="5" s="1"/>
  <c r="K24" i="5" s="1"/>
  <c r="S95" i="1"/>
  <c r="O50" i="5" l="1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2" i="1"/>
  <c r="L21" i="5" s="1"/>
  <c r="L24" i="5" s="1"/>
  <c r="T95" i="1"/>
  <c r="M50" i="5" s="1"/>
  <c r="R47" i="5" l="1"/>
  <c r="Q50" i="5"/>
  <c r="U95" i="1"/>
  <c r="N50" i="5" s="1"/>
  <c r="U112" i="1"/>
  <c r="M21" i="5" s="1"/>
  <c r="M24" i="5" l="1"/>
  <c r="N21" i="5"/>
  <c r="S47" i="5"/>
  <c r="R50" i="5"/>
  <c r="O97" i="1" l="1"/>
  <c r="O21" i="5"/>
  <c r="N24" i="5"/>
  <c r="S50" i="5"/>
  <c r="T47" i="5"/>
  <c r="O111" i="1" l="1"/>
  <c r="M5" i="10"/>
  <c r="H31" i="11" s="1"/>
  <c r="H34" i="11" s="1"/>
  <c r="L5" i="10"/>
  <c r="G31" i="11" s="1"/>
  <c r="G34" i="11" s="1"/>
  <c r="O24" i="5"/>
  <c r="P21" i="5"/>
  <c r="T50" i="5"/>
  <c r="U47" i="5"/>
  <c r="P97" i="1"/>
  <c r="O113" i="1" l="1"/>
  <c r="H28" i="5" s="1"/>
  <c r="H31" i="5" s="1"/>
  <c r="P111" i="1"/>
  <c r="N5" i="10"/>
  <c r="I31" i="11" s="1"/>
  <c r="I34" i="11" s="1"/>
  <c r="Q21" i="5"/>
  <c r="P24" i="5"/>
  <c r="U50" i="5"/>
  <c r="V47" i="5"/>
  <c r="Q97" i="1"/>
  <c r="P113" i="1" l="1"/>
  <c r="I28" i="5" s="1"/>
  <c r="I31" i="5" s="1"/>
  <c r="Q111" i="1"/>
  <c r="O5" i="10"/>
  <c r="J31" i="11" s="1"/>
  <c r="J34" i="11" s="1"/>
  <c r="R21" i="5"/>
  <c r="Q24" i="5"/>
  <c r="W47" i="5"/>
  <c r="V50" i="5"/>
  <c r="R97" i="1"/>
  <c r="Q113" i="1" l="1"/>
  <c r="J28" i="5" s="1"/>
  <c r="J31" i="5" s="1"/>
  <c r="R111" i="1"/>
  <c r="P5" i="10"/>
  <c r="K31" i="11" s="1"/>
  <c r="K34" i="11" s="1"/>
  <c r="R24" i="5"/>
  <c r="S21" i="5"/>
  <c r="X47" i="5"/>
  <c r="W50" i="5"/>
  <c r="S97" i="1"/>
  <c r="T98" i="1"/>
  <c r="R113" i="1" l="1"/>
  <c r="K28" i="5" s="1"/>
  <c r="K31" i="5" s="1"/>
  <c r="S111" i="1"/>
  <c r="Q5" i="10"/>
  <c r="L31" i="11" s="1"/>
  <c r="S24" i="5"/>
  <c r="T21" i="5"/>
  <c r="Y47" i="5"/>
  <c r="X50" i="5"/>
  <c r="T97" i="1"/>
  <c r="U98" i="1"/>
  <c r="S113" i="1" l="1"/>
  <c r="L28" i="5" s="1"/>
  <c r="L34" i="11"/>
  <c r="M31" i="11"/>
  <c r="T111" i="1"/>
  <c r="T113" i="1" s="1"/>
  <c r="R5" i="10"/>
  <c r="U97" i="1"/>
  <c r="V98" i="1"/>
  <c r="V97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1" i="1"/>
  <c r="V113" i="1" s="1"/>
  <c r="T5" i="10"/>
  <c r="U111" i="1"/>
  <c r="U113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O34" i="1" l="1"/>
  <c r="M3" i="10" s="1"/>
  <c r="H45" i="11" s="1"/>
  <c r="H48" i="11" s="1"/>
  <c r="O94" i="1"/>
  <c r="H54" i="5" s="1"/>
  <c r="H57" i="5" s="1"/>
  <c r="P50" i="1"/>
  <c r="L3" i="10"/>
  <c r="G45" i="11" s="1"/>
  <c r="G48" i="11" s="1"/>
  <c r="Q50" i="1" l="1"/>
  <c r="P34" i="1"/>
  <c r="N3" i="10" s="1"/>
  <c r="I45" i="11" s="1"/>
  <c r="I48" i="11" s="1"/>
  <c r="P94" i="1"/>
  <c r="I54" i="5" s="1"/>
  <c r="I57" i="5" s="1"/>
  <c r="Q34" i="1" l="1"/>
  <c r="O3" i="10" s="1"/>
  <c r="J45" i="11" s="1"/>
  <c r="J48" i="11" s="1"/>
  <c r="Q94" i="1"/>
  <c r="J54" i="5" s="1"/>
  <c r="J57" i="5" s="1"/>
  <c r="R50" i="1"/>
  <c r="AE50" i="1"/>
  <c r="R94" i="1" l="1"/>
  <c r="K54" i="5" s="1"/>
  <c r="S50" i="1"/>
  <c r="R34" i="1"/>
  <c r="P3" i="10" s="1"/>
  <c r="K45" i="11" s="1"/>
  <c r="K48" i="11" l="1"/>
  <c r="L45" i="11"/>
  <c r="S94" i="1"/>
  <c r="S34" i="1"/>
  <c r="Q3" i="10" s="1"/>
  <c r="T50" i="1"/>
  <c r="K57" i="5"/>
  <c r="L54" i="5"/>
  <c r="M54" i="5" l="1"/>
  <c r="L57" i="5"/>
  <c r="T94" i="1"/>
  <c r="T34" i="1"/>
  <c r="R3" i="10" s="1"/>
  <c r="U50" i="1"/>
  <c r="AF50" i="1" s="1"/>
  <c r="M45" i="11"/>
  <c r="L48" i="11"/>
  <c r="M48" i="11" l="1"/>
  <c r="N45" i="11"/>
  <c r="V50" i="1"/>
  <c r="V94" i="1" s="1"/>
  <c r="U34" i="1"/>
  <c r="S3" i="10" s="1"/>
  <c r="U94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O29" i="1" l="1"/>
  <c r="P29" i="1" s="1"/>
  <c r="Q29" i="1" s="1"/>
  <c r="R29" i="1" s="1"/>
  <c r="S29" i="1" s="1"/>
  <c r="T29" i="1" s="1"/>
  <c r="U29" i="1" s="1"/>
  <c r="V29" i="1" s="1"/>
  <c r="O28" i="1"/>
  <c r="O30" i="1"/>
  <c r="H41" i="5" s="1"/>
  <c r="H43" i="5" s="1"/>
  <c r="O5" i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O27" i="1"/>
  <c r="P27" i="1" s="1"/>
  <c r="O26" i="1" l="1"/>
  <c r="H35" i="5" s="1"/>
  <c r="H37" i="5" s="1"/>
  <c r="Q27" i="1"/>
  <c r="P30" i="1"/>
  <c r="P28" i="1"/>
  <c r="Q28" i="1" s="1"/>
  <c r="R28" i="1" s="1"/>
  <c r="S28" i="1" s="1"/>
  <c r="T28" i="1" s="1"/>
  <c r="U28" i="1" s="1"/>
  <c r="V28" i="1" s="1"/>
  <c r="I41" i="5" l="1"/>
  <c r="I43" i="5" s="1"/>
  <c r="Q30" i="1"/>
  <c r="P26" i="1"/>
  <c r="I35" i="5" s="1"/>
  <c r="I37" i="5" s="1"/>
  <c r="Q26" i="1"/>
  <c r="J35" i="5" s="1"/>
  <c r="J37" i="5" s="1"/>
  <c r="R27" i="1"/>
  <c r="S27" i="1" l="1"/>
  <c r="R26" i="1"/>
  <c r="K35" i="5" s="1"/>
  <c r="K37" i="5" s="1"/>
  <c r="D2" i="12" s="1" a="1"/>
  <c r="J41" i="5"/>
  <c r="J43" i="5" s="1"/>
  <c r="R30" i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S30" i="1"/>
  <c r="T30" i="1" s="1"/>
  <c r="U30" i="1" s="1"/>
  <c r="V30" i="1" s="1"/>
  <c r="K41" i="5"/>
  <c r="K43" i="5" s="1"/>
  <c r="E3" i="9" s="1" a="1"/>
  <c r="D7" i="12"/>
  <c r="S26" i="1"/>
  <c r="T27" i="1"/>
  <c r="E2" i="12" l="1" a="1"/>
  <c r="E19" i="12" s="1"/>
  <c r="E14" i="9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U27" i="1"/>
  <c r="T26" i="1"/>
  <c r="E8" i="9"/>
  <c r="E12" i="12" l="1"/>
  <c r="E21" i="12"/>
  <c r="E6" i="12"/>
  <c r="E9" i="12"/>
  <c r="E23" i="12"/>
  <c r="E16" i="12"/>
  <c r="E22" i="12"/>
  <c r="E4" i="12"/>
  <c r="E18" i="12"/>
  <c r="E10" i="12"/>
  <c r="E20" i="12"/>
  <c r="E14" i="12"/>
  <c r="E3" i="12"/>
  <c r="E8" i="12"/>
  <c r="E7" i="12"/>
  <c r="E2" i="12"/>
  <c r="E11" i="12"/>
  <c r="E15" i="12"/>
  <c r="E17" i="12"/>
  <c r="E5" i="12"/>
  <c r="E13" i="12"/>
  <c r="V27" i="1"/>
  <c r="V26" i="1" s="1"/>
  <c r="U26" i="1"/>
  <c r="K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1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6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9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80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1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2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3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8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100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10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10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<sst xmlns="http://schemas.openxmlformats.org/spreadsheetml/2006/main" count="1016" uniqueCount="383">
  <si>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</si>
  <si>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</si>
  <si>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</si>
  <si>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</si>
  <si>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</si>
  <si>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</si>
  <si>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</si>
  <si>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</si>
  <si>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</si>
  <si>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</si>
  <si>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</si>
  <si>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</si>
  <si>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</si>
  <si>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</si>
  <si>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</si>
  <si>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</si>
  <si>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</si>
  <si>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</si>
  <si>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</si>
  <si>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</si>
  <si>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</si>
  <si>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</si>
  <si>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</si>
  <si>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</si>
  <si>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</si>
  <si>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</si>
  <si>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</si>
  <si>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</si>
  <si>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</si>
  <si>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</si>
  <si>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</si>
  <si>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</si>
  <si>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</si>
  <si>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</si>
  <si>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</si>
  <si>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</si>
  <si>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</si>
  <si>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</si>
  <si>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</si>
  <si>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</si>
  <si>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</si>
  <si>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</si>
  <si>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</si>
  <si>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</si>
  <si>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</si>
  <si>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</si>
  <si>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</si>
  <si>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</si>
  <si>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</si>
  <si>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</si>
  <si>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</si>
  <si>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</si>
  <si>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</si>
  <si>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</si>
  <si>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</si>
  <si>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</si>
  <si>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</si>
  <si>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</si>
  <si>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</si>
  <si>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</si>
  <si>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</si>
  <si>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</si>
  <si>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</si>
  <si>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</si>
  <si>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</si>
  <si>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</si>
  <si>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</si>
  <si>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</si>
  <si>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</si>
  <si>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</si>
  <si>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</si>
  <si>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</si>
  <si>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</si>
  <si>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</si>
  <si>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</si>
  <si>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</si>
  <si>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</si>
  <si>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</si>
  <si>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</si>
  <si>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</si>
  <si>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</si>
  <si>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</si>
  <si>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</si>
  <si>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</si>
  <si>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</si>
  <si>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</si>
  <si>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</si>
  <si>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</si>
  <si>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</si>
  <si>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</si>
  <si>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</si>
  <si>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</si>
  <si>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</si>
  <si>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</si>
  <si>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</si>
  <si>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</si>
  <si>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</si>
  <si>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</si>
  <si>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</si>
  <si>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</si>
  <si>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</si>
  <si>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</si>
  <si>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</si>
  <si>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</si>
  <si>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</si>
  <si>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</si>
  <si>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</si>
  <si>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</si>
  <si>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</si>
  <si>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</si>
  <si>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</si>
  <si>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</si>
  <si>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</si>
  <si>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</si>
  <si>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</si>
  <si>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</si>
  <si>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</si>
  <si>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</si>
  <si>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</si>
  <si>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</si>
  <si>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</si>
  <si>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</si>
  <si>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</si>
  <si>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</si>
  <si>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</si>
  <si>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</si>
  <si>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</si>
  <si>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</si>
  <si>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</si>
  <si>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</si>
  <si>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</si>
  <si>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</si>
  <si>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</si>
  <si>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</si>
  <si>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</si>
  <si>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</si>
  <si>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</si>
  <si>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</si>
  <si>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</si>
  <si>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</si>
  <si>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</si>
  <si>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</si>
  <si>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</si>
  <si>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</si>
  <si>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</si>
  <si>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</si>
  <si>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</si>
  <si>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</si>
  <si>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</si>
  <si>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</si>
  <si>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</si>
  <si>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</si>
  <si>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</si>
  <si>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</si>
  <si>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</si>
  <si>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</si>
  <si>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</si>
  <si>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</si>
  <si>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</si>
  <si>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</si>
  <si>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</si>
  <si>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</si>
  <si>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</si>
  <si>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</si>
  <si>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</si>
  <si>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</si>
  <si>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</si>
  <si>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</si>
  <si>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</si>
  <si>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</si>
  <si>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</si>
  <si>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</si>
  <si>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</si>
  <si>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</si>
  <si>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</si>
  <si>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</si>
  <si>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</si>
  <si>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</si>
  <si>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</si>
  <si>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</si>
  <si>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</si>
  <si>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</si>
  <si>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</si>
  <si>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</si>
  <si>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</si>
  <si>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</si>
  <si>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</si>
  <si>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</si>
  <si>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</si>
  <si>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</si>
  <si>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</si>
  <si>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</si>
  <si>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</si>
  <si>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</si>
  <si>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</si>
  <si>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</si>
  <si>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</si>
  <si>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</si>
  <si>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</si>
  <si>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</si>
  <si>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</si>
  <si>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</si>
  <si>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</si>
  <si>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</si>
  <si>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</si>
  <si>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</si>
  <si>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</si>
  <si>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</si>
  <si>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</si>
  <si>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</si>
  <si>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</si>
  <si>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</si>
  <si>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</si>
  <si>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</si>
  <si>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</si>
  <si>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</si>
  <si>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</si>
  <si>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</si>
  <si>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</si>
  <si>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</si>
  <si>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</si>
  <si>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</si>
  <si>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</si>
  <si>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</si>
  <si>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</si>
  <si>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</si>
  <si>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</si>
  <si>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</si>
  <si>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</si>
  <si>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</si>
  <si>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</si>
  <si>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</si>
  <si>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</si>
  <si>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</si>
  <si>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</si>
  <si>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</si>
  <si>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</si>
  <si>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</si>
  <si>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</si>
  <si>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</si>
  <si>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</si>
  <si>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</si>
  <si>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</si>
  <si>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</si>
  <si>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</si>
  <si>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</si>
  <si>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</si>
  <si>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</si>
  <si>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</si>
  <si>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</si>
  <si>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</si>
  <si>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</si>
  <si>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</si>
  <si>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</si>
  <si>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</si>
  <si>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</si>
  <si>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</si>
  <si>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</si>
  <si>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</si>
  <si>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</si>
  <si>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</si>
  <si>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</si>
  <si>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</si>
  <si>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</si>
  <si>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</si>
  <si>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</si>
  <si>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</si>
  <si>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</si>
  <si>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</si>
  <si>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</si>
  <si>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</si>
  <si>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</si>
  <si>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</si>
  <si>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</si>
  <si>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</si>
  <si>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</si>
  <si>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</si>
  <si>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</si>
  <si>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</si>
  <si>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</si>
  <si>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</si>
  <si>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</si>
  <si>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</si>
  <si>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</si>
  <si>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</si>
  <si>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</si>
  <si>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</si>
  <si>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</si>
  <si>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</si>
  <si>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</si>
  <si>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</si>
  <si>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</si>
  <si>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</si>
  <si>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</si>
  <si>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</si>
  <si>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</si>
  <si>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</si>
  <si>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</si>
  <si>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</si>
  <si>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</si>
  <si>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</si>
  <si>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</si>
  <si>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</si>
  <si>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</si>
  <si>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</si>
  <si>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</si>
  <si>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</si>
  <si>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</si>
  <si>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</si>
  <si>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</si>
  <si>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</si>
  <si>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</si>
  <si>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</si>
  <si>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</si>
  <si>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</si>
  <si>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</si>
  <si>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</si>
  <si>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</si>
  <si>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</si>
  <si>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</si>
  <si>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</si>
  <si>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</si>
  <si>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</si>
  <si>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</si>
  <si>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</si>
  <si>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</si>
  <si>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</si>
  <si>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</si>
  <si>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</si>
  <si>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</si>
  <si>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</si>
  <si>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</si>
  <si>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</si>
  <si>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</si>
  <si>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</si>
  <si>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</si>
  <si>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</si>
  <si>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</si>
  <si>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</si>
  <si>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</si>
  <si>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</si>
  <si>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</si>
  <si>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</si>
  <si>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</si>
  <si>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</si>
  <si>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</si>
  <si>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</si>
  <si>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</si>
  <si>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</si>
  <si>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</si>
  <si>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</si>
  <si>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</si>
  <si>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</si>
  <si>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</si>
  <si>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</si>
  <si>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</si>
  <si>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</si>
  <si>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</si>
  <si>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</si>
  <si>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</si>
  <si>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</si>
  <si>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</si>
  <si>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</si>
  <si>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</si>
  <si>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</si>
  <si>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</si>
  <si>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</si>
  <si>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</si>
  <si>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</si>
  <si>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</si>
  <si>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</si>
  <si>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</si>
  <si>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</si>
  <si>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</si>
  <si>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</si>
  <si>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</si>
  <si>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</si>
  <si>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</si>
  <si>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</si>
  <si>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</si>
  <si>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</si>
  <si>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 xml:space="preserve">Education </t>
  </si>
  <si>
    <t>Non profit Provider 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</si>
</sst>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8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0" fillId="9" borderId="0" xfId="0" applyFill="1" applyAlignment="1">
      <alignment wrapText="1"/>
    </xf>
    <xf numFmtId="169" fontId="0" fillId="9" borderId="33" xfId="1" applyNumberFormat="1" applyFont="1" applyFill="1" applyBorder="1"/>
    <xf numFmtId="0" fontId="0" fillId="9" borderId="35" xfId="0" applyFill="1" applyBorder="1"/>
    <xf numFmtId="169" fontId="0" fillId="9" borderId="35" xfId="1" applyNumberFormat="1" applyFont="1" applyFill="1" applyBorder="1"/>
    <xf numFmtId="169" fontId="0" fillId="9" borderId="0" xfId="1" applyNumberFormat="1" applyFont="1" applyFill="1"/>
    <xf numFmtId="1" fontId="0" fillId="9" borderId="0" xfId="0" applyNumberFormat="1" applyFill="1"/>
    <xf numFmtId="1" fontId="0" fillId="9" borderId="0" xfId="0" applyNumberFormat="1" applyFill="1" applyAlignment="1">
      <alignment horizontal="center"/>
    </xf>
    <xf numFmtId="1" fontId="0" fillId="9" borderId="31" xfId="0" applyNumberFormat="1" applyFill="1" applyBorder="1"/>
    <xf numFmtId="0" fontId="0" fillId="9" borderId="0" xfId="0" applyFill="1" applyAlignment="1">
      <alignment horizontal="left" wrapText="1" indent="2"/>
    </xf>
    <xf numFmtId="0" fontId="0" fillId="9" borderId="0" xfId="0" applyFill="1" applyAlignment="1">
      <alignment horizontal="left" indent="3"/>
    </xf>
    <xf numFmtId="0" fontId="0" fillId="9" borderId="33" xfId="0" applyFill="1" applyBorder="1"/>
    <xf numFmtId="43" fontId="0" fillId="9" borderId="35" xfId="1" applyFont="1" applyFill="1" applyBorder="1"/>
    <xf numFmtId="43" fontId="0" fillId="9" borderId="0" xfId="1" applyFont="1" applyFill="1"/>
    <xf numFmtId="0" fontId="0" fillId="9" borderId="31" xfId="0" applyFill="1" applyBorder="1"/>
    <xf numFmtId="3" fontId="0" fillId="9" borderId="35" xfId="0" applyNumberFormat="1" applyFill="1" applyBorder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1" dT="2020-09-10T19:09:05.64" personId="{2D35AFA9-F227-4AE7-B9A7-D673D9D18C70}" id="{2D81BDF9-A0D8-4A1A-915B-91D32E8E61FF}">
    <text>grow with nom purchases</text>
  </threadedComment>
  <threadedComment ref="L76" dT="2020-10-27T15:26:37.39" personId="{2D35AFA9-F227-4AE7-B9A7-D673D9D18C70}" id="{33EF6DF5-9556-47EC-86E1-A12FDBDC0AA8}">
    <text>CBO indicated 17 for q2? why do we split the quarter 3 payments into q2?</text>
  </threadedComment>
  <threadedComment ref="L76" dT="2020-10-28T16:31:53.35" personId="{2D35AFA9-F227-4AE7-B9A7-D673D9D18C70}" id="{1079BF34-6E2F-4888-8715-72B28B28D9AA}" parentId="{33EF6DF5-9556-47EC-86E1-A12FDBDC0AA8}">
    <text>we're comfortable leaving this as is</text>
  </threadedComment>
  <threadedComment ref="O79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80" dT="2020-12-21T21:00:34.35" personId="{2D35AFA9-F227-4AE7-B9A7-D673D9D18C70}" id="{DA48DE65-66E5-4DD8-819A-2F757A61D389}">
    <text>CRFB: estimates $82B. According to the Louise x Wendy, MPC is 100% over 3 years.</text>
  </threadedComment>
  <threadedComment ref="O81" dT="2020-12-21T21:03:38.65" personId="{2D35AFA9-F227-4AE7-B9A7-D673D9D18C70}" id="{1FC8F5D3-F5DD-4502-A8BF-AD36B99CFAF5}">
    <text>CRFB: estimates $63B. MPC is 100% over 12 quarters and then annualize</text>
  </threadedComment>
  <threadedComment ref="O82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8" dT="2020-09-11T20:43:00.49" personId="{2D35AFA9-F227-4AE7-B9A7-D673D9D18C70}" id="{11731043-8530-4DAC-9476-3C98D0D836BB}">
    <text>grow with S&amp;L nom purchases</text>
  </threadedComment>
  <threadedComment ref="O110" dT="2020-09-30T15:34:25.90" personId="{2D35AFA9-F227-4AE7-B9A7-D673D9D18C70}" id="{D84F0053-F219-4B69-8181-0F12AE7D3FC2}">
    <text>overide in the fim with 4%</text>
  </threadedComment>
  <threadedComment ref="O110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10" dT="2020-09-30T15:34:25.90" personId="{2D35AFA9-F227-4AE7-B9A7-D673D9D18C70}" id="{3B711313-D2C6-42FC-83C8-BA827015079B}">
    <text>overide in the fim with 4%</text>
  </threadedComment>
  <threadedComment ref="P110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1"/>
  <sheetViews>
    <sheetView zoomScale="134" zoomScaleNormal="110" workbookViewId="0">
      <pane xSplit="2" ySplit="3" topLeftCell="L71" activePane="bottomRight" state="frozen"/>
      <selection pane="topRight" activeCell="C1" sqref="C1"/>
      <selection pane="bottomLeft" activeCell="A4" sqref="A4"/>
      <selection pane="bottomRight" activeCell="M73" sqref="M73"/>
    </sheetView>
  </sheetViews>
  <sheetFormatPr defaultColWidth="8.81640625" defaultRowHeight="14.5" x14ac:dyDescent="0.35"/>
  <cols>
    <col min="1" max="1" width="32.6328125" customWidth="1"/>
    <col min="2" max="2" width="10.81640625" customWidth="1"/>
    <col min="3" max="4" width="10.81640625" style="35" customWidth="1"/>
    <col min="6" max="14" width="16.1796875" bestFit="1" customWidth="1"/>
    <col min="15" max="15" width="13.36328125" customWidth="1"/>
    <col min="16" max="22" width="16.1796875" bestFit="1" customWidth="1"/>
    <col min="23" max="23" width="16.1796875" style="35" customWidth="1"/>
    <col min="24" max="25" width="12.453125" bestFit="1" customWidth="1"/>
    <col min="26" max="26" width="11.81640625" bestFit="1" customWidth="1"/>
    <col min="27" max="27" width="11.81640625" customWidth="1"/>
    <col min="28" max="32" width="8.81640625" customWidth="1"/>
    <col min="33" max="33" width="15.453125" hidden="1" customWidth="1"/>
    <col min="34" max="34" width="10.453125" hidden="1" customWidth="1"/>
    <col min="35" max="35" width="8.81640625" customWidth="1"/>
    <col min="39" max="39" width="8.6328125" style="146"/>
  </cols>
  <sheetData>
    <row r="1" spans="1:43" ht="19" customHeight="1" x14ac:dyDescent="0.45">
      <c r="A1" s="342" t="s">
        <v>371</v>
      </c>
      <c r="B1" s="342"/>
      <c r="C1" s="268"/>
      <c r="D1" s="268"/>
      <c r="E1" s="35"/>
      <c r="N1" t="s">
        <v>373</v>
      </c>
      <c r="AC1" s="348" t="s">
        <v>247</v>
      </c>
      <c r="AD1" s="348"/>
      <c r="AE1" s="346" t="s">
        <v>245</v>
      </c>
      <c r="AF1" s="347"/>
      <c r="AG1" t="s">
        <v>28</v>
      </c>
      <c r="AI1" s="344" t="s">
        <v>278</v>
      </c>
      <c r="AJ1" s="344"/>
      <c r="AK1" s="344"/>
      <c r="AL1" s="344"/>
      <c r="AM1" s="343" t="s">
        <v>276</v>
      </c>
      <c r="AN1" s="343"/>
      <c r="AO1" s="343"/>
      <c r="AP1" s="343"/>
    </row>
    <row r="2" spans="1:43" ht="23" customHeight="1" x14ac:dyDescent="0.35">
      <c r="F2" s="341" t="s">
        <v>21</v>
      </c>
      <c r="G2" s="341"/>
      <c r="H2" s="341"/>
      <c r="I2" s="341"/>
      <c r="J2" s="341" t="s">
        <v>9</v>
      </c>
      <c r="K2" s="341"/>
      <c r="L2" s="341"/>
      <c r="M2" s="341"/>
      <c r="N2" s="341" t="s">
        <v>10</v>
      </c>
      <c r="O2" s="341"/>
      <c r="P2" s="341"/>
      <c r="Q2" s="341"/>
      <c r="R2" s="341" t="s">
        <v>11</v>
      </c>
      <c r="S2" s="341"/>
      <c r="T2" s="341"/>
      <c r="U2" s="341"/>
      <c r="V2" s="341" t="s">
        <v>265</v>
      </c>
      <c r="W2" s="341"/>
      <c r="X2" s="341"/>
      <c r="Y2" s="341"/>
      <c r="Z2" s="221"/>
      <c r="AA2" s="283"/>
      <c r="AB2" s="221"/>
      <c r="AC2" s="341" t="s">
        <v>102</v>
      </c>
      <c r="AD2" s="341"/>
      <c r="AE2" s="341"/>
      <c r="AF2" s="341"/>
      <c r="AG2" s="341"/>
      <c r="AH2" s="341"/>
      <c r="AI2" s="341"/>
      <c r="AJ2" s="341"/>
      <c r="AK2" s="341"/>
      <c r="AL2" s="345"/>
    </row>
    <row r="3" spans="1:43" x14ac:dyDescent="0.35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21</v>
      </c>
      <c r="AD3" s="317" t="s">
        <v>9</v>
      </c>
      <c r="AE3" s="178" t="s">
        <v>12</v>
      </c>
      <c r="AF3" s="132" t="s">
        <v>11</v>
      </c>
      <c r="AG3" s="2" t="s">
        <v>246</v>
      </c>
      <c r="AH3" s="2" t="s">
        <v>159</v>
      </c>
      <c r="AI3" s="181" t="s">
        <v>9</v>
      </c>
      <c r="AJ3" s="181" t="s">
        <v>12</v>
      </c>
      <c r="AK3" s="97" t="s">
        <v>11</v>
      </c>
      <c r="AL3" s="97" t="s">
        <v>265</v>
      </c>
      <c r="AN3" s="97" t="s">
        <v>12</v>
      </c>
      <c r="AO3" s="97" t="s">
        <v>11</v>
      </c>
      <c r="AP3" s="97" t="s">
        <v>265</v>
      </c>
    </row>
    <row r="4" spans="1:43" ht="18.5" x14ac:dyDescent="0.45">
      <c r="A4" s="340" t="s">
        <v>261</v>
      </c>
      <c r="B4" s="340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35">
      <c r="A5" t="s">
        <v>259</v>
      </c>
      <c r="B5" t="s">
        <v>280</v>
      </c>
      <c r="C5" s="35" t="s">
        <v>291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>
        <f>N5*(1+O6)</f>
        <v>21850.900000000005</v>
      </c>
      <c r="P5">
        <f t="shared" ref="P5:Z5" si="0">O5*(1+P6)</f>
        <v>22074.900000000005</v>
      </c>
      <c r="Q5">
        <f t="shared" si="0"/>
        <v>22394.500000000004</v>
      </c>
      <c r="R5">
        <f t="shared" si="0"/>
        <v>22692.200000000004</v>
      </c>
      <c r="S5">
        <f t="shared" si="0"/>
        <v>22973.900000000005</v>
      </c>
      <c r="T5">
        <f t="shared" si="0"/>
        <v>23206.500000000004</v>
      </c>
      <c r="U5">
        <f t="shared" si="0"/>
        <v>23456.200000000008</v>
      </c>
      <c r="V5">
        <f t="shared" si="0"/>
        <v>23702.600000000006</v>
      </c>
      <c r="W5">
        <f t="shared" si="0"/>
        <v>23929.400000000009</v>
      </c>
      <c r="X5">
        <f t="shared" si="0"/>
        <v>24183.200000000012</v>
      </c>
      <c r="Y5">
        <f t="shared" si="0"/>
        <v>24450.100000000009</v>
      </c>
      <c r="Z5">
        <f t="shared" si="0"/>
        <v>24725.200000000012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3">
      <c r="A6" s="169" t="s">
        <v>214</v>
      </c>
      <c r="C6" s="269"/>
      <c r="D6" s="269"/>
      <c r="F6" s="199"/>
      <c r="G6" s="200">
        <f>G5/F5-1</f>
        <v>9.8230981496802983E-3</v>
      </c>
      <c r="H6" s="200">
        <f t="shared" ref="H6:N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175">
        <v>1.7290905281780455E-2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35">
      <c r="A7" t="s">
        <v>260</v>
      </c>
      <c r="B7" t="s">
        <v>280</v>
      </c>
      <c r="C7" s="35" t="s">
        <v>292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>
        <f>N7*(1+O8)</f>
        <v>19060.3</v>
      </c>
      <c r="P7">
        <f t="shared" ref="P7:Z7" si="2">O7*(1+P8)</f>
        <v>19178.3</v>
      </c>
      <c r="Q7">
        <f t="shared" si="2"/>
        <v>19358.3</v>
      </c>
      <c r="R7">
        <f t="shared" si="2"/>
        <v>19530.8</v>
      </c>
      <c r="S7">
        <f t="shared" si="2"/>
        <v>19672</v>
      </c>
      <c r="T7">
        <f t="shared" si="2"/>
        <v>19778.299999999996</v>
      </c>
      <c r="U7">
        <f t="shared" si="2"/>
        <v>19896.399999999998</v>
      </c>
      <c r="V7">
        <f t="shared" si="2"/>
        <v>20006.799999999996</v>
      </c>
      <c r="W7">
        <f t="shared" si="2"/>
        <v>20099.999999999996</v>
      </c>
      <c r="X7">
        <f t="shared" si="2"/>
        <v>20212.699999999993</v>
      </c>
      <c r="Y7">
        <f t="shared" si="2"/>
        <v>20333.499999999993</v>
      </c>
      <c r="Z7">
        <f t="shared" si="2"/>
        <v>20456.999999999993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3">
      <c r="A8" s="169" t="s">
        <v>214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" si="8">N7/M7-1</f>
        <v>9.8835802435941478E-3</v>
      </c>
      <c r="O8" s="175">
        <v>1.4909240001490964E-2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35">
      <c r="F9" s="197"/>
      <c r="G9" s="197"/>
      <c r="H9" s="197"/>
      <c r="I9" s="197"/>
      <c r="J9" s="197"/>
      <c r="K9" s="197"/>
      <c r="L9" s="197"/>
      <c r="M9" s="301"/>
      <c r="N9" s="301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35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AD10" s="95"/>
      <c r="AE10" s="146"/>
      <c r="AI10" s="146"/>
      <c r="AJ10" s="146"/>
    </row>
    <row r="11" spans="1:43" x14ac:dyDescent="0.35">
      <c r="A11" s="176" t="s">
        <v>256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3313.2</v>
      </c>
      <c r="O11" s="167">
        <f t="shared" si="9"/>
        <v>3442.8797500000001</v>
      </c>
      <c r="P11" s="167">
        <f t="shared" si="9"/>
        <v>3475.6492951999999</v>
      </c>
      <c r="Q11" s="167">
        <f t="shared" si="9"/>
        <v>3508.8900570496003</v>
      </c>
      <c r="R11" s="167">
        <f t="shared" si="9"/>
        <v>3571.579403677184</v>
      </c>
      <c r="S11" s="167">
        <f t="shared" si="9"/>
        <v>3612.8068631467881</v>
      </c>
      <c r="T11" s="167">
        <f t="shared" si="9"/>
        <v>3654.6670638284013</v>
      </c>
      <c r="U11" s="167">
        <f t="shared" si="9"/>
        <v>3697.1751517988364</v>
      </c>
      <c r="V11" s="167">
        <f t="shared" si="9"/>
        <v>3771.1186548348132</v>
      </c>
      <c r="W11" s="168"/>
      <c r="AD11" s="95"/>
      <c r="AE11" s="146"/>
      <c r="AI11" s="146"/>
      <c r="AJ11" s="146"/>
    </row>
    <row r="12" spans="1:43" x14ac:dyDescent="0.35">
      <c r="A12" s="211" t="s">
        <v>25</v>
      </c>
      <c r="B12" t="s">
        <v>280</v>
      </c>
      <c r="C12" t="s">
        <v>293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NA'!$A$1:$J$34,10,0)</f>
        <v>1710.3</v>
      </c>
      <c r="O12" s="168">
        <f>N12*(1+O14)</f>
        <v>1816.3386</v>
      </c>
      <c r="P12" s="168">
        <f t="shared" ref="P12:U12" si="11">O12*(1+P14)</f>
        <v>1830.8693088</v>
      </c>
      <c r="Q12" s="168">
        <f t="shared" si="11"/>
        <v>1845.5162632704</v>
      </c>
      <c r="R12" s="168">
        <f t="shared" si="11"/>
        <v>1863.9714259031041</v>
      </c>
      <c r="S12" s="168">
        <f t="shared" si="11"/>
        <v>1882.6111401621351</v>
      </c>
      <c r="T12" s="168">
        <f t="shared" si="11"/>
        <v>1901.4372515637565</v>
      </c>
      <c r="U12" s="168">
        <f t="shared" si="11"/>
        <v>1920.4516240793942</v>
      </c>
      <c r="V12" s="168">
        <f>U12*(1+V14)</f>
        <v>1958.8606565609821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1800.7560430175999</v>
      </c>
      <c r="AF12" s="45">
        <f>AVERAGE(R12:U12)</f>
        <v>1892.1178604270976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35">
      <c r="A13" s="212" t="s">
        <v>376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175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35">
      <c r="A14" s="212" t="s">
        <v>372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175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35">
      <c r="A15" s="211" t="s">
        <v>26</v>
      </c>
      <c r="B15" t="s">
        <v>280</v>
      </c>
      <c r="C15" t="s">
        <v>294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168">
        <f>N15*(1+O17)</f>
        <v>163.32835</v>
      </c>
      <c r="P15" s="168">
        <f t="shared" ref="P15:V15" si="12">O15*(1+P17)</f>
        <v>169.86148400000002</v>
      </c>
      <c r="Q15" s="168">
        <f t="shared" si="12"/>
        <v>176.65594336000004</v>
      </c>
      <c r="R15" s="168">
        <f t="shared" si="12"/>
        <v>183.72218109440004</v>
      </c>
      <c r="S15" s="168">
        <f t="shared" si="12"/>
        <v>191.07106833817605</v>
      </c>
      <c r="T15" s="168">
        <f t="shared" si="12"/>
        <v>198.71391107170311</v>
      </c>
      <c r="U15" s="168">
        <f t="shared" si="12"/>
        <v>206.66246751457123</v>
      </c>
      <c r="V15" s="168">
        <f t="shared" si="12"/>
        <v>210.79571686486267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165.28644434</v>
      </c>
      <c r="AF15" s="45">
        <f>AVERAGE(R15:U15)</f>
        <v>195.04240700471263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35">
      <c r="A16" s="212" t="s">
        <v>376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35">
      <c r="A17" s="212" t="s">
        <v>214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175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35">
      <c r="A18" s="211" t="s">
        <v>27</v>
      </c>
      <c r="B18" t="s">
        <v>280</v>
      </c>
      <c r="C18" t="s">
        <v>295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NA'!$A$1:$J$34,10,0)</f>
        <v>1451.6</v>
      </c>
      <c r="O18" s="168">
        <f>N18*(1+O20)</f>
        <v>1463.2128</v>
      </c>
      <c r="P18" s="168">
        <f t="shared" ref="P18:V18" si="13">O18*(1+P20)</f>
        <v>1474.9185024000001</v>
      </c>
      <c r="Q18" s="168">
        <f t="shared" si="13"/>
        <v>1486.7178504192002</v>
      </c>
      <c r="R18" s="168">
        <f t="shared" si="13"/>
        <v>1523.88579667968</v>
      </c>
      <c r="S18" s="168">
        <f t="shared" si="13"/>
        <v>1539.1246546464768</v>
      </c>
      <c r="T18" s="168">
        <f t="shared" si="13"/>
        <v>1554.5159011929416</v>
      </c>
      <c r="U18" s="168">
        <f t="shared" si="13"/>
        <v>1570.061060204871</v>
      </c>
      <c r="V18" s="168">
        <f t="shared" si="13"/>
        <v>1601.4622814089685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1469.1122882047998</v>
      </c>
      <c r="AF18" s="45">
        <f>AVERAGE(R18:U18)</f>
        <v>1546.8968531809924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35">
      <c r="A19" s="212" t="s">
        <v>376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175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35">
      <c r="A20" s="212" t="s">
        <v>214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175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35">
      <c r="A21" s="176" t="s">
        <v>0</v>
      </c>
      <c r="B21" t="s">
        <v>280</v>
      </c>
      <c r="C21" t="s">
        <v>296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 s="168">
        <f>N21*(1+O23)</f>
        <v>215.35762499999996</v>
      </c>
      <c r="P21" s="168">
        <f t="shared" ref="P21" si="14">O21*(1+P23)</f>
        <v>218.58798937499992</v>
      </c>
      <c r="Q21" s="168">
        <f t="shared" ref="Q21" si="15">P21*(1+Q23)</f>
        <v>221.8668092156249</v>
      </c>
      <c r="R21" s="168">
        <f t="shared" ref="R21" si="16">Q21*(1+R23)</f>
        <v>235.1788177685624</v>
      </c>
      <c r="S21" s="168">
        <f t="shared" ref="S21" si="17">R21*(1+S23)</f>
        <v>249.28954683467614</v>
      </c>
      <c r="T21" s="168">
        <f t="shared" ref="T21" si="18">S21*(1+T23)</f>
        <v>264.2469196447567</v>
      </c>
      <c r="U21" s="168">
        <f t="shared" ref="U21:V21" si="19">T21*(1+U23)</f>
        <v>280.10173482344214</v>
      </c>
      <c r="V21" s="168">
        <f t="shared" si="19"/>
        <v>296.90783891284866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216.99685589765619</v>
      </c>
      <c r="AF21" s="45">
        <f>AVERAGE(R21:U21)</f>
        <v>257.20425476785931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35">
      <c r="A22" s="177" t="s">
        <v>376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175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35">
      <c r="A23" s="177" t="s">
        <v>214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175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35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175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35">
      <c r="A25" t="s">
        <v>262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175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35">
      <c r="A26" s="176" t="s">
        <v>263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1871.3489999999999</v>
      </c>
      <c r="O26" s="102">
        <f t="shared" si="20"/>
        <v>1903.7063183081548</v>
      </c>
      <c r="P26" s="102">
        <f t="shared" si="20"/>
        <v>1923.2217714611611</v>
      </c>
      <c r="Q26" s="102">
        <f t="shared" si="20"/>
        <v>1951.0661412276827</v>
      </c>
      <c r="R26" s="102">
        <f t="shared" si="20"/>
        <v>1977.0025269582627</v>
      </c>
      <c r="S26" s="102">
        <f t="shared" si="20"/>
        <v>2001.544951749343</v>
      </c>
      <c r="T26" s="102">
        <f t="shared" si="20"/>
        <v>2021.8096589073302</v>
      </c>
      <c r="U26" s="102">
        <f t="shared" si="20"/>
        <v>2043.5641618194095</v>
      </c>
      <c r="V26" s="102">
        <f t="shared" ref="V26" si="22">SUM(V27:V29)</f>
        <v>2065.0311602877164</v>
      </c>
    </row>
    <row r="27" spans="1:39" x14ac:dyDescent="0.35">
      <c r="A27" s="211" t="s">
        <v>22</v>
      </c>
      <c r="C27" t="s">
        <v>297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102">
        <f>N27*(1+O$6)</f>
        <v>515.35957261575004</v>
      </c>
      <c r="P27" s="102">
        <f t="shared" ref="P27:V27" si="23">O27*(1+P$6)</f>
        <v>520.64267510882485</v>
      </c>
      <c r="Q27" s="102">
        <f t="shared" si="23"/>
        <v>528.1805302730512</v>
      </c>
      <c r="R27" s="102">
        <f t="shared" si="23"/>
        <v>535.20186782746362</v>
      </c>
      <c r="S27" s="102">
        <f t="shared" si="23"/>
        <v>541.84584091808495</v>
      </c>
      <c r="T27" s="102">
        <f t="shared" si="23"/>
        <v>547.33177681044731</v>
      </c>
      <c r="U27" s="102">
        <f t="shared" si="23"/>
        <v>553.22102097348659</v>
      </c>
      <c r="V27" s="102">
        <f t="shared" si="23"/>
        <v>559.03243371586882</v>
      </c>
    </row>
    <row r="28" spans="1:39" x14ac:dyDescent="0.35">
      <c r="A28" s="211" t="s">
        <v>23</v>
      </c>
      <c r="C28" t="s">
        <v>298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102">
        <f>N28*(1+O$6)</f>
        <v>1367.7476221513539</v>
      </c>
      <c r="P28" s="102">
        <f t="shared" ref="P28:V28" si="24">O28*(1+P$6)</f>
        <v>1381.7688051397847</v>
      </c>
      <c r="Q28" s="102">
        <f t="shared" si="24"/>
        <v>1401.7740287250635</v>
      </c>
      <c r="R28" s="102">
        <f t="shared" si="24"/>
        <v>1420.4084312949558</v>
      </c>
      <c r="S28" s="102">
        <f t="shared" si="24"/>
        <v>1438.0413207942458</v>
      </c>
      <c r="T28" s="102">
        <f t="shared" si="24"/>
        <v>1452.6008170581251</v>
      </c>
      <c r="U28" s="102">
        <f t="shared" si="24"/>
        <v>1468.2306804162108</v>
      </c>
      <c r="V28" s="102">
        <f t="shared" si="24"/>
        <v>1483.6539817034845</v>
      </c>
    </row>
    <row r="29" spans="1:39" x14ac:dyDescent="0.35">
      <c r="A29" s="211" t="s">
        <v>24</v>
      </c>
      <c r="C29" t="s">
        <v>299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NA'!$A$1:$I$34,9,0)</f>
        <v>20.248999999999999</v>
      </c>
      <c r="O29" s="102">
        <f>N29*(1+O$6)</f>
        <v>20.599123541050773</v>
      </c>
      <c r="P29" s="102">
        <f t="shared" ref="P29:V29" si="25">O29*(1+P$6)</f>
        <v>20.810291212551505</v>
      </c>
      <c r="Q29" s="102">
        <f t="shared" si="25"/>
        <v>21.111582229567727</v>
      </c>
      <c r="R29" s="102">
        <f t="shared" si="25"/>
        <v>21.392227835843478</v>
      </c>
      <c r="S29" s="102">
        <f t="shared" si="25"/>
        <v>21.657790037012035</v>
      </c>
      <c r="T29" s="102">
        <f t="shared" si="25"/>
        <v>21.877065038757884</v>
      </c>
      <c r="U29" s="102">
        <f t="shared" si="25"/>
        <v>22.112460429712051</v>
      </c>
      <c r="V29" s="102">
        <f t="shared" si="25"/>
        <v>22.344744868362856</v>
      </c>
    </row>
    <row r="30" spans="1:39" x14ac:dyDescent="0.35">
      <c r="A30" s="176" t="s">
        <v>0</v>
      </c>
      <c r="C30" t="s">
        <v>300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>M30*(1+N6)</f>
        <v>91.517404099138886</v>
      </c>
      <c r="O30" s="102">
        <f>N30*(1+O6)</f>
        <v>93.099822865051522</v>
      </c>
      <c r="P30" s="102">
        <f t="shared" ref="P30:V30" si="26">O30*(1+P6)</f>
        <v>94.054216520313844</v>
      </c>
      <c r="Q30" s="102">
        <f t="shared" si="26"/>
        <v>95.415931753447055</v>
      </c>
      <c r="R30" s="102">
        <f t="shared" si="26"/>
        <v>96.684337964034526</v>
      </c>
      <c r="S30" s="102">
        <f t="shared" si="26"/>
        <v>97.88457319924612</v>
      </c>
      <c r="T30" s="102">
        <f t="shared" si="26"/>
        <v>98.875608753772966</v>
      </c>
      <c r="U30" s="102">
        <f t="shared" si="26"/>
        <v>99.939502038232803</v>
      </c>
      <c r="V30" s="102">
        <f t="shared" si="26"/>
        <v>100.98933505902134</v>
      </c>
    </row>
    <row r="31" spans="1:39" s="185" customFormat="1" ht="12" x14ac:dyDescent="0.3">
      <c r="A31" s="177" t="s">
        <v>264</v>
      </c>
      <c r="F31" s="209">
        <f t="shared" ref="F31:L31" si="27">F30/F21</f>
        <v>0.27055815935236471</v>
      </c>
      <c r="G31" s="209">
        <f t="shared" si="27"/>
        <v>0.32039289055191766</v>
      </c>
      <c r="H31" s="209">
        <f t="shared" si="27"/>
        <v>0.30642283675289922</v>
      </c>
      <c r="I31" s="209">
        <f t="shared" si="27"/>
        <v>0.34623015873015872</v>
      </c>
      <c r="J31" s="209">
        <f t="shared" si="27"/>
        <v>0.30909882455376581</v>
      </c>
      <c r="K31" s="209">
        <f t="shared" si="27"/>
        <v>0.3473684210526316</v>
      </c>
      <c r="L31" s="209">
        <f t="shared" si="27"/>
        <v>0.31603498542274056</v>
      </c>
      <c r="M31" s="209">
        <v>0.43574879227053143</v>
      </c>
      <c r="N31" s="209">
        <f t="shared" ref="N31" si="28">N30/N21</f>
        <v>0.43132981783498947</v>
      </c>
      <c r="O31" s="193"/>
      <c r="P31" s="193"/>
      <c r="Q31" s="193"/>
      <c r="R31" s="193"/>
      <c r="S31" s="193"/>
      <c r="T31" s="193"/>
      <c r="U31" s="193"/>
      <c r="AM31" s="234"/>
    </row>
    <row r="32" spans="1:39" s="170" customFormat="1" x14ac:dyDescent="0.35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175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35">
      <c r="F33" s="197"/>
      <c r="G33" s="197"/>
      <c r="H33" s="197"/>
      <c r="I33" s="197"/>
      <c r="J33" s="197"/>
      <c r="K33" s="197"/>
      <c r="L33" s="201"/>
      <c r="M33" s="301"/>
      <c r="N33" s="306"/>
      <c r="O33" s="8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x14ac:dyDescent="0.35">
      <c r="A34" s="86" t="s">
        <v>14</v>
      </c>
      <c r="B34" t="s">
        <v>280</v>
      </c>
      <c r="C34" t="s">
        <v>301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133">
        <f t="shared" ref="O34:U34" si="29">O35+O40+O50</f>
        <v>3270456.7169724014</v>
      </c>
      <c r="P34" s="133">
        <f t="shared" si="29"/>
        <v>2708796.7165770018</v>
      </c>
      <c r="Q34" s="133">
        <f t="shared" si="29"/>
        <v>2611509.6718853824</v>
      </c>
      <c r="R34" s="133">
        <f t="shared" si="29"/>
        <v>2678465.9441347551</v>
      </c>
      <c r="S34" s="133">
        <f t="shared" si="29"/>
        <v>2735176.6542439447</v>
      </c>
      <c r="T34" s="133">
        <f t="shared" si="29"/>
        <v>2793300.2519227522</v>
      </c>
      <c r="U34" s="133">
        <f t="shared" si="29"/>
        <v>2852876.3150512893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29</v>
      </c>
    </row>
    <row r="35" spans="1:39" x14ac:dyDescent="0.35">
      <c r="A35" s="86" t="s">
        <v>3</v>
      </c>
      <c r="B35" t="s">
        <v>280</v>
      </c>
      <c r="C35" t="s">
        <v>302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87">
        <f>N35*((($AJ$35/$AI$35)^0.25))+12000</f>
        <v>883132.91447240114</v>
      </c>
      <c r="P35" s="87">
        <f>O35*((($AJ$35/$AI$35)^0.25))+12000</f>
        <v>905947.84259575198</v>
      </c>
      <c r="Q35" s="87">
        <f>P35*((($AJ$35/$AI$35)^0.25))+12000</f>
        <v>929042.16445899184</v>
      </c>
      <c r="R35" s="87">
        <f>Q35*((($AK$35/$AJ$35)^0.25))+12000</f>
        <v>971421.42409696849</v>
      </c>
      <c r="S35" s="87">
        <f>R35*((($AK$35/$AJ$35)^0.25))</f>
        <v>1003186.4664055918</v>
      </c>
      <c r="T35" s="87">
        <f>S35*((($AK$35/$AJ$35)^0.25))</f>
        <v>1035990.2112668242</v>
      </c>
      <c r="U35" s="87">
        <f>T35*((($AK$35/$AJ$35)^0.25))</f>
        <v>1069866.6237855225</v>
      </c>
      <c r="V35" s="87">
        <f>U35*((($AL$35/$AK$35)^0.25))</f>
        <v>1080647.7677858607</v>
      </c>
      <c r="W35" s="87">
        <f>V35*((($AL$35/$AK$35)^0.25))</f>
        <v>1091537.5543621723</v>
      </c>
      <c r="X35" s="87">
        <f>W35*((($AL$35/$AK$35)^0.25))</f>
        <v>1102537.0783156503</v>
      </c>
      <c r="Y35" s="87">
        <f>X35*((($AL$35/$AK$35)^0.25))</f>
        <v>1113647.4454798999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894.67923038178628</v>
      </c>
      <c r="AF35" s="45">
        <f>AVERAGE(R35:U35)/1000</f>
        <v>1020.1161813887267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19</v>
      </c>
    </row>
    <row r="36" spans="1:39" x14ac:dyDescent="0.35">
      <c r="A36" s="93" t="s">
        <v>338</v>
      </c>
      <c r="B36" t="s">
        <v>280</v>
      </c>
      <c r="C36" t="s">
        <v>303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87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x14ac:dyDescent="0.35">
      <c r="A37" s="281" t="s">
        <v>339</v>
      </c>
      <c r="F37" s="202"/>
      <c r="G37" s="202"/>
      <c r="H37" s="202"/>
      <c r="I37" s="202"/>
      <c r="J37" s="202"/>
      <c r="K37" s="202"/>
      <c r="L37" s="202"/>
      <c r="M37" s="301"/>
      <c r="N37" s="315">
        <f>VLOOKUP($C$36,'Haver NA'!$A$1:$J$34,10,0)</f>
        <v>5000</v>
      </c>
      <c r="O37" s="275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x14ac:dyDescent="0.35">
      <c r="A38" s="281" t="s">
        <v>346</v>
      </c>
      <c r="F38" s="202"/>
      <c r="G38" s="202"/>
      <c r="H38" s="202"/>
      <c r="I38" s="202"/>
      <c r="J38" s="202"/>
      <c r="K38" s="202"/>
      <c r="L38" s="202"/>
      <c r="M38" s="301"/>
      <c r="N38" s="303"/>
      <c r="O38" s="275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x14ac:dyDescent="0.35">
      <c r="A39" s="281" t="s">
        <v>350</v>
      </c>
      <c r="F39" s="202"/>
      <c r="G39" s="202"/>
      <c r="H39" s="202"/>
      <c r="I39" s="202"/>
      <c r="J39" s="202"/>
      <c r="K39" s="202"/>
      <c r="L39" s="202"/>
      <c r="M39" s="301"/>
      <c r="N39" s="303"/>
      <c r="O39" s="275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x14ac:dyDescent="0.35">
      <c r="A40" s="86" t="s">
        <v>141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338269</v>
      </c>
      <c r="O40" s="87">
        <f t="shared" ref="O40:V40" si="30">O42+O46</f>
        <v>724000</v>
      </c>
      <c r="P40" s="87">
        <f t="shared" si="30"/>
        <v>152000</v>
      </c>
      <c r="Q40" s="87">
        <f t="shared" si="30"/>
        <v>44000</v>
      </c>
      <c r="R40" s="87">
        <f t="shared" si="30"/>
        <v>44000</v>
      </c>
      <c r="S40" s="87">
        <f t="shared" si="30"/>
        <v>44000</v>
      </c>
      <c r="T40" s="87">
        <f t="shared" si="30"/>
        <v>44000</v>
      </c>
      <c r="U40" s="87">
        <f t="shared" si="30"/>
        <v>44000</v>
      </c>
      <c r="V40" s="87">
        <f t="shared" si="30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314.56725</v>
      </c>
      <c r="AF40" s="45">
        <f t="shared" ref="AF40:AF50" si="31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x14ac:dyDescent="0.35">
      <c r="A41" s="115" t="s">
        <v>332</v>
      </c>
      <c r="B41" t="s">
        <v>280</v>
      </c>
      <c r="C41" t="s">
        <v>304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>
        <f>VLOOKUP($C$41,'Haver NA'!$A$1:$J$34,10,0)</f>
        <v>302369</v>
      </c>
      <c r="O41" s="87"/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x14ac:dyDescent="0.35">
      <c r="A42" s="117" t="s">
        <v>211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87">
        <f>SUM(O43:O45)</f>
        <v>664000</v>
      </c>
      <c r="P42" s="87">
        <f>SUM(P43:P45)</f>
        <v>108000</v>
      </c>
      <c r="Q42" s="87">
        <f t="shared" ref="Q42" si="32">Q43+Q44+Q45</f>
        <v>0</v>
      </c>
      <c r="R42" s="87">
        <f t="shared" ref="R42" si="33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x14ac:dyDescent="0.35">
      <c r="A43" s="270" t="s">
        <v>138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87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31"/>
        <v>0</v>
      </c>
      <c r="AG43" s="3"/>
      <c r="AI43" s="3"/>
      <c r="AJ43" s="3"/>
      <c r="AK43" s="3"/>
      <c r="AL43" s="3"/>
      <c r="AM43" s="182"/>
    </row>
    <row r="44" spans="1:39" x14ac:dyDescent="0.35">
      <c r="A44" s="270" t="s">
        <v>162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87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35">
      <c r="A45" s="273" t="s">
        <v>344</v>
      </c>
      <c r="F45" s="202"/>
      <c r="G45" s="202"/>
      <c r="H45" s="202"/>
      <c r="I45" s="202"/>
      <c r="J45" s="202"/>
      <c r="K45" s="202"/>
      <c r="L45" s="202"/>
      <c r="M45" s="301"/>
      <c r="N45" s="303"/>
      <c r="O45" s="275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x14ac:dyDescent="0.35">
      <c r="A46" s="117" t="s">
        <v>139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87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31"/>
        <v>44</v>
      </c>
      <c r="AG46" s="3"/>
      <c r="AI46" s="3"/>
      <c r="AJ46" s="3"/>
      <c r="AK46" s="3"/>
      <c r="AL46" s="3"/>
      <c r="AM46" s="182"/>
    </row>
    <row r="47" spans="1:39" s="107" customFormat="1" ht="29" x14ac:dyDescent="0.35">
      <c r="A47" s="325" t="s">
        <v>147</v>
      </c>
      <c r="F47" s="326"/>
      <c r="G47" s="326"/>
      <c r="H47" s="326"/>
      <c r="I47" s="326"/>
      <c r="J47" s="326">
        <v>0</v>
      </c>
      <c r="K47" s="326">
        <v>0</v>
      </c>
      <c r="L47" s="326">
        <f>SUM(L48:L49)</f>
        <v>179900</v>
      </c>
      <c r="M47" s="327">
        <v>85400</v>
      </c>
      <c r="N47" s="328">
        <f>SUM(N48:N49)</f>
        <v>45300</v>
      </c>
      <c r="O47" s="329">
        <f>SUM(O48:O49)</f>
        <v>53800</v>
      </c>
      <c r="P47" s="329">
        <f>SUM(P48:P49)</f>
        <v>43000</v>
      </c>
      <c r="Q47" s="329">
        <f>SUM(Q48:Q49)</f>
        <v>43000</v>
      </c>
      <c r="R47" s="329">
        <f>SUM(R48:R49)</f>
        <v>15000</v>
      </c>
      <c r="S47" s="329"/>
      <c r="T47" s="329"/>
      <c r="U47" s="329"/>
      <c r="V47" s="330"/>
      <c r="W47" s="330"/>
      <c r="X47" s="330"/>
      <c r="Y47" s="330"/>
      <c r="Z47" s="330"/>
      <c r="AA47" s="330"/>
      <c r="AB47" s="330"/>
      <c r="AC47" s="330"/>
      <c r="AD47" s="331">
        <f>AVERAGE(J47:M47)/1000</f>
        <v>66.325000000000003</v>
      </c>
      <c r="AE47" s="331">
        <f>AVERAGE(N47:Q47)/1000</f>
        <v>46.274999999999999</v>
      </c>
      <c r="AF47" s="331">
        <f t="shared" ref="AF47" si="34">AVERAGE(R47:U47)/1000</f>
        <v>15</v>
      </c>
      <c r="AG47" s="330"/>
      <c r="AI47" s="330">
        <f>'figuring out social benefits'!G48</f>
        <v>105</v>
      </c>
      <c r="AJ47" s="330"/>
      <c r="AK47" s="330"/>
      <c r="AL47" s="330"/>
      <c r="AM47" s="332"/>
    </row>
    <row r="48" spans="1:39" s="107" customFormat="1" x14ac:dyDescent="0.35">
      <c r="A48" s="333" t="s">
        <v>205</v>
      </c>
      <c r="B48" s="107" t="s">
        <v>280</v>
      </c>
      <c r="C48" s="107" t="s">
        <v>305</v>
      </c>
      <c r="F48" s="326"/>
      <c r="G48" s="326"/>
      <c r="H48" s="326"/>
      <c r="I48" s="326"/>
      <c r="J48" s="326"/>
      <c r="K48" s="326"/>
      <c r="L48" s="326">
        <v>19000</v>
      </c>
      <c r="M48" s="327">
        <v>27000</v>
      </c>
      <c r="N48" s="328">
        <f>VLOOKUP($C$48,'Haver NA'!$A$1:$J$34,10,0)</f>
        <v>10800</v>
      </c>
      <c r="O48" s="329">
        <v>10800</v>
      </c>
      <c r="P48" s="329">
        <v>0</v>
      </c>
      <c r="Q48" s="329">
        <v>0</v>
      </c>
      <c r="R48" s="329">
        <v>0</v>
      </c>
      <c r="S48" s="329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  <c r="AD48" s="329"/>
      <c r="AE48" s="329"/>
      <c r="AF48" s="329"/>
      <c r="AG48" s="329"/>
      <c r="AI48" s="330"/>
      <c r="AJ48" s="330"/>
      <c r="AK48" s="330"/>
      <c r="AL48" s="330"/>
      <c r="AM48" s="332"/>
    </row>
    <row r="49" spans="1:41" s="107" customFormat="1" x14ac:dyDescent="0.35">
      <c r="A49" s="333" t="s">
        <v>382</v>
      </c>
      <c r="B49" s="107" t="s">
        <v>280</v>
      </c>
      <c r="C49" s="107" t="s">
        <v>306</v>
      </c>
      <c r="F49" s="326"/>
      <c r="G49" s="326"/>
      <c r="H49" s="326"/>
      <c r="I49" s="326"/>
      <c r="J49" s="326"/>
      <c r="K49" s="326"/>
      <c r="L49" s="326">
        <v>160900</v>
      </c>
      <c r="M49" s="327">
        <v>58400</v>
      </c>
      <c r="N49" s="328">
        <f>VLOOKUP($C$49,'Haver NA'!$A$1:$J$34,10,0)</f>
        <v>34500</v>
      </c>
      <c r="O49" s="329">
        <v>43000</v>
      </c>
      <c r="P49" s="329">
        <v>43000</v>
      </c>
      <c r="Q49" s="329">
        <v>43000</v>
      </c>
      <c r="R49" s="329">
        <v>15000</v>
      </c>
      <c r="S49" s="329"/>
      <c r="T49" s="329"/>
      <c r="U49" s="329"/>
      <c r="V49" s="329"/>
      <c r="W49" s="329"/>
      <c r="X49" s="329"/>
      <c r="Y49" s="329"/>
      <c r="Z49" s="329"/>
      <c r="AA49" s="329"/>
      <c r="AB49" s="329"/>
      <c r="AC49" s="329"/>
      <c r="AD49" s="329"/>
      <c r="AE49" s="329"/>
      <c r="AF49" s="329"/>
      <c r="AG49" s="329"/>
      <c r="AI49" s="330"/>
      <c r="AJ49" s="330"/>
      <c r="AK49" s="330"/>
      <c r="AL49" s="330"/>
      <c r="AM49" s="332"/>
    </row>
    <row r="50" spans="1:41" ht="43.5" x14ac:dyDescent="0.35">
      <c r="A50" s="86" t="s">
        <v>149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1675893</v>
      </c>
      <c r="O50" s="88">
        <f>N50*(1+O52)</f>
        <v>1663323.8025</v>
      </c>
      <c r="P50" s="88">
        <f t="shared" ref="P50:Q50" si="35">O50*(1+P52)</f>
        <v>1650848.87398125</v>
      </c>
      <c r="Q50" s="88">
        <f t="shared" si="35"/>
        <v>1638467.5074263907</v>
      </c>
      <c r="R50" s="88">
        <f>Q50*(1+R52)</f>
        <v>1663044.5200377863</v>
      </c>
      <c r="S50" s="88">
        <f t="shared" ref="S50:U50" si="36">R50*(1+S52)</f>
        <v>1687990.187838353</v>
      </c>
      <c r="T50" s="88">
        <f t="shared" si="36"/>
        <v>1713310.0406559282</v>
      </c>
      <c r="U50" s="88">
        <f t="shared" si="36"/>
        <v>1739009.691265767</v>
      </c>
      <c r="V50" s="88">
        <f>U50*(1+V52)</f>
        <v>1756399.7881784246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1657.1332959769102</v>
      </c>
      <c r="AF50" s="45">
        <f t="shared" si="31"/>
        <v>1700.8386099494589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3">
      <c r="A51" s="169" t="s">
        <v>214</v>
      </c>
      <c r="C51" s="269"/>
      <c r="D51" s="269"/>
      <c r="F51" s="225"/>
      <c r="G51" s="227">
        <f>G50/F50-1</f>
        <v>4.3899160317375507E-2</v>
      </c>
      <c r="H51" s="227">
        <f t="shared" ref="H51:L51" si="37">H50/G50-1</f>
        <v>3.4867401440725754E-3</v>
      </c>
      <c r="I51" s="227">
        <f t="shared" si="37"/>
        <v>3.5163841628156334E-3</v>
      </c>
      <c r="J51" s="227">
        <f t="shared" si="37"/>
        <v>5.2735975988749129E-3</v>
      </c>
      <c r="K51" s="227">
        <f t="shared" si="37"/>
        <v>3.4509222105193249E-2</v>
      </c>
      <c r="L51" s="227">
        <f t="shared" si="37"/>
        <v>4.7166587697893059E-2</v>
      </c>
      <c r="M51" s="227">
        <v>1.2783825552366457E-2</v>
      </c>
      <c r="N51" s="227">
        <f t="shared" ref="N51" si="38">N50/M50-1</f>
        <v>3.6483389338011207E-3</v>
      </c>
      <c r="O51" s="226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35">
      <c r="A52" s="169" t="s">
        <v>268</v>
      </c>
      <c r="F52" s="207"/>
      <c r="G52" s="207"/>
      <c r="H52" s="207"/>
      <c r="I52" s="207"/>
      <c r="J52" s="200"/>
      <c r="K52" s="200"/>
      <c r="L52" s="200"/>
      <c r="M52" s="301"/>
      <c r="N52" s="302"/>
      <c r="O52" s="175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35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35">
      <c r="A54" s="141" t="s">
        <v>4</v>
      </c>
      <c r="B54" s="141" t="s">
        <v>280</v>
      </c>
      <c r="C54" t="s">
        <v>307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>
        <f>VLOOKUP($C$54,'Haver NA'!$A$1:$J$34,10,0)</f>
        <v>610536</v>
      </c>
      <c r="O54" s="144">
        <f t="shared" ref="O54:Z54" si="39">O55+AVERAGE($H$54:$K$54)</f>
        <v>794083.58333333337</v>
      </c>
      <c r="P54" s="144">
        <f t="shared" si="39"/>
        <v>794083.58333333337</v>
      </c>
      <c r="Q54" s="144">
        <f t="shared" si="39"/>
        <v>144083.58333333331</v>
      </c>
      <c r="R54" s="144">
        <f t="shared" si="39"/>
        <v>122750.25</v>
      </c>
      <c r="S54" s="144">
        <f t="shared" si="39"/>
        <v>77330.25</v>
      </c>
      <c r="T54" s="144">
        <f t="shared" si="39"/>
        <v>77330.25</v>
      </c>
      <c r="U54" s="144">
        <f t="shared" si="39"/>
        <v>77330.25</v>
      </c>
      <c r="V54" s="144">
        <f t="shared" si="39"/>
        <v>77330.25</v>
      </c>
      <c r="W54" s="144">
        <f t="shared" si="39"/>
        <v>74830.25</v>
      </c>
      <c r="X54" s="144">
        <f t="shared" si="39"/>
        <v>74830.25</v>
      </c>
      <c r="Y54" s="144">
        <f t="shared" si="39"/>
        <v>74830.25</v>
      </c>
      <c r="Z54" s="144">
        <f t="shared" si="39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x14ac:dyDescent="0.35">
      <c r="A55" s="134" t="s">
        <v>200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40">N57+N58+N63</f>
        <v>473700</v>
      </c>
      <c r="O55" s="116">
        <f>O57+O58+SUM(O63:O66)</f>
        <v>719253.33333333337</v>
      </c>
      <c r="P55" s="116">
        <f t="shared" ref="P55:V55" si="41">P57+P58+SUM(P63:P66)</f>
        <v>719253.33333333337</v>
      </c>
      <c r="Q55" s="116">
        <f t="shared" si="41"/>
        <v>69253.333333333328</v>
      </c>
      <c r="R55" s="116">
        <f t="shared" si="41"/>
        <v>47920</v>
      </c>
      <c r="S55" s="116">
        <f t="shared" si="41"/>
        <v>2500</v>
      </c>
      <c r="T55" s="116">
        <f t="shared" si="41"/>
        <v>2500</v>
      </c>
      <c r="U55" s="116">
        <f t="shared" si="41"/>
        <v>2500</v>
      </c>
      <c r="V55" s="116">
        <f t="shared" si="41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x14ac:dyDescent="0.35">
      <c r="A56" s="219" t="s">
        <v>336</v>
      </c>
      <c r="F56" s="197"/>
      <c r="G56" s="197"/>
      <c r="H56" s="197"/>
      <c r="I56" s="202"/>
      <c r="J56" s="202"/>
      <c r="K56" s="202"/>
      <c r="L56" s="202"/>
      <c r="M56" s="303"/>
      <c r="N56" s="308"/>
      <c r="O56" s="116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x14ac:dyDescent="0.35">
      <c r="A57" s="271" t="s">
        <v>334</v>
      </c>
      <c r="C57" t="s">
        <v>308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>
        <f>VLOOKUP($C$57,'Haver NA'!$A$1:$J$34,10,0)</f>
        <v>260300</v>
      </c>
      <c r="O57" s="116"/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35">
      <c r="A58" s="113" t="s">
        <v>271</v>
      </c>
      <c r="C58" t="s">
        <v>333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213400</v>
      </c>
      <c r="O58" s="116">
        <v>25420</v>
      </c>
      <c r="P58" s="116">
        <v>25420</v>
      </c>
      <c r="Q58" s="116">
        <v>25420</v>
      </c>
      <c r="R58" s="116">
        <v>25420</v>
      </c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35">
      <c r="A59" s="272" t="s">
        <v>281</v>
      </c>
      <c r="B59" s="185" t="s">
        <v>280</v>
      </c>
      <c r="C59" t="s">
        <v>309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>
        <f>VLOOKUP($C$59,'Haver NA'!$A$1:$J$34,10,0)</f>
        <v>100</v>
      </c>
      <c r="O59" s="254"/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35">
      <c r="A60" s="272" t="s">
        <v>282</v>
      </c>
      <c r="B60" s="185" t="s">
        <v>280</v>
      </c>
      <c r="C60" t="s">
        <v>310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>
        <f>VLOOKUP($C$60,'Haver NA'!$A$1:$J$34,10,0)</f>
        <v>73300</v>
      </c>
      <c r="O60" s="254"/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35">
      <c r="A61" s="272" t="s">
        <v>283</v>
      </c>
      <c r="B61" s="185" t="s">
        <v>280</v>
      </c>
      <c r="C61" t="s">
        <v>311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>
        <f>VLOOKUP($C$61,'Haver NA'!$A$1:$J$34,10,0)</f>
        <v>140000</v>
      </c>
      <c r="O61" s="254"/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x14ac:dyDescent="0.35">
      <c r="A62" s="219" t="s">
        <v>337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254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x14ac:dyDescent="0.35">
      <c r="A63" s="273" t="s">
        <v>335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79">
        <f>'Stimulus Round 2'!$C$2*4/2</f>
        <v>650000</v>
      </c>
      <c r="P63" s="279">
        <f>'Stimulus Round 2'!$C$2*4/2</f>
        <v>650000</v>
      </c>
      <c r="Q63" s="279"/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x14ac:dyDescent="0.35">
      <c r="A64" s="273" t="s">
        <v>348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79">
        <f>'Stimulus Round 2'!$C$12*4/3</f>
        <v>21333.333333333332</v>
      </c>
      <c r="P64" s="279">
        <f>'Stimulus Round 2'!$C$12*4/3</f>
        <v>21333.333333333332</v>
      </c>
      <c r="Q64" s="279">
        <f>'Stimulus Round 2'!$C$12*4/3</f>
        <v>21333.333333333332</v>
      </c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x14ac:dyDescent="0.35">
      <c r="A65" s="273" t="s">
        <v>282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79">
        <f>'Stimulus Round 2'!$C$18*4/4</f>
        <v>20000</v>
      </c>
      <c r="P65" s="279">
        <f>'Stimulus Round 2'!$C$18*4/4</f>
        <v>20000</v>
      </c>
      <c r="Q65" s="279">
        <f>'Stimulus Round 2'!$C$18*4/4</f>
        <v>20000</v>
      </c>
      <c r="R65" s="279">
        <f>'Stimulus Round 2'!$C$18*4/4</f>
        <v>20000</v>
      </c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x14ac:dyDescent="0.35">
      <c r="A66" s="273" t="s">
        <v>351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7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x14ac:dyDescent="0.35">
      <c r="A67" s="134"/>
      <c r="F67" s="197"/>
      <c r="G67" s="197"/>
      <c r="H67" s="197"/>
      <c r="I67" s="202"/>
      <c r="J67" s="202"/>
      <c r="K67" s="202"/>
      <c r="L67" s="202"/>
      <c r="M67" s="301"/>
      <c r="N67" s="308"/>
      <c r="O67" s="116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M67" s="233"/>
    </row>
    <row r="68" spans="1:39" s="35" customFormat="1" x14ac:dyDescent="0.35">
      <c r="A68" s="35" t="s">
        <v>16</v>
      </c>
      <c r="B68" s="35" t="s">
        <v>280</v>
      </c>
      <c r="C68" t="s">
        <v>312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>
        <f>VLOOKUP($C$68,'Haver NA'!$A$1:$J$34,10,0)</f>
        <v>738144</v>
      </c>
      <c r="O68" s="116"/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35">
      <c r="C69"/>
      <c r="D69"/>
      <c r="F69" s="197"/>
      <c r="G69" s="197"/>
      <c r="H69" s="197"/>
      <c r="I69" s="202"/>
      <c r="J69" s="202"/>
      <c r="K69" s="202"/>
      <c r="L69" s="202">
        <f>L72-L75-L76-L77</f>
        <v>562900</v>
      </c>
      <c r="M69" s="301"/>
      <c r="N69" s="308"/>
      <c r="O69" s="116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M69" s="233"/>
    </row>
    <row r="70" spans="1:39" s="35" customFormat="1" x14ac:dyDescent="0.35">
      <c r="A70" s="35" t="s">
        <v>227</v>
      </c>
      <c r="F70" s="203">
        <f t="shared" ref="F70:L70" si="42">F68-F93</f>
        <v>196851</v>
      </c>
      <c r="G70" s="203">
        <f t="shared" si="42"/>
        <v>189684</v>
      </c>
      <c r="H70" s="203">
        <f t="shared" si="42"/>
        <v>192875</v>
      </c>
      <c r="I70" s="203">
        <f t="shared" si="42"/>
        <v>191507</v>
      </c>
      <c r="J70" s="203">
        <f t="shared" si="42"/>
        <v>203997</v>
      </c>
      <c r="K70" s="203">
        <f t="shared" si="42"/>
        <v>204376</v>
      </c>
      <c r="L70" s="203">
        <f t="shared" si="42"/>
        <v>884250</v>
      </c>
      <c r="M70" s="301">
        <v>242100</v>
      </c>
      <c r="N70" s="308">
        <f>N68-N93</f>
        <v>225951</v>
      </c>
      <c r="O70" s="116"/>
      <c r="P70" s="116"/>
      <c r="Q70" s="116"/>
      <c r="R70" s="1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33"/>
    </row>
    <row r="71" spans="1:39" s="35" customFormat="1" x14ac:dyDescent="0.35">
      <c r="A71" s="136" t="s">
        <v>228</v>
      </c>
      <c r="F71" s="197"/>
      <c r="G71" s="197"/>
      <c r="H71" s="197"/>
      <c r="I71" s="202"/>
      <c r="J71" s="202"/>
      <c r="K71" s="202"/>
      <c r="L71" s="202">
        <f>L70-L72</f>
        <v>193550</v>
      </c>
      <c r="M71" s="303">
        <v>203600</v>
      </c>
      <c r="N71" s="308">
        <f>N70-N72</f>
        <v>196951</v>
      </c>
      <c r="O71" s="116">
        <f t="shared" ref="O71:Z71" si="43">N71*(1+O87)</f>
        <v>197738.804</v>
      </c>
      <c r="P71" s="116">
        <f t="shared" si="43"/>
        <v>198529.75921600001</v>
      </c>
      <c r="Q71" s="116">
        <f t="shared" si="43"/>
        <v>199323.878252864</v>
      </c>
      <c r="R71" s="116">
        <f t="shared" si="43"/>
        <v>200121.17376587546</v>
      </c>
      <c r="S71" s="116">
        <f t="shared" si="43"/>
        <v>200921.65846093895</v>
      </c>
      <c r="T71" s="116">
        <f t="shared" si="43"/>
        <v>201725.34509478271</v>
      </c>
      <c r="U71" s="116">
        <f t="shared" si="43"/>
        <v>202532.24647516184</v>
      </c>
      <c r="V71" s="116">
        <f t="shared" si="43"/>
        <v>203342.37546106247</v>
      </c>
      <c r="W71" s="116">
        <f t="shared" si="43"/>
        <v>204155.74496290673</v>
      </c>
      <c r="X71" s="116">
        <f t="shared" si="43"/>
        <v>204972.36794275834</v>
      </c>
      <c r="Y71" s="116">
        <f t="shared" si="43"/>
        <v>205792.25741452936</v>
      </c>
      <c r="Z71" s="116">
        <f t="shared" si="43"/>
        <v>206615.42644418747</v>
      </c>
      <c r="AA71" s="44"/>
      <c r="AB71" s="44"/>
      <c r="AC71" s="44"/>
      <c r="AD71" s="44"/>
      <c r="AE71" s="44"/>
      <c r="AF71" s="44"/>
      <c r="AG71" s="44"/>
      <c r="AM71" s="233"/>
    </row>
    <row r="72" spans="1:39" s="138" customFormat="1" x14ac:dyDescent="0.35">
      <c r="A72" s="137" t="s">
        <v>208</v>
      </c>
      <c r="B72" s="138" t="s">
        <v>280</v>
      </c>
      <c r="C72" t="s">
        <v>313</v>
      </c>
      <c r="D72"/>
      <c r="F72" s="204"/>
      <c r="G72" s="204"/>
      <c r="H72" s="204"/>
      <c r="I72" s="205"/>
      <c r="J72" s="205"/>
      <c r="K72" s="205"/>
      <c r="L72" s="205">
        <f>597.9*1000 +L77+L76</f>
        <v>690700</v>
      </c>
      <c r="M72" s="205">
        <f>M75+M76+M77</f>
        <v>84200</v>
      </c>
      <c r="N72" s="205">
        <f>VLOOKUP($C$72,'Haver NA'!$A$1:$J$34,10,0)</f>
        <v>29000</v>
      </c>
      <c r="O72" s="139"/>
      <c r="P72" s="139"/>
      <c r="Q72" s="139"/>
      <c r="R72" s="139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M72" s="236"/>
    </row>
    <row r="73" spans="1:39" s="35" customFormat="1" x14ac:dyDescent="0.35">
      <c r="A73" s="134" t="s">
        <v>209</v>
      </c>
      <c r="F73" s="197"/>
      <c r="G73" s="197"/>
      <c r="H73" s="197"/>
      <c r="I73" s="202"/>
      <c r="J73" s="202"/>
      <c r="K73" s="202"/>
      <c r="L73" s="206">
        <f>SUM(L75:L77)</f>
        <v>127800</v>
      </c>
      <c r="M73" s="206">
        <f>SUM(M75:M77)</f>
        <v>84200</v>
      </c>
      <c r="N73" s="206">
        <f>SUM(N75:N77)</f>
        <v>89000</v>
      </c>
      <c r="O73" s="116">
        <f t="shared" ref="O73:Z73" si="44">O74+O78</f>
        <v>165000</v>
      </c>
      <c r="P73" s="116">
        <f t="shared" si="44"/>
        <v>109000</v>
      </c>
      <c r="Q73" s="116">
        <f t="shared" si="44"/>
        <v>109000</v>
      </c>
      <c r="R73" s="116">
        <f t="shared" si="44"/>
        <v>109000</v>
      </c>
      <c r="S73" s="116">
        <f t="shared" si="44"/>
        <v>109000</v>
      </c>
      <c r="T73" s="116">
        <f t="shared" si="44"/>
        <v>109000</v>
      </c>
      <c r="U73" s="116">
        <f t="shared" si="44"/>
        <v>109000</v>
      </c>
      <c r="V73" s="116">
        <f t="shared" si="44"/>
        <v>109000</v>
      </c>
      <c r="W73" s="116">
        <f t="shared" si="44"/>
        <v>109000</v>
      </c>
      <c r="X73" s="116">
        <f t="shared" si="44"/>
        <v>59000</v>
      </c>
      <c r="Y73" s="116">
        <f t="shared" si="44"/>
        <v>59000</v>
      </c>
      <c r="Z73" s="116">
        <f t="shared" si="44"/>
        <v>59000</v>
      </c>
      <c r="AA73" s="116"/>
      <c r="AB73" s="116"/>
      <c r="AC73" s="44"/>
      <c r="AD73" s="44"/>
      <c r="AE73" s="44"/>
      <c r="AF73" s="44"/>
      <c r="AG73" s="44"/>
      <c r="AM73" s="233"/>
    </row>
    <row r="74" spans="1:39" s="35" customFormat="1" x14ac:dyDescent="0.35">
      <c r="A74" s="219" t="s">
        <v>340</v>
      </c>
      <c r="F74" s="197"/>
      <c r="G74" s="197"/>
      <c r="H74" s="197"/>
      <c r="I74" s="202"/>
      <c r="J74" s="202"/>
      <c r="K74" s="202"/>
      <c r="L74" s="206"/>
      <c r="M74" s="301"/>
      <c r="N74" s="308"/>
      <c r="O74" s="116">
        <f t="shared" ref="O74:Z74" si="45">SUM(O75:O77)</f>
        <v>106000</v>
      </c>
      <c r="P74" s="116">
        <f t="shared" si="45"/>
        <v>50000</v>
      </c>
      <c r="Q74" s="116">
        <f t="shared" si="45"/>
        <v>50000</v>
      </c>
      <c r="R74" s="116">
        <f t="shared" si="45"/>
        <v>50000</v>
      </c>
      <c r="S74" s="116">
        <f t="shared" si="45"/>
        <v>50000</v>
      </c>
      <c r="T74" s="116">
        <f t="shared" si="45"/>
        <v>50000</v>
      </c>
      <c r="U74" s="116">
        <f t="shared" si="45"/>
        <v>50000</v>
      </c>
      <c r="V74" s="116">
        <f t="shared" si="45"/>
        <v>50000</v>
      </c>
      <c r="W74" s="116">
        <f t="shared" si="45"/>
        <v>50000</v>
      </c>
      <c r="X74" s="116">
        <f t="shared" si="45"/>
        <v>0</v>
      </c>
      <c r="Y74" s="116">
        <f t="shared" si="45"/>
        <v>0</v>
      </c>
      <c r="Z74" s="116">
        <f t="shared" si="45"/>
        <v>0</v>
      </c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35">
      <c r="A75" s="113" t="s">
        <v>197</v>
      </c>
      <c r="B75" s="35" t="s">
        <v>280</v>
      </c>
      <c r="C75" s="35" t="s">
        <v>377</v>
      </c>
      <c r="F75" s="197"/>
      <c r="G75" s="197"/>
      <c r="H75" s="197"/>
      <c r="I75" s="202"/>
      <c r="J75" s="202"/>
      <c r="K75" s="202"/>
      <c r="L75" s="206">
        <v>35000</v>
      </c>
      <c r="M75" s="301">
        <v>45000</v>
      </c>
      <c r="N75" s="308">
        <v>60000</v>
      </c>
      <c r="O75" s="116">
        <v>60000</v>
      </c>
      <c r="P75" s="116">
        <v>50000</v>
      </c>
      <c r="Q75" s="116">
        <v>50000</v>
      </c>
      <c r="R75" s="116">
        <v>50000</v>
      </c>
      <c r="S75" s="116">
        <v>50000</v>
      </c>
      <c r="T75" s="116">
        <v>50000</v>
      </c>
      <c r="U75" s="116">
        <v>50000</v>
      </c>
      <c r="V75" s="116">
        <v>50000</v>
      </c>
      <c r="W75" s="116">
        <v>50000</v>
      </c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107" customFormat="1" x14ac:dyDescent="0.35">
      <c r="A76" s="334" t="s">
        <v>381</v>
      </c>
      <c r="B76" s="107" t="s">
        <v>280</v>
      </c>
      <c r="C76" s="107" t="s">
        <v>378</v>
      </c>
      <c r="F76" s="335"/>
      <c r="G76" s="335"/>
      <c r="H76" s="335"/>
      <c r="I76" s="326"/>
      <c r="J76" s="326"/>
      <c r="K76" s="326"/>
      <c r="L76" s="326">
        <v>28400</v>
      </c>
      <c r="M76" s="327">
        <v>15800</v>
      </c>
      <c r="N76" s="336">
        <v>15200</v>
      </c>
      <c r="O76" s="337">
        <v>28900</v>
      </c>
      <c r="P76" s="337">
        <v>0</v>
      </c>
      <c r="Q76" s="337">
        <v>0</v>
      </c>
      <c r="R76" s="337">
        <v>0</v>
      </c>
      <c r="S76" s="330"/>
      <c r="T76" s="330"/>
      <c r="U76" s="330"/>
      <c r="V76" s="330"/>
      <c r="W76" s="330"/>
      <c r="X76" s="330"/>
      <c r="Y76" s="330"/>
      <c r="Z76" s="330"/>
      <c r="AA76" s="330"/>
      <c r="AB76" s="330"/>
      <c r="AC76" s="330"/>
      <c r="AD76" s="330"/>
      <c r="AE76" s="330"/>
      <c r="AF76" s="330"/>
      <c r="AG76" s="330"/>
      <c r="AM76" s="338"/>
    </row>
    <row r="77" spans="1:39" s="107" customFormat="1" x14ac:dyDescent="0.35">
      <c r="A77" s="334" t="s">
        <v>201</v>
      </c>
      <c r="B77" s="107" t="s">
        <v>280</v>
      </c>
      <c r="C77" s="107" t="s">
        <v>379</v>
      </c>
      <c r="F77" s="335"/>
      <c r="G77" s="335"/>
      <c r="H77" s="335"/>
      <c r="I77" s="326"/>
      <c r="J77" s="326"/>
      <c r="K77" s="326"/>
      <c r="L77" s="326">
        <v>64400</v>
      </c>
      <c r="M77" s="339">
        <v>23400</v>
      </c>
      <c r="N77" s="336">
        <v>13800</v>
      </c>
      <c r="O77" s="337">
        <v>17100</v>
      </c>
      <c r="P77" s="337"/>
      <c r="Q77" s="337"/>
      <c r="R77" s="337"/>
      <c r="S77" s="330"/>
      <c r="T77" s="330"/>
      <c r="U77" s="330"/>
      <c r="V77" s="330"/>
      <c r="W77" s="330"/>
      <c r="X77" s="330"/>
      <c r="Y77" s="330"/>
      <c r="Z77" s="330"/>
      <c r="AA77" s="330"/>
      <c r="AB77" s="330"/>
      <c r="AC77" s="330"/>
      <c r="AD77" s="330"/>
      <c r="AE77" s="330"/>
      <c r="AF77" s="330"/>
      <c r="AG77" s="330"/>
      <c r="AM77" s="338"/>
    </row>
    <row r="78" spans="1:39" s="35" customFormat="1" x14ac:dyDescent="0.35">
      <c r="A78" s="220" t="s">
        <v>341</v>
      </c>
      <c r="F78" s="197"/>
      <c r="G78" s="197"/>
      <c r="H78" s="197"/>
      <c r="I78" s="202"/>
      <c r="J78" s="202"/>
      <c r="K78" s="202"/>
      <c r="L78" s="202"/>
      <c r="M78" s="301"/>
      <c r="N78" s="308"/>
      <c r="O78" s="116">
        <f>SUM(O79:O82)</f>
        <v>59000</v>
      </c>
      <c r="P78" s="116">
        <f t="shared" ref="P78:Z78" si="46">SUM(P79:P82)</f>
        <v>59000</v>
      </c>
      <c r="Q78" s="116">
        <f t="shared" si="46"/>
        <v>59000</v>
      </c>
      <c r="R78" s="116">
        <f t="shared" si="46"/>
        <v>59000</v>
      </c>
      <c r="S78" s="116">
        <f t="shared" si="46"/>
        <v>59000</v>
      </c>
      <c r="T78" s="116">
        <f t="shared" si="46"/>
        <v>59000</v>
      </c>
      <c r="U78" s="116">
        <f t="shared" si="46"/>
        <v>59000</v>
      </c>
      <c r="V78" s="116">
        <f t="shared" si="46"/>
        <v>59000</v>
      </c>
      <c r="W78" s="116">
        <f t="shared" si="46"/>
        <v>59000</v>
      </c>
      <c r="X78" s="116">
        <f t="shared" si="46"/>
        <v>59000</v>
      </c>
      <c r="Y78" s="116">
        <f t="shared" si="46"/>
        <v>59000</v>
      </c>
      <c r="Z78" s="116">
        <f t="shared" si="46"/>
        <v>59000</v>
      </c>
      <c r="AA78" s="116"/>
      <c r="AB78" s="44"/>
      <c r="AC78" s="44"/>
      <c r="AD78" s="44"/>
      <c r="AE78" s="44"/>
      <c r="AF78" s="44"/>
      <c r="AG78" s="44"/>
      <c r="AM78" s="233"/>
    </row>
    <row r="79" spans="1:39" s="274" customFormat="1" x14ac:dyDescent="0.35">
      <c r="A79" s="282" t="s">
        <v>342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79">
        <f>'Stimulus Round 2'!$C$13*4/12</f>
        <v>9666.6666666666661</v>
      </c>
      <c r="P79" s="279">
        <f>'Stimulus Round 2'!$C$13*4/12</f>
        <v>9666.6666666666661</v>
      </c>
      <c r="Q79" s="279">
        <f>'Stimulus Round 2'!$C$13*4/12</f>
        <v>9666.6666666666661</v>
      </c>
      <c r="R79" s="279">
        <f>'Stimulus Round 2'!$C$13*4/12</f>
        <v>9666.6666666666661</v>
      </c>
      <c r="S79" s="279">
        <f>'Stimulus Round 2'!$C$13*4/12</f>
        <v>9666.6666666666661</v>
      </c>
      <c r="T79" s="279">
        <f>'Stimulus Round 2'!$C$13*4/12</f>
        <v>9666.6666666666661</v>
      </c>
      <c r="U79" s="279">
        <f>'Stimulus Round 2'!$C$13*4/12</f>
        <v>9666.6666666666661</v>
      </c>
      <c r="V79" s="279">
        <f>'Stimulus Round 2'!$C$13*4/12</f>
        <v>9666.6666666666661</v>
      </c>
      <c r="W79" s="279">
        <f>'Stimulus Round 2'!$C$13*4/12</f>
        <v>9666.6666666666661</v>
      </c>
      <c r="X79" s="279">
        <f>'Stimulus Round 2'!$C$13*4/12</f>
        <v>9666.6666666666661</v>
      </c>
      <c r="Y79" s="279">
        <f>'Stimulus Round 2'!$C$13*4/12</f>
        <v>9666.6666666666661</v>
      </c>
      <c r="Z79" s="279">
        <f>'Stimulus Round 2'!$C$13*4/12</f>
        <v>9666.6666666666661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35">
      <c r="A80" s="282" t="s">
        <v>343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79">
        <f>'Stimulus Round 2'!$C$5*4/12</f>
        <v>27333.333333333332</v>
      </c>
      <c r="P80" s="279">
        <f>'Stimulus Round 2'!$C$5*4/12</f>
        <v>27333.333333333332</v>
      </c>
      <c r="Q80" s="279">
        <f>'Stimulus Round 2'!$C$5*4/12</f>
        <v>27333.333333333332</v>
      </c>
      <c r="R80" s="279">
        <f>'Stimulus Round 2'!$C$5*4/12</f>
        <v>27333.333333333332</v>
      </c>
      <c r="S80" s="279">
        <f>'Stimulus Round 2'!$C$5*4/12</f>
        <v>27333.333333333332</v>
      </c>
      <c r="T80" s="279">
        <f>'Stimulus Round 2'!$C$5*4/12</f>
        <v>27333.333333333332</v>
      </c>
      <c r="U80" s="279">
        <f>'Stimulus Round 2'!$C$5*4/12</f>
        <v>27333.333333333332</v>
      </c>
      <c r="V80" s="279">
        <f>'Stimulus Round 2'!$C$5*4/12</f>
        <v>27333.333333333332</v>
      </c>
      <c r="W80" s="279">
        <f>'Stimulus Round 2'!$C$5*4/12</f>
        <v>27333.333333333332</v>
      </c>
      <c r="X80" s="279">
        <f>'Stimulus Round 2'!$C$5*4/12</f>
        <v>27333.333333333332</v>
      </c>
      <c r="Y80" s="279">
        <f>'Stimulus Round 2'!$C$5*4/12</f>
        <v>27333.333333333332</v>
      </c>
      <c r="Z80" s="279">
        <f>'Stimulus Round 2'!$C$5*4/12</f>
        <v>27333.333333333332</v>
      </c>
      <c r="AA80" s="276"/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35">
      <c r="A81" s="282" t="s">
        <v>347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79">
        <f>'Stimulus Round 2'!$C$10*4/12</f>
        <v>4000</v>
      </c>
      <c r="P81" s="279">
        <f>'Stimulus Round 2'!$C$10*4/12</f>
        <v>4000</v>
      </c>
      <c r="Q81" s="279">
        <f>'Stimulus Round 2'!$C$10*4/12</f>
        <v>4000</v>
      </c>
      <c r="R81" s="279">
        <f>'Stimulus Round 2'!$C$10*4/12</f>
        <v>4000</v>
      </c>
      <c r="S81" s="279">
        <f>'Stimulus Round 2'!$C$10*4/12</f>
        <v>4000</v>
      </c>
      <c r="T81" s="279">
        <f>'Stimulus Round 2'!$C$10*4/12</f>
        <v>4000</v>
      </c>
      <c r="U81" s="279">
        <f>'Stimulus Round 2'!$C$10*4/12</f>
        <v>4000</v>
      </c>
      <c r="V81" s="279">
        <f>'Stimulus Round 2'!$C$10*4/12</f>
        <v>4000</v>
      </c>
      <c r="W81" s="279">
        <f>'Stimulus Round 2'!$C$10*4/12</f>
        <v>4000</v>
      </c>
      <c r="X81" s="279">
        <f>'Stimulus Round 2'!$C$10*4/12</f>
        <v>4000</v>
      </c>
      <c r="Y81" s="279">
        <f>'Stimulus Round 2'!$C$10*4/12</f>
        <v>4000</v>
      </c>
      <c r="Z81" s="279">
        <f>'Stimulus Round 2'!$C$10*4/12</f>
        <v>4000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274" customFormat="1" x14ac:dyDescent="0.35">
      <c r="A82" s="282" t="s">
        <v>349</v>
      </c>
      <c r="F82" s="197"/>
      <c r="G82" s="197"/>
      <c r="H82" s="197"/>
      <c r="I82" s="202"/>
      <c r="J82" s="202"/>
      <c r="K82" s="202"/>
      <c r="L82" s="202"/>
      <c r="M82" s="301"/>
      <c r="N82" s="308"/>
      <c r="O82" s="279">
        <f>'Stimulus Round 2'!$C$16*4/12</f>
        <v>18000</v>
      </c>
      <c r="P82" s="279">
        <f>'Stimulus Round 2'!$C$16*4/12</f>
        <v>18000</v>
      </c>
      <c r="Q82" s="279">
        <f>'Stimulus Round 2'!$C$16*4/12</f>
        <v>18000</v>
      </c>
      <c r="R82" s="279">
        <f>'Stimulus Round 2'!$C$16*4/12</f>
        <v>18000</v>
      </c>
      <c r="S82" s="279">
        <f>'Stimulus Round 2'!$C$16*4/12</f>
        <v>18000</v>
      </c>
      <c r="T82" s="279">
        <f>'Stimulus Round 2'!$C$16*4/12</f>
        <v>18000</v>
      </c>
      <c r="U82" s="279">
        <f>'Stimulus Round 2'!$C$16*4/12</f>
        <v>18000</v>
      </c>
      <c r="V82" s="279">
        <f>'Stimulus Round 2'!$C$16*4/12</f>
        <v>18000</v>
      </c>
      <c r="W82" s="279">
        <f>'Stimulus Round 2'!$C$16*4/12</f>
        <v>18000</v>
      </c>
      <c r="X82" s="279">
        <f>'Stimulus Round 2'!$C$16*4/12</f>
        <v>18000</v>
      </c>
      <c r="Y82" s="279">
        <f>'Stimulus Round 2'!$C$16*4/12</f>
        <v>18000</v>
      </c>
      <c r="Z82" s="279">
        <f>'Stimulus Round 2'!$C$16*4/12</f>
        <v>18000</v>
      </c>
      <c r="AA82" s="276"/>
      <c r="AB82" s="276"/>
      <c r="AC82" s="276"/>
      <c r="AD82" s="276"/>
      <c r="AE82" s="276"/>
      <c r="AF82" s="276"/>
      <c r="AG82" s="276"/>
      <c r="AM82" s="280"/>
    </row>
    <row r="83" spans="1:39" s="35" customFormat="1" x14ac:dyDescent="0.35">
      <c r="A83" s="145" t="s">
        <v>216</v>
      </c>
      <c r="B83" s="141"/>
      <c r="E83" s="141"/>
      <c r="F83" s="197"/>
      <c r="G83" s="197"/>
      <c r="H83" s="197"/>
      <c r="I83" s="202"/>
      <c r="J83" s="202"/>
      <c r="K83" s="202">
        <f>K68-K93</f>
        <v>204376</v>
      </c>
      <c r="L83" s="206">
        <f t="shared" ref="L83:Z83" si="47">L71+L73</f>
        <v>321350</v>
      </c>
      <c r="M83" s="206">
        <f t="shared" si="47"/>
        <v>287800</v>
      </c>
      <c r="N83" s="308">
        <f t="shared" si="47"/>
        <v>285951</v>
      </c>
      <c r="O83" s="144">
        <f t="shared" si="47"/>
        <v>362738.804</v>
      </c>
      <c r="P83" s="144">
        <f t="shared" si="47"/>
        <v>307529.75921599998</v>
      </c>
      <c r="Q83" s="144">
        <f t="shared" si="47"/>
        <v>308323.878252864</v>
      </c>
      <c r="R83" s="144">
        <f t="shared" si="47"/>
        <v>309121.17376587546</v>
      </c>
      <c r="S83" s="144">
        <f t="shared" si="47"/>
        <v>309921.65846093895</v>
      </c>
      <c r="T83" s="144">
        <f t="shared" si="47"/>
        <v>310725.34509478271</v>
      </c>
      <c r="U83" s="144">
        <f t="shared" si="47"/>
        <v>311532.24647516187</v>
      </c>
      <c r="V83" s="144">
        <f t="shared" si="47"/>
        <v>312342.37546106247</v>
      </c>
      <c r="W83" s="144">
        <f t="shared" si="47"/>
        <v>313155.7449629067</v>
      </c>
      <c r="X83" s="144">
        <f t="shared" si="47"/>
        <v>263972.36794275837</v>
      </c>
      <c r="Y83" s="144">
        <f t="shared" si="47"/>
        <v>264792.25741452933</v>
      </c>
      <c r="Z83" s="144">
        <f t="shared" si="47"/>
        <v>265615.42644418747</v>
      </c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35">
      <c r="F84" s="197"/>
      <c r="G84" s="197"/>
      <c r="H84" s="197"/>
      <c r="I84" s="197"/>
      <c r="J84" s="197"/>
      <c r="K84" s="197"/>
      <c r="L84" s="203"/>
      <c r="M84" s="301"/>
      <c r="N84" s="310"/>
      <c r="O84" s="135"/>
      <c r="P84" s="135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M84" s="233"/>
    </row>
    <row r="85" spans="1:39" s="35" customFormat="1" x14ac:dyDescent="0.35">
      <c r="A85" s="35" t="s">
        <v>17</v>
      </c>
      <c r="B85" s="35" t="s">
        <v>280</v>
      </c>
      <c r="C85" t="s">
        <v>314</v>
      </c>
      <c r="D85"/>
      <c r="F85" s="206">
        <v>1241.5999999999999</v>
      </c>
      <c r="G85" s="206">
        <v>1245.8</v>
      </c>
      <c r="H85" s="206">
        <v>1473.6</v>
      </c>
      <c r="I85" s="206">
        <v>1288.5</v>
      </c>
      <c r="J85" s="206">
        <v>1301.0999999999999</v>
      </c>
      <c r="K85" s="206">
        <v>1306.0999999999999</v>
      </c>
      <c r="L85" s="206">
        <v>1360.1</v>
      </c>
      <c r="M85" s="301">
        <v>1335.133</v>
      </c>
      <c r="N85" s="308">
        <f>VLOOKUP($C$85,'Haver NA'!$A$1:$J$34,10,0)/1000</f>
        <v>1333.307</v>
      </c>
      <c r="O85" s="116"/>
      <c r="P85" s="116"/>
      <c r="Q85" s="116"/>
      <c r="R85" s="116"/>
      <c r="S85" s="116"/>
      <c r="T85" s="116"/>
      <c r="U85" s="116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I85" s="44"/>
      <c r="AJ85" s="44"/>
      <c r="AK85" s="44"/>
      <c r="AL85" s="44"/>
      <c r="AM85" s="235"/>
    </row>
    <row r="86" spans="1:39" s="35" customFormat="1" x14ac:dyDescent="0.35">
      <c r="A86" s="114" t="s">
        <v>203</v>
      </c>
      <c r="B86" s="35" t="s">
        <v>280</v>
      </c>
      <c r="C86" t="s">
        <v>315</v>
      </c>
      <c r="D86"/>
      <c r="F86" s="197"/>
      <c r="G86" s="197"/>
      <c r="H86" s="197"/>
      <c r="I86" s="197"/>
      <c r="J86" s="197">
        <v>1447.9</v>
      </c>
      <c r="K86" s="197">
        <v>1452.6</v>
      </c>
      <c r="L86" s="197">
        <v>1504.8</v>
      </c>
      <c r="M86" s="301">
        <v>1487.0350000000001</v>
      </c>
      <c r="N86" s="301">
        <f>VLOOKUP($C$86,'Haver NA'!$A$1:$J$34,10,0)/1000</f>
        <v>1493.5530000000001</v>
      </c>
      <c r="O86">
        <v>1504.3514552807801</v>
      </c>
      <c r="P86">
        <v>1511.252602267454</v>
      </c>
      <c r="Q86">
        <v>1519.3368030232709</v>
      </c>
      <c r="R86">
        <v>1530.997960524671</v>
      </c>
      <c r="S86">
        <v>1544.2799915439159</v>
      </c>
      <c r="T86">
        <v>1557.72908484966</v>
      </c>
      <c r="U86">
        <v>1572.6694039177321</v>
      </c>
      <c r="V86">
        <v>1586.4153149483291</v>
      </c>
      <c r="W86">
        <v>1601.682526026475</v>
      </c>
      <c r="X86">
        <v>1615.690158481731</v>
      </c>
      <c r="Y86">
        <v>1631.2333657547081</v>
      </c>
      <c r="Z86">
        <v>1646.9554971985581</v>
      </c>
      <c r="AA86"/>
      <c r="AB86"/>
      <c r="AE86" s="44"/>
      <c r="AF86" s="44"/>
      <c r="AG86" s="44"/>
      <c r="AI86" s="44"/>
      <c r="AJ86" s="44"/>
      <c r="AK86" s="44"/>
      <c r="AL86" s="44"/>
      <c r="AM86" s="235"/>
    </row>
    <row r="87" spans="1:39" s="35" customFormat="1" x14ac:dyDescent="0.35">
      <c r="A87" s="114" t="s">
        <v>380</v>
      </c>
      <c r="C87"/>
      <c r="D87"/>
      <c r="F87" s="197"/>
      <c r="G87" s="197"/>
      <c r="H87" s="197"/>
      <c r="I87" s="197"/>
      <c r="J87" s="197"/>
      <c r="K87" s="197"/>
      <c r="L87" s="197"/>
      <c r="M87" s="302">
        <v>-1.1805555555555514E-2</v>
      </c>
      <c r="N87" s="311">
        <f>N85/M85-1</f>
        <v>-1.3676540090014067E-3</v>
      </c>
      <c r="O87" s="196">
        <v>4.0000000000000001E-3</v>
      </c>
      <c r="P87" s="196">
        <v>4.0000000000000001E-3</v>
      </c>
      <c r="Q87" s="196">
        <v>4.0000000000000001E-3</v>
      </c>
      <c r="R87" s="196">
        <v>4.0000000000000001E-3</v>
      </c>
      <c r="S87" s="196">
        <v>4.0000000000000001E-3</v>
      </c>
      <c r="T87" s="196">
        <v>4.0000000000000001E-3</v>
      </c>
      <c r="U87" s="196">
        <v>4.0000000000000001E-3</v>
      </c>
      <c r="V87" s="196">
        <v>4.0000000000000001E-3</v>
      </c>
      <c r="W87" s="196">
        <v>4.0000000000000001E-3</v>
      </c>
      <c r="X87" s="196">
        <v>4.0000000000000001E-3</v>
      </c>
      <c r="Y87" s="196">
        <v>4.0000000000000001E-3</v>
      </c>
      <c r="Z87" s="196">
        <v>4.0000000000000001E-3</v>
      </c>
      <c r="AA87"/>
      <c r="AB87"/>
      <c r="AE87" s="44"/>
      <c r="AF87" s="44"/>
      <c r="AG87" s="44"/>
      <c r="AI87" s="44"/>
      <c r="AJ87" s="44"/>
      <c r="AK87" s="44"/>
      <c r="AL87" s="44"/>
      <c r="AM87" s="235"/>
    </row>
    <row r="88" spans="1:39" s="185" customFormat="1" ht="12" x14ac:dyDescent="0.3">
      <c r="A88" s="169" t="s">
        <v>202</v>
      </c>
      <c r="F88" s="207"/>
      <c r="G88" s="207"/>
      <c r="H88" s="207"/>
      <c r="I88" s="207"/>
      <c r="J88" s="207"/>
      <c r="K88" s="207"/>
      <c r="L88" s="207"/>
      <c r="M88" s="302">
        <v>-1.1805555555555514E-2</v>
      </c>
      <c r="N88" s="311">
        <f>N86/M86-1</f>
        <v>4.3832189558417056E-3</v>
      </c>
      <c r="O88" s="196">
        <v>5.3394154743755307E-2</v>
      </c>
      <c r="P88" s="196">
        <v>-1.9703807284052632E-2</v>
      </c>
      <c r="Q88" s="196">
        <v>-4.084808403034379E-3</v>
      </c>
      <c r="R88" s="196">
        <v>0</v>
      </c>
      <c r="S88" s="196">
        <v>2.4739583333333037E-3</v>
      </c>
      <c r="T88" s="196">
        <v>1.6235874788934623E-3</v>
      </c>
      <c r="U88" s="196">
        <v>3.9551319457953316E-3</v>
      </c>
      <c r="V88" s="196">
        <v>3.8749677086025169E-3</v>
      </c>
      <c r="W88" s="196">
        <v>3.9243437982501295E-3</v>
      </c>
      <c r="X88" s="196">
        <v>3.0118551746236566E-3</v>
      </c>
      <c r="Y88" s="196">
        <v>3.9611551239457921E-3</v>
      </c>
      <c r="Z88" s="196">
        <v>5.027364133893153E-3</v>
      </c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185" customFormat="1" x14ac:dyDescent="0.35">
      <c r="A89" s="114" t="s">
        <v>356</v>
      </c>
      <c r="F89" s="207"/>
      <c r="G89" s="207"/>
      <c r="H89" s="207"/>
      <c r="I89" s="207"/>
      <c r="J89" s="207"/>
      <c r="K89" s="207"/>
      <c r="L89" s="207"/>
      <c r="M89" s="302"/>
      <c r="N89" s="311"/>
      <c r="O89" s="102">
        <f>SUM(O90:O92)</f>
        <v>71400</v>
      </c>
      <c r="P89" s="102">
        <f t="shared" ref="P89:R89" si="48">SUM(P90:P92)</f>
        <v>71400</v>
      </c>
      <c r="Q89" s="102">
        <f t="shared" si="48"/>
        <v>30600</v>
      </c>
      <c r="R89" s="102">
        <f t="shared" si="48"/>
        <v>30600</v>
      </c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E89" s="187"/>
      <c r="AF89" s="187"/>
      <c r="AG89" s="187"/>
      <c r="AI89" s="187"/>
      <c r="AJ89" s="187"/>
      <c r="AK89" s="187"/>
      <c r="AL89" s="187"/>
      <c r="AM89" s="237"/>
    </row>
    <row r="90" spans="1:39" s="285" customFormat="1" x14ac:dyDescent="0.35">
      <c r="A90" s="284" t="s">
        <v>352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79">
        <f>('Stimulus Round 2'!$C7*0.7*4)/2</f>
        <v>30799.999999999996</v>
      </c>
      <c r="P90" s="279">
        <f>('Stimulus Round 2'!$C7*0.7*4)/2</f>
        <v>30799.999999999996</v>
      </c>
      <c r="Q90" s="279">
        <f>('Stimulus Round 2'!$C7*0.3*4)/2</f>
        <v>13200</v>
      </c>
      <c r="R90" s="279">
        <f>('Stimulus Round 2'!$C7*0.3*4)/2</f>
        <v>13200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35">
      <c r="A91" s="284" t="s">
        <v>353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79">
        <f>('Stimulus Round 2'!$C8*0.7*4)/2</f>
        <v>28000</v>
      </c>
      <c r="P91" s="279">
        <f>('Stimulus Round 2'!$C8*0.7*4)/2</f>
        <v>28000</v>
      </c>
      <c r="Q91" s="279">
        <f>('Stimulus Round 2'!$C8*0.3*4)/2</f>
        <v>12000</v>
      </c>
      <c r="R91" s="279">
        <f>('Stimulus Round 2'!$C8*0.3*4)/2</f>
        <v>12000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285" customFormat="1" x14ac:dyDescent="0.35">
      <c r="A92" s="284" t="s">
        <v>354</v>
      </c>
      <c r="F92" s="300"/>
      <c r="G92" s="300"/>
      <c r="H92" s="300"/>
      <c r="I92" s="300"/>
      <c r="J92" s="300"/>
      <c r="K92" s="300"/>
      <c r="L92" s="300"/>
      <c r="M92" s="305"/>
      <c r="N92" s="312"/>
      <c r="O92" s="279">
        <f>('Stimulus Round 2'!$C9*0.7*4)/2</f>
        <v>12600</v>
      </c>
      <c r="P92" s="279">
        <f>('Stimulus Round 2'!$C9*0.7*4)/2</f>
        <v>12600</v>
      </c>
      <c r="Q92" s="279">
        <f>('Stimulus Round 2'!$C9*0.3*4)/2</f>
        <v>5400</v>
      </c>
      <c r="R92" s="279">
        <f>('Stimulus Round 2'!$C9*0.3*4)/2</f>
        <v>5400</v>
      </c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E92" s="287"/>
      <c r="AF92" s="287"/>
      <c r="AG92" s="287"/>
      <c r="AI92" s="287"/>
      <c r="AJ92" s="287"/>
      <c r="AK92" s="287"/>
      <c r="AL92" s="287"/>
      <c r="AM92" s="288"/>
    </row>
    <row r="93" spans="1:39" s="35" customFormat="1" x14ac:dyDescent="0.35">
      <c r="A93" s="35" t="s">
        <v>204</v>
      </c>
      <c r="B93" s="35" t="s">
        <v>280</v>
      </c>
      <c r="C93" t="s">
        <v>316</v>
      </c>
      <c r="D93"/>
      <c r="F93" s="206">
        <v>389624</v>
      </c>
      <c r="G93" s="206">
        <v>404529</v>
      </c>
      <c r="H93" s="206">
        <v>419672</v>
      </c>
      <c r="I93" s="206">
        <v>418824</v>
      </c>
      <c r="J93" s="206">
        <v>411409</v>
      </c>
      <c r="K93" s="206">
        <v>423429</v>
      </c>
      <c r="L93" s="206">
        <v>512640</v>
      </c>
      <c r="M93" s="301">
        <v>486072</v>
      </c>
      <c r="N93" s="308">
        <f>VLOOKUP($C$93,'Haver NA'!$A$1:$J$34,10,0)</f>
        <v>512193</v>
      </c>
      <c r="O93" s="116">
        <f t="shared" ref="O93:S93" si="49">O100*0.74</f>
        <v>507477.24811825115</v>
      </c>
      <c r="P93" s="116">
        <f t="shared" si="49"/>
        <v>512541.31638321205</v>
      </c>
      <c r="Q93" s="116">
        <f t="shared" si="49"/>
        <v>512541.31638321205</v>
      </c>
      <c r="R93" s="116">
        <f t="shared" si="49"/>
        <v>512541.31638321205</v>
      </c>
      <c r="S93" s="116">
        <f t="shared" si="49"/>
        <v>512541.31638321205</v>
      </c>
      <c r="T93" s="116">
        <f>T100*0.68</f>
        <v>470983.91235214088</v>
      </c>
      <c r="U93" s="116">
        <f>U100*0.68</f>
        <v>470983.91235214088</v>
      </c>
      <c r="V93" s="116">
        <f>V100*0.68</f>
        <v>470983.91235214088</v>
      </c>
      <c r="W93" s="116"/>
      <c r="X93" s="116"/>
      <c r="Y93" s="116"/>
      <c r="Z93" s="116"/>
      <c r="AA93" s="116"/>
      <c r="AB93" s="116"/>
      <c r="AC93" s="44">
        <f>AVERAGE(F93:I93)/1000</f>
        <v>408.16224999999997</v>
      </c>
      <c r="AD93" s="45">
        <f>AVERAGE(J93:M93)</f>
        <v>458387.5</v>
      </c>
      <c r="AE93" s="45">
        <f>AVERAGE(N93:Q93)</f>
        <v>511188.22022116883</v>
      </c>
      <c r="AF93" s="45">
        <f>AVERAGE(R93:U93)</f>
        <v>491762.61436767643</v>
      </c>
      <c r="AH93" s="35">
        <v>409.42</v>
      </c>
      <c r="AI93" s="84">
        <f>'figuring out Medicaid'!G11</f>
        <v>466.24400000000003</v>
      </c>
      <c r="AJ93" s="84">
        <f>'figuring out Medicaid'!H11</f>
        <v>537.41499999999996</v>
      </c>
      <c r="AK93" s="84">
        <f>'figuring out Medicaid'!I11</f>
        <v>516.01800000000003</v>
      </c>
      <c r="AL93" s="84"/>
      <c r="AM93" s="233"/>
    </row>
    <row r="94" spans="1:39" s="35" customFormat="1" x14ac:dyDescent="0.35">
      <c r="A94" s="141" t="s">
        <v>161</v>
      </c>
      <c r="B94" s="141"/>
      <c r="E94" s="141"/>
      <c r="F94" s="201">
        <f t="shared" ref="F94:L94" si="50">F50+F47+F36+F42</f>
        <v>1440187</v>
      </c>
      <c r="G94" s="201">
        <f t="shared" si="50"/>
        <v>1503410</v>
      </c>
      <c r="H94" s="201">
        <f t="shared" si="50"/>
        <v>1508652</v>
      </c>
      <c r="I94" s="201">
        <f t="shared" si="50"/>
        <v>1513957</v>
      </c>
      <c r="J94" s="201">
        <f t="shared" si="50"/>
        <v>1521941</v>
      </c>
      <c r="K94" s="201">
        <f t="shared" si="50"/>
        <v>1574462</v>
      </c>
      <c r="L94" s="201">
        <f t="shared" si="50"/>
        <v>3729557.333333333</v>
      </c>
      <c r="M94" s="301">
        <v>2466001</v>
      </c>
      <c r="N94" s="306">
        <f>N50+N47+N36+N42+N37</f>
        <v>2027793</v>
      </c>
      <c r="O94" s="142">
        <f t="shared" ref="O94:Z94" si="51">O50+O47+O36+O42+O37+O38+O39</f>
        <v>3118123.8025000002</v>
      </c>
      <c r="P94" s="142">
        <f t="shared" si="51"/>
        <v>1874848.87398125</v>
      </c>
      <c r="Q94" s="142">
        <f t="shared" si="51"/>
        <v>1686467.5074263907</v>
      </c>
      <c r="R94" s="142">
        <f t="shared" si="51"/>
        <v>1683044.5200377863</v>
      </c>
      <c r="S94" s="142">
        <f t="shared" si="51"/>
        <v>1687990.187838353</v>
      </c>
      <c r="T94" s="142">
        <f t="shared" si="51"/>
        <v>1713310.0406559282</v>
      </c>
      <c r="U94" s="142">
        <f t="shared" si="51"/>
        <v>1739009.691265767</v>
      </c>
      <c r="V94" s="142">
        <f t="shared" si="51"/>
        <v>1756399.7881784246</v>
      </c>
      <c r="W94" s="142">
        <f t="shared" si="51"/>
        <v>0</v>
      </c>
      <c r="X94" s="142">
        <f t="shared" si="51"/>
        <v>0</v>
      </c>
      <c r="Y94" s="142">
        <f t="shared" si="51"/>
        <v>0</v>
      </c>
      <c r="Z94" s="142">
        <f t="shared" si="51"/>
        <v>0</v>
      </c>
      <c r="AM94" s="233"/>
    </row>
    <row r="95" spans="1:39" s="35" customFormat="1" x14ac:dyDescent="0.35">
      <c r="A95" s="141" t="s">
        <v>213</v>
      </c>
      <c r="B95" s="141"/>
      <c r="E95" s="141"/>
      <c r="F95" s="197"/>
      <c r="G95" s="197"/>
      <c r="H95" s="197"/>
      <c r="I95" s="197"/>
      <c r="J95" s="197"/>
      <c r="K95" s="197"/>
      <c r="L95" s="203">
        <f>L93+L35</f>
        <v>1336698</v>
      </c>
      <c r="M95" s="301">
        <v>1328805</v>
      </c>
      <c r="N95" s="310">
        <f t="shared" ref="N95:Z95" si="52">N93+N35</f>
        <v>1372787</v>
      </c>
      <c r="O95" s="143">
        <f t="shared" si="52"/>
        <v>1390610.1625906522</v>
      </c>
      <c r="P95" s="143">
        <f t="shared" si="52"/>
        <v>1418489.158978964</v>
      </c>
      <c r="Q95" s="143">
        <f t="shared" si="52"/>
        <v>1441583.4808422038</v>
      </c>
      <c r="R95" s="143">
        <f t="shared" si="52"/>
        <v>1483962.7404801806</v>
      </c>
      <c r="S95" s="143">
        <f t="shared" si="52"/>
        <v>1515727.7827888038</v>
      </c>
      <c r="T95" s="143">
        <f t="shared" si="52"/>
        <v>1506974.123618965</v>
      </c>
      <c r="U95" s="143">
        <f t="shared" si="52"/>
        <v>1540850.5361376633</v>
      </c>
      <c r="V95" s="143">
        <f t="shared" si="52"/>
        <v>1551631.6801380017</v>
      </c>
      <c r="W95" s="143">
        <f t="shared" si="52"/>
        <v>1091537.5543621723</v>
      </c>
      <c r="X95" s="143">
        <f t="shared" si="52"/>
        <v>1102537.0783156503</v>
      </c>
      <c r="Y95" s="143">
        <f t="shared" si="52"/>
        <v>1113647.4454798999</v>
      </c>
      <c r="Z95" s="143">
        <f t="shared" si="52"/>
        <v>0</v>
      </c>
      <c r="AM95" s="233"/>
    </row>
    <row r="96" spans="1:39" s="35" customFormat="1" x14ac:dyDescent="0.35">
      <c r="F96" s="197"/>
      <c r="G96" s="197"/>
      <c r="H96" s="197"/>
      <c r="I96" s="197"/>
      <c r="J96" s="197"/>
      <c r="K96" s="197"/>
      <c r="L96" s="197"/>
      <c r="M96" s="301"/>
      <c r="N96" s="301"/>
      <c r="AM96" s="233"/>
    </row>
    <row r="97" spans="1:39" s="35" customFormat="1" x14ac:dyDescent="0.35">
      <c r="A97" s="35" t="s">
        <v>15</v>
      </c>
      <c r="B97" s="35" t="s">
        <v>280</v>
      </c>
      <c r="C97" t="s">
        <v>317</v>
      </c>
      <c r="D97"/>
      <c r="F97" s="197">
        <v>728844</v>
      </c>
      <c r="G97" s="197">
        <v>738714</v>
      </c>
      <c r="H97" s="197">
        <v>755204</v>
      </c>
      <c r="I97" s="197">
        <v>763370</v>
      </c>
      <c r="J97" s="197">
        <v>760967</v>
      </c>
      <c r="K97" s="197">
        <v>767087</v>
      </c>
      <c r="L97" s="197">
        <v>812158</v>
      </c>
      <c r="M97" s="301">
        <v>828480</v>
      </c>
      <c r="N97" s="303">
        <f>VLOOKUP($C$97,'Haver NA'!$A$1:$J$34,10,0)</f>
        <v>818740</v>
      </c>
      <c r="O97" s="133">
        <f t="shared" ref="O97:U97" si="53">O98+O100</f>
        <v>831250.83502466371</v>
      </c>
      <c r="P97" s="133">
        <f t="shared" si="53"/>
        <v>838457.84744285408</v>
      </c>
      <c r="Q97" s="133">
        <f t="shared" si="53"/>
        <v>839187.01967747905</v>
      </c>
      <c r="R97" s="133">
        <f t="shared" si="53"/>
        <v>840286.24682117626</v>
      </c>
      <c r="S97" s="133">
        <f t="shared" si="53"/>
        <v>841762.8752842095</v>
      </c>
      <c r="T97" s="133">
        <f t="shared" si="53"/>
        <v>843107.97501111636</v>
      </c>
      <c r="U97" s="133">
        <f t="shared" si="53"/>
        <v>844539.45728929248</v>
      </c>
      <c r="V97" s="133">
        <f t="shared" ref="V97" si="54">V98+V100</f>
        <v>846032.64138980373</v>
      </c>
      <c r="AM97" s="233"/>
    </row>
    <row r="98" spans="1:39" s="35" customFormat="1" x14ac:dyDescent="0.35">
      <c r="A98" s="35" t="s">
        <v>229</v>
      </c>
      <c r="F98" s="203">
        <f t="shared" ref="F98:K98" si="55">F97-F100</f>
        <v>139025</v>
      </c>
      <c r="G98" s="203">
        <f t="shared" si="55"/>
        <v>139342</v>
      </c>
      <c r="H98" s="203">
        <f t="shared" si="55"/>
        <v>140228</v>
      </c>
      <c r="I98" s="203">
        <f t="shared" si="55"/>
        <v>141105</v>
      </c>
      <c r="J98" s="203">
        <f t="shared" si="55"/>
        <v>141335</v>
      </c>
      <c r="K98" s="203">
        <f t="shared" si="55"/>
        <v>142991</v>
      </c>
      <c r="L98" s="203">
        <f>L97-L100</f>
        <v>143335</v>
      </c>
      <c r="M98" s="301">
        <v>144777</v>
      </c>
      <c r="N98" s="303">
        <f>N97-N100</f>
        <v>145108</v>
      </c>
      <c r="O98" s="133">
        <f>N98*(1+O110)</f>
        <v>145470.76999999999</v>
      </c>
      <c r="P98" s="133">
        <f t="shared" ref="P98:S98" si="56">O98*(1+P110)</f>
        <v>145834.44692499997</v>
      </c>
      <c r="Q98" s="133">
        <f t="shared" si="56"/>
        <v>146563.61915962494</v>
      </c>
      <c r="R98" s="133">
        <f t="shared" si="56"/>
        <v>147662.84630332215</v>
      </c>
      <c r="S98" s="133">
        <f t="shared" si="56"/>
        <v>149139.47476635536</v>
      </c>
      <c r="T98" s="133">
        <f t="shared" ref="T98:V98" si="57">S98*(1+T109)</f>
        <v>150484.57449326222</v>
      </c>
      <c r="U98" s="133">
        <f t="shared" si="57"/>
        <v>151916.05677143831</v>
      </c>
      <c r="V98" s="133">
        <f t="shared" si="57"/>
        <v>153409.24087194959</v>
      </c>
      <c r="AM98" s="233"/>
    </row>
    <row r="99" spans="1:39" s="35" customFormat="1" x14ac:dyDescent="0.35">
      <c r="F99" s="203"/>
      <c r="G99" s="197"/>
      <c r="H99" s="197"/>
      <c r="I99" s="197"/>
      <c r="J99" s="197"/>
      <c r="K99" s="197"/>
      <c r="L99" s="197"/>
      <c r="M99" s="301"/>
      <c r="N99" s="301"/>
      <c r="AM99" s="233"/>
    </row>
    <row r="100" spans="1:39" s="35" customFormat="1" x14ac:dyDescent="0.35">
      <c r="A100" s="35" t="s">
        <v>226</v>
      </c>
      <c r="B100" s="35" t="s">
        <v>280</v>
      </c>
      <c r="C100" t="s">
        <v>318</v>
      </c>
      <c r="D100"/>
      <c r="F100" s="197">
        <v>589819</v>
      </c>
      <c r="G100" s="197">
        <v>599372</v>
      </c>
      <c r="H100" s="197">
        <v>614976</v>
      </c>
      <c r="I100" s="197">
        <v>622265</v>
      </c>
      <c r="J100" s="197">
        <v>619632</v>
      </c>
      <c r="K100" s="197">
        <v>624096</v>
      </c>
      <c r="L100" s="197">
        <v>668823</v>
      </c>
      <c r="M100" s="301">
        <v>683703</v>
      </c>
      <c r="N100" s="310">
        <f>VLOOKUP($C$100,'Haver NA'!$A$1:$J$34,10,0)</f>
        <v>673632</v>
      </c>
      <c r="O100" s="135">
        <f>N100*(($AJ$100/$AI$100)^0.18)</f>
        <v>685780.06502466369</v>
      </c>
      <c r="P100" s="135">
        <f>O100*(($AJ$100/$AI$100)^0.1)</f>
        <v>692623.40051785414</v>
      </c>
      <c r="Q100" s="135">
        <f>P100*(1+Q101)</f>
        <v>692623.40051785414</v>
      </c>
      <c r="R100" s="135">
        <f t="shared" ref="R100:V100" si="58">Q100*(1+R101)</f>
        <v>692623.40051785414</v>
      </c>
      <c r="S100" s="135">
        <f t="shared" si="58"/>
        <v>692623.40051785414</v>
      </c>
      <c r="T100" s="135">
        <f t="shared" si="58"/>
        <v>692623.40051785414</v>
      </c>
      <c r="U100" s="135">
        <f t="shared" si="58"/>
        <v>692623.40051785414</v>
      </c>
      <c r="V100" s="135">
        <f t="shared" si="58"/>
        <v>692623.40051785414</v>
      </c>
      <c r="AD100" s="45">
        <f>AVERAGE(J100:M100)/1000</f>
        <v>649.06349999999998</v>
      </c>
      <c r="AE100" s="45">
        <f>AVERAGE(N100:Q100)/1000</f>
        <v>686.16471651509301</v>
      </c>
      <c r="AF100" s="45">
        <f>AVERAGE(R100:U100)/1000</f>
        <v>692.62340051785418</v>
      </c>
      <c r="AH100" s="84"/>
      <c r="AI100" s="84">
        <f>'figuring out Medicaid'!G13</f>
        <v>657.17435271149407</v>
      </c>
      <c r="AJ100" s="84">
        <f>'figuring out Medicaid'!H13</f>
        <v>725.7777402928042</v>
      </c>
      <c r="AK100" s="84">
        <f>'figuring out Medicaid'!I13</f>
        <v>727.33117238501666</v>
      </c>
      <c r="AL100" s="84"/>
      <c r="AM100" s="233"/>
    </row>
    <row r="101" spans="1:39" s="185" customFormat="1" x14ac:dyDescent="0.35">
      <c r="A101" s="169" t="s">
        <v>268</v>
      </c>
      <c r="F101" s="207"/>
      <c r="G101" s="207"/>
      <c r="H101" s="207"/>
      <c r="I101" s="207"/>
      <c r="J101" s="200"/>
      <c r="K101" s="200"/>
      <c r="L101" s="200"/>
      <c r="M101" s="301"/>
      <c r="N101" s="302"/>
      <c r="O101" s="175"/>
      <c r="P101" s="175"/>
      <c r="Q101" s="175">
        <v>0</v>
      </c>
      <c r="R101" s="175">
        <v>0</v>
      </c>
      <c r="S101" s="175">
        <v>0</v>
      </c>
      <c r="T101" s="175">
        <v>0</v>
      </c>
      <c r="U101" s="175">
        <v>0</v>
      </c>
      <c r="V101" s="175">
        <v>0</v>
      </c>
      <c r="W101" s="175"/>
      <c r="AM101" s="234"/>
    </row>
    <row r="102" spans="1:39" s="153" customFormat="1" ht="12" x14ac:dyDescent="0.3">
      <c r="A102" s="153" t="s">
        <v>221</v>
      </c>
      <c r="F102" s="208">
        <f t="shared" ref="F102:L102" si="59">F93/F100</f>
        <v>0.66058231423538405</v>
      </c>
      <c r="G102" s="208">
        <f t="shared" si="59"/>
        <v>0.6749214177505789</v>
      </c>
      <c r="H102" s="208">
        <f t="shared" si="59"/>
        <v>0.68242012696430432</v>
      </c>
      <c r="I102" s="208">
        <f t="shared" si="59"/>
        <v>0.6730637268687778</v>
      </c>
      <c r="J102" s="208">
        <f t="shared" si="59"/>
        <v>0.66395699382859508</v>
      </c>
      <c r="K102" s="208">
        <f t="shared" si="59"/>
        <v>0.67846773573296415</v>
      </c>
      <c r="L102" s="208">
        <f t="shared" si="59"/>
        <v>0.76648081779484256</v>
      </c>
      <c r="M102" s="208">
        <v>0.71094027669909299</v>
      </c>
      <c r="N102" s="208">
        <f t="shared" ref="N102" si="60">N93/N100</f>
        <v>0.76034541114436371</v>
      </c>
      <c r="AD102" s="154"/>
      <c r="AE102" s="154"/>
      <c r="AF102" s="154"/>
      <c r="AH102" s="155"/>
      <c r="AI102" s="155"/>
      <c r="AJ102" s="155"/>
      <c r="AM102" s="238"/>
    </row>
    <row r="103" spans="1:39" s="35" customFormat="1" x14ac:dyDescent="0.35">
      <c r="A103" s="35" t="s">
        <v>18</v>
      </c>
      <c r="B103" s="35" t="s">
        <v>280</v>
      </c>
      <c r="C103" t="s">
        <v>319</v>
      </c>
      <c r="D103"/>
      <c r="F103" s="197">
        <v>1997.1</v>
      </c>
      <c r="G103" s="197">
        <v>2012.7</v>
      </c>
      <c r="H103" s="197">
        <v>2025.5</v>
      </c>
      <c r="I103" s="197">
        <v>2028.3</v>
      </c>
      <c r="J103" s="197">
        <v>2035.6</v>
      </c>
      <c r="K103" s="197">
        <v>2041</v>
      </c>
      <c r="L103" s="197">
        <v>2013.1</v>
      </c>
      <c r="M103" s="301">
        <v>1993.0509999999999</v>
      </c>
      <c r="N103" s="301">
        <f>VLOOKUP($C$103,'Haver NA'!$A$1:$J$34,10,0)/1000</f>
        <v>1984.547</v>
      </c>
      <c r="O103" s="35">
        <f>N103*(1+O105)</f>
        <v>2009.5840333646127</v>
      </c>
      <c r="P103" s="35">
        <f t="shared" ref="P103:V103" si="61">O103*(1+P105)</f>
        <v>2031.5173022625379</v>
      </c>
      <c r="Q103" s="35">
        <f t="shared" si="61"/>
        <v>2046.001536440413</v>
      </c>
      <c r="R103" s="35">
        <f t="shared" si="61"/>
        <v>2056.0370415493694</v>
      </c>
      <c r="S103" s="35">
        <f t="shared" si="61"/>
        <v>2065.9690878427696</v>
      </c>
      <c r="T103" s="35">
        <f t="shared" si="61"/>
        <v>2073.2112049317075</v>
      </c>
      <c r="U103" s="35">
        <f t="shared" si="61"/>
        <v>2077.6599340006264</v>
      </c>
      <c r="V103" s="35">
        <f t="shared" si="61"/>
        <v>2079.3152750495265</v>
      </c>
      <c r="AM103" s="233"/>
    </row>
    <row r="104" spans="1:39" s="185" customFormat="1" x14ac:dyDescent="0.35">
      <c r="A104" s="169" t="s">
        <v>284</v>
      </c>
      <c r="B104" s="35"/>
      <c r="C104" s="35"/>
      <c r="D104" s="35"/>
      <c r="F104" s="200"/>
      <c r="G104" s="200">
        <f t="shared" ref="G104:L104" si="62">(G103/F103)-1</f>
        <v>7.8113264233139468E-3</v>
      </c>
      <c r="H104" s="200">
        <f t="shared" si="62"/>
        <v>6.3596164356336526E-3</v>
      </c>
      <c r="I104" s="200">
        <f t="shared" si="62"/>
        <v>1.3823747222907468E-3</v>
      </c>
      <c r="J104" s="200">
        <f t="shared" si="62"/>
        <v>3.5990731154167399E-3</v>
      </c>
      <c r="K104" s="200">
        <f t="shared" si="62"/>
        <v>2.6527805069758159E-3</v>
      </c>
      <c r="L104" s="200">
        <f t="shared" si="62"/>
        <v>-1.36697697207252E-2</v>
      </c>
      <c r="M104" s="302">
        <v>-9.9592668024439668E-3</v>
      </c>
      <c r="N104" s="323">
        <f>(N103/M103)-1</f>
        <v>-4.2668250837534227E-3</v>
      </c>
      <c r="O104" s="252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AM104" s="234"/>
    </row>
    <row r="105" spans="1:39" s="185" customFormat="1" x14ac:dyDescent="0.35">
      <c r="A105" s="169" t="s">
        <v>285</v>
      </c>
      <c r="B105" s="35" t="s">
        <v>280</v>
      </c>
      <c r="C105" s="35"/>
      <c r="D105" s="35"/>
      <c r="F105" s="207"/>
      <c r="G105" s="207"/>
      <c r="H105" s="207"/>
      <c r="I105" s="207"/>
      <c r="J105" s="200"/>
      <c r="K105" s="200"/>
      <c r="L105" s="200"/>
      <c r="M105" s="301"/>
      <c r="N105" s="302"/>
      <c r="O105" s="196">
        <v>1.26159941611927E-2</v>
      </c>
      <c r="P105" s="196">
        <v>1.0914332784184499E-2</v>
      </c>
      <c r="Q105" s="196">
        <v>7.1297616622529904E-3</v>
      </c>
      <c r="R105" s="196">
        <v>4.9049352750809598E-3</v>
      </c>
      <c r="S105" s="196">
        <v>4.8306747848840797E-3</v>
      </c>
      <c r="T105" s="196">
        <v>3.5054334218038701E-3</v>
      </c>
      <c r="U105" s="196">
        <v>2.14581565946403E-3</v>
      </c>
      <c r="V105" s="196">
        <v>7.9673339308827796E-4</v>
      </c>
      <c r="W105" s="196">
        <v>3.9804955716982198E-4</v>
      </c>
      <c r="X105" s="196">
        <v>1.1439371331942701E-3</v>
      </c>
      <c r="Y105" s="196">
        <v>8.9423220229512001E-4</v>
      </c>
      <c r="Z105" s="185">
        <v>8.4379808408208102E-4</v>
      </c>
      <c r="AM105" s="234"/>
    </row>
    <row r="106" spans="1:39" s="35" customFormat="1" x14ac:dyDescent="0.35">
      <c r="A106" s="35" t="s">
        <v>215</v>
      </c>
      <c r="B106" s="35" t="s">
        <v>280</v>
      </c>
      <c r="C106" t="s">
        <v>320</v>
      </c>
      <c r="D106"/>
      <c r="F106" s="197"/>
      <c r="G106" s="197"/>
      <c r="H106" s="197"/>
      <c r="I106" s="197"/>
      <c r="J106" s="197">
        <v>2357.4</v>
      </c>
      <c r="K106" s="197">
        <v>2381.6</v>
      </c>
      <c r="L106" s="197">
        <v>2334.5</v>
      </c>
      <c r="M106" s="301">
        <v>2329.605</v>
      </c>
      <c r="N106" s="301">
        <f>VLOOKUP($C$106,'Haver NA'!$A$1:$J$34,10,0)/1000</f>
        <v>2337.201</v>
      </c>
      <c r="O106">
        <v>2469.9411956560398</v>
      </c>
      <c r="P106">
        <v>2511.3882460388099</v>
      </c>
      <c r="Q106">
        <v>2543.4204311910298</v>
      </c>
      <c r="R106">
        <v>2569.93355741499</v>
      </c>
      <c r="S106">
        <v>2599.1521046822099</v>
      </c>
      <c r="T106">
        <v>2626.53096564002</v>
      </c>
      <c r="U106">
        <v>2651.2044055545698</v>
      </c>
      <c r="V106">
        <v>2672.95599074239</v>
      </c>
      <c r="W106">
        <v>2693.9500580381</v>
      </c>
      <c r="X106">
        <v>2717.3248958518798</v>
      </c>
      <c r="Y106">
        <v>2740.4832999822002</v>
      </c>
      <c r="AM106" s="233"/>
    </row>
    <row r="107" spans="1:39" s="35" customFormat="1" x14ac:dyDescent="0.35">
      <c r="F107" s="197"/>
      <c r="G107" s="197"/>
      <c r="H107" s="197"/>
      <c r="I107" s="197"/>
      <c r="J107" s="197"/>
      <c r="K107" s="197"/>
      <c r="L107" s="197"/>
      <c r="M107" s="301"/>
      <c r="N107" s="301"/>
      <c r="O107">
        <f>N107*(1+O110)</f>
        <v>0</v>
      </c>
      <c r="P107">
        <f t="shared" ref="P107:S107" si="63">O107*(1+P110)</f>
        <v>0</v>
      </c>
      <c r="Q107">
        <f t="shared" si="63"/>
        <v>0</v>
      </c>
      <c r="R107">
        <f t="shared" si="63"/>
        <v>0</v>
      </c>
      <c r="S107">
        <f t="shared" si="63"/>
        <v>0</v>
      </c>
      <c r="T107">
        <f>S107*(1+T109)</f>
        <v>0</v>
      </c>
      <c r="U107">
        <f t="shared" ref="U107:V107" si="64">T107*(1+U109)</f>
        <v>0</v>
      </c>
      <c r="V107">
        <f t="shared" si="64"/>
        <v>0</v>
      </c>
      <c r="W107"/>
      <c r="X107"/>
      <c r="Y107"/>
      <c r="AM107" s="233"/>
    </row>
    <row r="108" spans="1:39" s="185" customFormat="1" x14ac:dyDescent="0.35">
      <c r="A108" s="169" t="s">
        <v>284</v>
      </c>
      <c r="B108" s="35"/>
      <c r="C108" s="35"/>
      <c r="D108" s="35"/>
      <c r="F108" s="200"/>
      <c r="G108" s="200"/>
      <c r="H108" s="200"/>
      <c r="I108" s="200"/>
      <c r="J108" s="200"/>
      <c r="K108" s="200">
        <f t="shared" ref="K108" si="65">(K106/J106)-1</f>
        <v>1.0265546788835067E-2</v>
      </c>
      <c r="L108" s="200">
        <f t="shared" ref="L108" si="66">(L106/K106)-1</f>
        <v>-1.9776620759153429E-2</v>
      </c>
      <c r="M108" s="302">
        <v>-8.3608921686818549E-3</v>
      </c>
      <c r="N108" s="323">
        <f>(((N106/M106))^4)-1</f>
        <v>1.3106483787577172E-2</v>
      </c>
      <c r="O108" s="252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AM108" s="234"/>
    </row>
    <row r="109" spans="1:39" s="185" customFormat="1" x14ac:dyDescent="0.35">
      <c r="A109" s="169" t="s">
        <v>285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175">
        <v>9.408690138332787E-4</v>
      </c>
      <c r="P109" s="175">
        <v>9.1903906984696082E-3</v>
      </c>
      <c r="Q109" s="175">
        <v>7.4547841924690328E-3</v>
      </c>
      <c r="R109" s="175">
        <v>7.6518814378809807E-3</v>
      </c>
      <c r="S109" s="175">
        <v>8.511703592439579E-3</v>
      </c>
      <c r="T109" s="175">
        <v>9.0190724421828072E-3</v>
      </c>
      <c r="U109" s="175">
        <v>9.512485136741855E-3</v>
      </c>
      <c r="V109" s="175">
        <v>9.8290077576053125E-3</v>
      </c>
      <c r="W109" s="175">
        <v>1.0779069299762689E-2</v>
      </c>
      <c r="X109" s="175">
        <v>1.1818073295929432E-2</v>
      </c>
      <c r="Y109" s="175">
        <v>1.2112631744533475E-2</v>
      </c>
      <c r="Z109" s="175">
        <v>1.2395088591855785E-2</v>
      </c>
      <c r="AM109" s="234"/>
    </row>
    <row r="110" spans="1:39" s="185" customFormat="1" x14ac:dyDescent="0.35">
      <c r="A110" s="169" t="s">
        <v>372</v>
      </c>
      <c r="F110" s="207"/>
      <c r="G110" s="207"/>
      <c r="H110" s="207"/>
      <c r="I110" s="207"/>
      <c r="J110" s="207"/>
      <c r="K110" s="200"/>
      <c r="L110" s="200"/>
      <c r="M110" s="301"/>
      <c r="N110" s="302"/>
      <c r="O110" s="175">
        <v>2.5000000000000001E-3</v>
      </c>
      <c r="P110" s="175">
        <v>2.5000000000000001E-3</v>
      </c>
      <c r="Q110" s="175">
        <v>5.0000000000000001E-3</v>
      </c>
      <c r="R110" s="175">
        <v>7.4999999999999997E-3</v>
      </c>
      <c r="S110" s="175">
        <v>0.01</v>
      </c>
      <c r="T110" s="175"/>
      <c r="U110" s="175"/>
      <c r="V110" s="175"/>
      <c r="AM110" s="234"/>
    </row>
    <row r="111" spans="1:39" s="35" customFormat="1" x14ac:dyDescent="0.35">
      <c r="A111" s="35" t="s">
        <v>163</v>
      </c>
      <c r="F111" s="201">
        <f t="shared" ref="F111:L111" si="67">F97+F46-F93</f>
        <v>339220</v>
      </c>
      <c r="G111" s="201">
        <f t="shared" si="67"/>
        <v>334185</v>
      </c>
      <c r="H111" s="201">
        <f t="shared" si="67"/>
        <v>335532</v>
      </c>
      <c r="I111" s="201">
        <f t="shared" si="67"/>
        <v>344546</v>
      </c>
      <c r="J111" s="201">
        <f t="shared" si="67"/>
        <v>349558</v>
      </c>
      <c r="K111" s="201">
        <f t="shared" si="67"/>
        <v>343658</v>
      </c>
      <c r="L111" s="201">
        <f t="shared" si="67"/>
        <v>560584.66666666674</v>
      </c>
      <c r="M111" s="301">
        <v>528408</v>
      </c>
      <c r="N111" s="306">
        <f t="shared" ref="N111:Y111" si="68">N97+N46-N93</f>
        <v>343247</v>
      </c>
      <c r="O111" s="215">
        <f t="shared" si="68"/>
        <v>383773.58690641256</v>
      </c>
      <c r="P111" s="215">
        <f t="shared" si="68"/>
        <v>369916.53105964203</v>
      </c>
      <c r="Q111" s="215">
        <f t="shared" si="68"/>
        <v>370645.703294267</v>
      </c>
      <c r="R111" s="215">
        <f t="shared" si="68"/>
        <v>371744.93043796421</v>
      </c>
      <c r="S111" s="215">
        <f t="shared" si="68"/>
        <v>373221.55890099745</v>
      </c>
      <c r="T111" s="215">
        <f t="shared" si="68"/>
        <v>416124.06265897548</v>
      </c>
      <c r="U111" s="215">
        <f t="shared" si="68"/>
        <v>417555.5449371516</v>
      </c>
      <c r="V111" s="215">
        <f t="shared" si="68"/>
        <v>419048.72903766285</v>
      </c>
      <c r="W111" s="215">
        <f t="shared" si="68"/>
        <v>0</v>
      </c>
      <c r="X111" s="215">
        <f t="shared" si="68"/>
        <v>0</v>
      </c>
      <c r="Y111" s="215">
        <f t="shared" si="68"/>
        <v>0</v>
      </c>
      <c r="AM111" s="233"/>
    </row>
    <row r="112" spans="1:39" s="35" customFormat="1" x14ac:dyDescent="0.35">
      <c r="A112" s="141" t="s">
        <v>212</v>
      </c>
      <c r="B112" s="141"/>
      <c r="E112" s="141"/>
      <c r="F112" s="201">
        <f t="shared" ref="F112:L112" si="69">F100-F93</f>
        <v>200195</v>
      </c>
      <c r="G112" s="201">
        <f t="shared" si="69"/>
        <v>194843</v>
      </c>
      <c r="H112" s="201">
        <f t="shared" si="69"/>
        <v>195304</v>
      </c>
      <c r="I112" s="201">
        <f t="shared" si="69"/>
        <v>203441</v>
      </c>
      <c r="J112" s="201">
        <f t="shared" si="69"/>
        <v>208223</v>
      </c>
      <c r="K112" s="201">
        <f t="shared" si="69"/>
        <v>200667</v>
      </c>
      <c r="L112" s="201">
        <f t="shared" si="69"/>
        <v>156183</v>
      </c>
      <c r="M112" s="301">
        <v>197631</v>
      </c>
      <c r="N112" s="306">
        <f>N100-N93</f>
        <v>161439</v>
      </c>
      <c r="O112" s="142">
        <f t="shared" ref="O112:Y112" si="70">O100-O93</f>
        <v>178302.81690641254</v>
      </c>
      <c r="P112" s="142">
        <f t="shared" si="70"/>
        <v>180082.08413464209</v>
      </c>
      <c r="Q112" s="142">
        <f t="shared" si="70"/>
        <v>180082.08413464209</v>
      </c>
      <c r="R112" s="142">
        <f t="shared" si="70"/>
        <v>180082.08413464209</v>
      </c>
      <c r="S112" s="142">
        <f t="shared" si="70"/>
        <v>180082.08413464209</v>
      </c>
      <c r="T112" s="142">
        <f t="shared" si="70"/>
        <v>221639.48816571326</v>
      </c>
      <c r="U112" s="142">
        <f t="shared" si="70"/>
        <v>221639.48816571326</v>
      </c>
      <c r="V112" s="142">
        <f t="shared" si="70"/>
        <v>221639.48816571326</v>
      </c>
      <c r="W112" s="142">
        <f t="shared" si="70"/>
        <v>0</v>
      </c>
      <c r="X112" s="142">
        <f t="shared" si="70"/>
        <v>0</v>
      </c>
      <c r="Y112" s="142">
        <f t="shared" si="70"/>
        <v>0</v>
      </c>
      <c r="AM112" s="233"/>
    </row>
    <row r="113" spans="1:39" s="141" customFormat="1" x14ac:dyDescent="0.35">
      <c r="A113" s="141" t="s">
        <v>230</v>
      </c>
      <c r="C113" s="35"/>
      <c r="D113" s="35"/>
      <c r="F113" s="201">
        <f t="shared" ref="F113:K113" si="71">F111-F112</f>
        <v>139025</v>
      </c>
      <c r="G113" s="201">
        <f t="shared" si="71"/>
        <v>139342</v>
      </c>
      <c r="H113" s="201">
        <f t="shared" si="71"/>
        <v>140228</v>
      </c>
      <c r="I113" s="201">
        <f t="shared" si="71"/>
        <v>141105</v>
      </c>
      <c r="J113" s="201">
        <f t="shared" si="71"/>
        <v>141335</v>
      </c>
      <c r="K113" s="201">
        <f t="shared" si="71"/>
        <v>142991</v>
      </c>
      <c r="L113" s="201">
        <f>L111-L112</f>
        <v>404401.66666666674</v>
      </c>
      <c r="M113" s="306">
        <v>330777</v>
      </c>
      <c r="N113" s="306">
        <f>N111-N112</f>
        <v>181808</v>
      </c>
      <c r="O113" s="142">
        <f t="shared" ref="O113:Y113" si="72">O111-O112</f>
        <v>205470.77000000002</v>
      </c>
      <c r="P113" s="142">
        <f t="shared" si="72"/>
        <v>189834.44692499994</v>
      </c>
      <c r="Q113" s="142">
        <f t="shared" si="72"/>
        <v>190563.61915962491</v>
      </c>
      <c r="R113" s="142">
        <f t="shared" si="72"/>
        <v>191662.84630332212</v>
      </c>
      <c r="S113" s="142">
        <f t="shared" si="72"/>
        <v>193139.47476635536</v>
      </c>
      <c r="T113" s="142">
        <f t="shared" si="72"/>
        <v>194484.57449326222</v>
      </c>
      <c r="U113" s="142">
        <f t="shared" si="72"/>
        <v>195916.05677143834</v>
      </c>
      <c r="V113" s="142">
        <f t="shared" si="72"/>
        <v>197409.24087194959</v>
      </c>
      <c r="W113" s="142">
        <f t="shared" si="72"/>
        <v>0</v>
      </c>
      <c r="X113" s="142">
        <f t="shared" si="72"/>
        <v>0</v>
      </c>
      <c r="Y113" s="142">
        <f t="shared" si="72"/>
        <v>0</v>
      </c>
      <c r="AM113" s="256"/>
    </row>
    <row r="114" spans="1:39" s="35" customFormat="1" x14ac:dyDescent="0.35">
      <c r="A114"/>
      <c r="F114" s="213"/>
      <c r="G114" s="213"/>
      <c r="H114" s="213"/>
      <c r="I114" s="213"/>
      <c r="J114" s="213"/>
      <c r="K114" s="213"/>
      <c r="L114" s="135"/>
      <c r="M114" s="135"/>
      <c r="N114" s="94"/>
      <c r="O114" s="94"/>
      <c r="P114" s="94"/>
      <c r="Q114" s="94"/>
      <c r="R114" s="94"/>
      <c r="S114" s="94"/>
      <c r="T114" s="94"/>
      <c r="U114" s="94"/>
      <c r="V114"/>
      <c r="AM114" s="233"/>
    </row>
    <row r="115" spans="1:39" s="185" customFormat="1" x14ac:dyDescent="0.35">
      <c r="A115" s="169"/>
      <c r="F115" s="193"/>
      <c r="G115" s="193"/>
      <c r="H115" s="193"/>
      <c r="I115" s="193"/>
      <c r="J115" s="193"/>
      <c r="K115" s="193"/>
      <c r="L115" s="193"/>
      <c r="M115" s="214"/>
      <c r="N115" s="193"/>
      <c r="O115" s="193"/>
      <c r="P115" s="193"/>
      <c r="Q115" s="193"/>
      <c r="R115" s="193"/>
      <c r="S115" s="193"/>
      <c r="T115" s="193"/>
      <c r="U115" s="193"/>
      <c r="AM115" s="234"/>
    </row>
    <row r="116" spans="1:39" x14ac:dyDescent="0.35">
      <c r="A116" t="s">
        <v>158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35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35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35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35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9" x14ac:dyDescent="0.35"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2" sqref="C2:C19"/>
    </sheetView>
  </sheetViews>
  <sheetFormatPr defaultColWidth="8.81640625" defaultRowHeight="14.5" x14ac:dyDescent="0.35"/>
  <cols>
    <col min="1" max="1" width="25.453125" bestFit="1" customWidth="1"/>
    <col min="2" max="2" width="8" bestFit="1" customWidth="1"/>
    <col min="3" max="3" width="11.1796875" bestFit="1" customWidth="1"/>
  </cols>
  <sheetData>
    <row r="1" spans="1:3" x14ac:dyDescent="0.35">
      <c r="A1" s="97" t="s">
        <v>355</v>
      </c>
      <c r="B1" s="97" t="s">
        <v>357</v>
      </c>
      <c r="C1" s="97" t="s">
        <v>358</v>
      </c>
    </row>
    <row r="2" spans="1:3" x14ac:dyDescent="0.35">
      <c r="A2" s="289" t="s">
        <v>360</v>
      </c>
      <c r="B2" s="289">
        <v>325</v>
      </c>
      <c r="C2" s="290">
        <f>B2*1000</f>
        <v>325000</v>
      </c>
    </row>
    <row r="3" spans="1:3" x14ac:dyDescent="0.35">
      <c r="A3" s="289" t="s">
        <v>361</v>
      </c>
      <c r="B3" s="289">
        <v>120</v>
      </c>
      <c r="C3" s="290">
        <f t="shared" ref="C3:C20" si="0">B3*1000</f>
        <v>120000</v>
      </c>
    </row>
    <row r="4" spans="1:3" x14ac:dyDescent="0.35">
      <c r="A4" s="289" t="s">
        <v>20</v>
      </c>
      <c r="B4" s="289">
        <v>166</v>
      </c>
      <c r="C4" s="290">
        <f t="shared" si="0"/>
        <v>166000</v>
      </c>
    </row>
    <row r="5" spans="1:3" x14ac:dyDescent="0.35">
      <c r="A5" s="289" t="s">
        <v>198</v>
      </c>
      <c r="B5" s="289">
        <v>82</v>
      </c>
      <c r="C5" s="290">
        <f t="shared" si="0"/>
        <v>82000</v>
      </c>
    </row>
    <row r="6" spans="1:3" x14ac:dyDescent="0.35">
      <c r="A6" s="289" t="s">
        <v>362</v>
      </c>
      <c r="B6" s="289">
        <v>63</v>
      </c>
      <c r="C6" s="290">
        <f t="shared" si="0"/>
        <v>63000</v>
      </c>
    </row>
    <row r="7" spans="1:3" x14ac:dyDescent="0.35">
      <c r="A7" s="291" t="s">
        <v>352</v>
      </c>
      <c r="B7">
        <v>22</v>
      </c>
      <c r="C7" s="290">
        <f>B7*1000</f>
        <v>22000</v>
      </c>
    </row>
    <row r="8" spans="1:3" x14ac:dyDescent="0.35">
      <c r="A8" s="176" t="s">
        <v>353</v>
      </c>
      <c r="B8">
        <v>20</v>
      </c>
      <c r="C8" s="290">
        <f>B8*1000</f>
        <v>20000</v>
      </c>
    </row>
    <row r="9" spans="1:3" x14ac:dyDescent="0.35">
      <c r="A9" s="176" t="s">
        <v>354</v>
      </c>
      <c r="B9">
        <v>9</v>
      </c>
      <c r="C9" s="290">
        <f>B9*1000</f>
        <v>9000</v>
      </c>
    </row>
    <row r="10" spans="1:3" x14ac:dyDescent="0.35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35">
      <c r="A11" s="292" t="s">
        <v>363</v>
      </c>
      <c r="B11" s="289">
        <v>45</v>
      </c>
      <c r="C11" s="290">
        <f t="shared" si="0"/>
        <v>45000</v>
      </c>
    </row>
    <row r="12" spans="1:3" x14ac:dyDescent="0.35">
      <c r="A12" s="291" t="s">
        <v>364</v>
      </c>
      <c r="B12" s="289">
        <v>16</v>
      </c>
      <c r="C12" s="290">
        <f t="shared" si="0"/>
        <v>16000</v>
      </c>
    </row>
    <row r="13" spans="1:3" x14ac:dyDescent="0.35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35">
      <c r="A14" s="292" t="s">
        <v>365</v>
      </c>
      <c r="B14" s="289">
        <v>80</v>
      </c>
      <c r="C14" s="290">
        <f t="shared" si="0"/>
        <v>80000</v>
      </c>
    </row>
    <row r="15" spans="1:3" x14ac:dyDescent="0.35">
      <c r="A15" s="291" t="s">
        <v>346</v>
      </c>
      <c r="B15" s="289">
        <v>26</v>
      </c>
      <c r="C15" s="290">
        <f t="shared" si="0"/>
        <v>26000</v>
      </c>
    </row>
    <row r="16" spans="1:3" x14ac:dyDescent="0.35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35">
      <c r="A17" s="292" t="s">
        <v>366</v>
      </c>
      <c r="B17">
        <v>30</v>
      </c>
      <c r="C17" s="290">
        <f t="shared" si="0"/>
        <v>30000</v>
      </c>
    </row>
    <row r="18" spans="1:3" x14ac:dyDescent="0.35">
      <c r="A18" s="291" t="s">
        <v>367</v>
      </c>
      <c r="B18">
        <v>20</v>
      </c>
      <c r="C18" s="290">
        <f t="shared" si="0"/>
        <v>20000</v>
      </c>
    </row>
    <row r="19" spans="1:3" x14ac:dyDescent="0.35">
      <c r="A19" s="291" t="s">
        <v>368</v>
      </c>
      <c r="B19">
        <v>5</v>
      </c>
      <c r="C19" s="290">
        <f t="shared" si="0"/>
        <v>5000</v>
      </c>
    </row>
    <row r="20" spans="1:3" ht="15" thickBot="1" x14ac:dyDescent="0.4">
      <c r="A20" s="293" t="s">
        <v>369</v>
      </c>
      <c r="B20" s="294">
        <v>5</v>
      </c>
      <c r="C20" s="295">
        <f t="shared" si="0"/>
        <v>5000</v>
      </c>
    </row>
    <row r="21" spans="1:3" x14ac:dyDescent="0.35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X73"/>
  <sheetViews>
    <sheetView tabSelected="1" zoomScale="130" zoomScaleNormal="130" workbookViewId="0">
      <pane xSplit="2" ySplit="8" topLeftCell="G25" activePane="bottomRight" state="frozen"/>
      <selection pane="topRight" activeCell="C1" sqref="C1"/>
      <selection pane="bottomLeft" activeCell="A9" sqref="A9"/>
      <selection pane="bottomRight" activeCell="H57" sqref="H57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50" ht="18.5" x14ac:dyDescent="0.45">
      <c r="A1" s="349" t="s">
        <v>206</v>
      </c>
      <c r="B1" s="350"/>
      <c r="C1" s="35"/>
      <c r="H1"/>
      <c r="I1" s="240"/>
      <c r="J1" s="357" t="s">
        <v>279</v>
      </c>
      <c r="V1" s="341"/>
      <c r="W1" s="341"/>
      <c r="X1" s="341"/>
      <c r="Y1" s="341"/>
    </row>
    <row r="2" spans="1:50" x14ac:dyDescent="0.35">
      <c r="A2" s="351" t="s">
        <v>191</v>
      </c>
      <c r="B2" s="126"/>
      <c r="C2" t="s">
        <v>192</v>
      </c>
      <c r="I2" s="241"/>
      <c r="J2" s="357"/>
    </row>
    <row r="3" spans="1:50" x14ac:dyDescent="0.35">
      <c r="A3" s="352"/>
      <c r="B3" s="127"/>
      <c r="C3" t="s">
        <v>193</v>
      </c>
      <c r="I3" s="241"/>
      <c r="J3" s="357"/>
    </row>
    <row r="4" spans="1:50" x14ac:dyDescent="0.35">
      <c r="A4" s="352"/>
      <c r="B4" s="128"/>
      <c r="C4" t="s">
        <v>194</v>
      </c>
    </row>
    <row r="5" spans="1:50" x14ac:dyDescent="0.35">
      <c r="A5" s="353"/>
      <c r="B5" s="129"/>
      <c r="C5" t="s">
        <v>181</v>
      </c>
    </row>
    <row r="7" spans="1:50" x14ac:dyDescent="0.35">
      <c r="C7" s="354" t="s">
        <v>160</v>
      </c>
      <c r="D7" s="355"/>
      <c r="E7" s="355"/>
      <c r="F7" s="356"/>
      <c r="G7" s="354" t="s">
        <v>165</v>
      </c>
      <c r="H7" s="355"/>
      <c r="I7" s="355"/>
      <c r="J7" s="356"/>
      <c r="K7" s="354" t="s">
        <v>176</v>
      </c>
      <c r="L7" s="355"/>
      <c r="M7" s="355"/>
      <c r="N7" s="355"/>
      <c r="O7" s="354" t="s">
        <v>269</v>
      </c>
      <c r="P7" s="355"/>
      <c r="Q7" s="355"/>
      <c r="R7" s="355"/>
      <c r="S7" s="354" t="s">
        <v>273</v>
      </c>
      <c r="T7" s="355"/>
      <c r="U7" s="355"/>
      <c r="V7" s="355"/>
      <c r="W7" s="354" t="s">
        <v>274</v>
      </c>
      <c r="X7" s="355"/>
      <c r="Y7" s="355"/>
      <c r="Z7" s="355"/>
      <c r="AA7" s="222" t="s">
        <v>275</v>
      </c>
    </row>
    <row r="8" spans="1:50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50" s="2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50" x14ac:dyDescent="0.35">
      <c r="B10" s="86" t="s">
        <v>170</v>
      </c>
      <c r="D10">
        <v>156.16</v>
      </c>
      <c r="E10">
        <v>197.62799999999999</v>
      </c>
      <c r="F10">
        <v>170.20699999999999</v>
      </c>
      <c r="G10">
        <v>164.13699999999989</v>
      </c>
      <c r="H10">
        <v>168.2833827902208</v>
      </c>
      <c r="I10">
        <v>172.42976558044171</v>
      </c>
      <c r="J10">
        <v>173.0148583315212</v>
      </c>
      <c r="K10">
        <v>173.59995108260071</v>
      </c>
      <c r="L10">
        <v>174.1850438336802</v>
      </c>
      <c r="M10">
        <v>174.77013658475971</v>
      </c>
      <c r="N10">
        <v>172.87701948733081</v>
      </c>
      <c r="O10">
        <v>170.98390238990191</v>
      </c>
      <c r="P10">
        <v>169.09078529247299</v>
      </c>
      <c r="Q10">
        <v>167.19766819504409</v>
      </c>
      <c r="R10">
        <v>168.18650468764571</v>
      </c>
      <c r="S10">
        <v>169.1753411802471</v>
      </c>
      <c r="T10">
        <v>170.1641776728485</v>
      </c>
      <c r="U10">
        <v>171.15301416545</v>
      </c>
      <c r="V10">
        <v>173.69648926200901</v>
      </c>
      <c r="W10">
        <v>176.23996435856819</v>
      </c>
      <c r="X10">
        <v>178.78343945512711</v>
      </c>
      <c r="Y10">
        <v>181.3269145516862</v>
      </c>
      <c r="Z10">
        <v>183.85985203007041</v>
      </c>
      <c r="AA10">
        <v>186.3927895084546</v>
      </c>
      <c r="AB10">
        <v>188.9257269868389</v>
      </c>
      <c r="AC10">
        <v>191.45866446522299</v>
      </c>
      <c r="AD10">
        <v>194.36254309952051</v>
      </c>
      <c r="AE10">
        <v>197.26642173381791</v>
      </c>
      <c r="AF10">
        <v>200.17030036811531</v>
      </c>
      <c r="AG10">
        <v>203.07417900241259</v>
      </c>
      <c r="AH10">
        <v>206.00159731602</v>
      </c>
      <c r="AI10">
        <v>208.92901562962729</v>
      </c>
      <c r="AJ10">
        <v>211.85643394323469</v>
      </c>
      <c r="AK10">
        <v>214.7838522568419</v>
      </c>
      <c r="AL10">
        <v>217.8087435385666</v>
      </c>
      <c r="AM10">
        <v>220.83363482029131</v>
      </c>
      <c r="AN10">
        <v>223.85852610201621</v>
      </c>
      <c r="AO10">
        <v>226.88341738374069</v>
      </c>
      <c r="AP10">
        <v>230.0749559980533</v>
      </c>
      <c r="AQ10">
        <v>233.2664946123657</v>
      </c>
      <c r="AR10">
        <v>236.45803322667831</v>
      </c>
      <c r="AS10">
        <v>239.6495718409908</v>
      </c>
      <c r="AT10">
        <v>242.96586225756681</v>
      </c>
      <c r="AU10">
        <v>246.28215267414279</v>
      </c>
      <c r="AV10">
        <v>249.59844309071909</v>
      </c>
      <c r="AW10">
        <v>252.91473350729501</v>
      </c>
      <c r="AX10">
        <v>252.91473350729501</v>
      </c>
    </row>
    <row r="11" spans="1:50" x14ac:dyDescent="0.35">
      <c r="B11" s="86" t="s">
        <v>171</v>
      </c>
      <c r="D11">
        <v>440</v>
      </c>
      <c r="E11">
        <v>363.8</v>
      </c>
      <c r="F11">
        <v>243.1</v>
      </c>
      <c r="G11">
        <v>216.8</v>
      </c>
      <c r="H11">
        <v>201.69787045292151</v>
      </c>
      <c r="I11">
        <v>188.86729215584299</v>
      </c>
      <c r="J11">
        <v>193.24899108297839</v>
      </c>
      <c r="K11">
        <v>199.97623704208269</v>
      </c>
      <c r="L11">
        <v>205.88603266163159</v>
      </c>
      <c r="M11">
        <v>212.3326953411578</v>
      </c>
      <c r="N11">
        <v>229.53998058883141</v>
      </c>
      <c r="O11">
        <v>247.744304662177</v>
      </c>
      <c r="P11">
        <v>267.06071050261841</v>
      </c>
      <c r="Q11">
        <v>286.79894046161343</v>
      </c>
      <c r="R11">
        <v>294.89122979125102</v>
      </c>
      <c r="S11">
        <v>303.40534323944189</v>
      </c>
      <c r="T11">
        <v>312.30293315904561</v>
      </c>
      <c r="U11">
        <v>320.66365601867182</v>
      </c>
      <c r="V11">
        <v>321.93933937542943</v>
      </c>
      <c r="W11">
        <v>323.17667508504508</v>
      </c>
      <c r="X11">
        <v>324.3756631475203</v>
      </c>
      <c r="Y11">
        <v>325.57465120999512</v>
      </c>
      <c r="Z11">
        <v>326.81776402783669</v>
      </c>
      <c r="AA11">
        <v>328.06087684567802</v>
      </c>
      <c r="AB11">
        <v>329.34233731066053</v>
      </c>
      <c r="AC11">
        <v>330.62379777564308</v>
      </c>
      <c r="AD11">
        <v>330.39034332990889</v>
      </c>
      <c r="AE11">
        <v>330.15688888417498</v>
      </c>
      <c r="AF11">
        <v>329.96178208558229</v>
      </c>
      <c r="AG11">
        <v>329.80502293413088</v>
      </c>
      <c r="AH11">
        <v>329.54969477270748</v>
      </c>
      <c r="AI11">
        <v>329.2943666112842</v>
      </c>
      <c r="AJ11">
        <v>329.07738609700209</v>
      </c>
      <c r="AK11">
        <v>328.86040558272009</v>
      </c>
      <c r="AL11">
        <v>328.27361872844011</v>
      </c>
      <c r="AM11">
        <v>327.68683187415991</v>
      </c>
      <c r="AN11">
        <v>327.1000450198793</v>
      </c>
      <c r="AO11">
        <v>326.551605812741</v>
      </c>
      <c r="AP11">
        <v>325.38205024445301</v>
      </c>
      <c r="AQ11">
        <v>324.25084232330607</v>
      </c>
      <c r="AR11">
        <v>323.19632969644169</v>
      </c>
      <c r="AS11">
        <v>322.21851236385947</v>
      </c>
      <c r="AT11">
        <v>320.79501015719001</v>
      </c>
      <c r="AU11">
        <v>319.44820324480298</v>
      </c>
      <c r="AV11">
        <v>318.21643927383991</v>
      </c>
      <c r="AW11">
        <v>317.02302295001772</v>
      </c>
      <c r="AX11">
        <v>317.02302295001772</v>
      </c>
    </row>
    <row r="12" spans="1:50" x14ac:dyDescent="0.35">
      <c r="B12" s="86" t="s">
        <v>172</v>
      </c>
      <c r="D12">
        <v>1779.8</v>
      </c>
      <c r="E12">
        <v>1871.3</v>
      </c>
      <c r="F12">
        <v>1907.1</v>
      </c>
      <c r="G12">
        <v>1958.3</v>
      </c>
      <c r="H12">
        <v>1978.3751090344099</v>
      </c>
      <c r="I12">
        <v>2007.0179878174349</v>
      </c>
      <c r="J12">
        <v>2033.6981662082569</v>
      </c>
      <c r="K12">
        <v>2058.944408239478</v>
      </c>
      <c r="L12">
        <v>2079.7902580671739</v>
      </c>
      <c r="M12">
        <v>2102.1686273791929</v>
      </c>
      <c r="N12">
        <v>2124.2512473170441</v>
      </c>
      <c r="O12">
        <v>2144.5772952143848</v>
      </c>
      <c r="P12">
        <v>2167.3231107185511</v>
      </c>
      <c r="Q12">
        <v>2191.2429616171412</v>
      </c>
      <c r="R12">
        <v>2215.8977049000259</v>
      </c>
      <c r="S12">
        <v>2239.1633223345489</v>
      </c>
      <c r="T12">
        <v>2263.8359898219292</v>
      </c>
      <c r="U12">
        <v>2288.696861456508</v>
      </c>
      <c r="V12">
        <v>2314.5704506450529</v>
      </c>
      <c r="W12">
        <v>2339.8704652897591</v>
      </c>
      <c r="X12">
        <v>2365.3049114681771</v>
      </c>
      <c r="Y12">
        <v>2390.1837073072502</v>
      </c>
      <c r="Z12">
        <v>2414.937033714858</v>
      </c>
      <c r="AA12">
        <v>2439.8964884741581</v>
      </c>
      <c r="AB12">
        <v>2464.336141303103</v>
      </c>
      <c r="AC12">
        <v>2488.5158931668711</v>
      </c>
      <c r="AD12">
        <v>2512.2565020205111</v>
      </c>
      <c r="AE12">
        <v>2535.665513090993</v>
      </c>
      <c r="AF12">
        <v>2559.083486263723</v>
      </c>
      <c r="AG12">
        <v>2582.8330572196101</v>
      </c>
      <c r="AH12">
        <v>2607.0934680036062</v>
      </c>
      <c r="AI12">
        <v>2631.766135490986</v>
      </c>
      <c r="AJ12">
        <v>2656.7704007615239</v>
      </c>
      <c r="AK12">
        <v>2681.7298555208249</v>
      </c>
      <c r="AL12">
        <v>2706.7878934048481</v>
      </c>
      <c r="AM12">
        <v>2731.9265902090979</v>
      </c>
      <c r="AN12">
        <v>2757.0204765021122</v>
      </c>
      <c r="AO12">
        <v>2782.0157796704029</v>
      </c>
      <c r="AP12">
        <v>2807.2440974971282</v>
      </c>
      <c r="AQ12">
        <v>2832.5441121418339</v>
      </c>
      <c r="AR12">
        <v>2858.1488382629541</v>
      </c>
      <c r="AS12">
        <v>2884.2464800076882</v>
      </c>
      <c r="AT12">
        <v>2910.8011889670452</v>
      </c>
      <c r="AU12">
        <v>2937.8756998567569</v>
      </c>
      <c r="AV12">
        <v>2965.0487938711908</v>
      </c>
      <c r="AW12">
        <v>2992.3742436238322</v>
      </c>
      <c r="AX12">
        <v>2992.3742436238322</v>
      </c>
    </row>
    <row r="13" spans="1:50" x14ac:dyDescent="0.35">
      <c r="B13" s="86" t="s">
        <v>173</v>
      </c>
      <c r="D13">
        <v>54.2</v>
      </c>
      <c r="E13">
        <v>90.2</v>
      </c>
      <c r="F13">
        <v>95.9</v>
      </c>
      <c r="G13">
        <v>95.9</v>
      </c>
      <c r="H13">
        <v>96.883099094316492</v>
      </c>
      <c r="I13">
        <v>98.285770837814454</v>
      </c>
      <c r="J13">
        <v>99.592327089502035</v>
      </c>
      <c r="K13">
        <v>100.82866197730991</v>
      </c>
      <c r="L13">
        <v>101.8495050547117</v>
      </c>
      <c r="M13">
        <v>102.94539721476001</v>
      </c>
      <c r="N13">
        <v>104.0268062185081</v>
      </c>
      <c r="O13">
        <v>105.0221940515036</v>
      </c>
      <c r="P13">
        <v>106.1360804360461</v>
      </c>
      <c r="Q13">
        <v>107.30746056226521</v>
      </c>
      <c r="R13">
        <v>108.5148291374726</v>
      </c>
      <c r="S13">
        <v>109.6541707664215</v>
      </c>
      <c r="T13">
        <v>110.8624171086775</v>
      </c>
      <c r="U13">
        <v>112.07988000494259</v>
      </c>
      <c r="V13">
        <v>113.3469367394478</v>
      </c>
      <c r="W13">
        <v>114.58590492840121</v>
      </c>
      <c r="X13">
        <v>115.83145637021821</v>
      </c>
      <c r="Y13">
        <v>117.0497970335318</v>
      </c>
      <c r="Z13">
        <v>118.261993327506</v>
      </c>
      <c r="AA13">
        <v>119.4842839425379</v>
      </c>
      <c r="AB13">
        <v>120.68111931316329</v>
      </c>
      <c r="AC13">
        <v>121.8652270615856</v>
      </c>
      <c r="AD13">
        <v>123.0278295173197</v>
      </c>
      <c r="AE13">
        <v>124.1741932826566</v>
      </c>
      <c r="AF13">
        <v>125.3209959315177</v>
      </c>
      <c r="AG13">
        <v>126.4840372707761</v>
      </c>
      <c r="AH13">
        <v>127.6720949709166</v>
      </c>
      <c r="AI13">
        <v>128.88034131317249</v>
      </c>
      <c r="AJ13">
        <v>130.10482634582559</v>
      </c>
      <c r="AK13">
        <v>131.3271169608575</v>
      </c>
      <c r="AL13">
        <v>132.55423529465611</v>
      </c>
      <c r="AM13">
        <v>133.78530358017301</v>
      </c>
      <c r="AN13">
        <v>135.01417744806861</v>
      </c>
      <c r="AO13">
        <v>136.23822359719739</v>
      </c>
      <c r="AP13">
        <v>137.47368071795671</v>
      </c>
      <c r="AQ13">
        <v>138.71264890691</v>
      </c>
      <c r="AR13">
        <v>139.96653913568781</v>
      </c>
      <c r="AS13">
        <v>141.24456795829931</v>
      </c>
      <c r="AT13">
        <v>142.54497984064739</v>
      </c>
      <c r="AU13">
        <v>143.8708469674018</v>
      </c>
      <c r="AV13">
        <v>145.2015418129231</v>
      </c>
      <c r="AW13">
        <v>146.53969767835659</v>
      </c>
      <c r="AX13">
        <v>146.53969767835659</v>
      </c>
    </row>
    <row r="14" spans="1:50" x14ac:dyDescent="0.35">
      <c r="B14" s="86" t="s">
        <v>175</v>
      </c>
      <c r="D14">
        <v>1336.74</v>
      </c>
      <c r="E14">
        <v>1328.7719999999999</v>
      </c>
      <c r="F14">
        <v>1372.7929999999999</v>
      </c>
      <c r="G14">
        <v>1403.2629999999999</v>
      </c>
      <c r="H14">
        <v>1394.63952711825</v>
      </c>
      <c r="I14">
        <v>1386.0160542364999</v>
      </c>
      <c r="J14">
        <v>1416.247429866125</v>
      </c>
      <c r="K14">
        <v>1446.4788054957489</v>
      </c>
      <c r="L14">
        <v>1476.710181125374</v>
      </c>
      <c r="M14">
        <v>1506.9415567549979</v>
      </c>
      <c r="N14">
        <v>1519.7601557667949</v>
      </c>
      <c r="O14">
        <v>1532.578754778594</v>
      </c>
      <c r="P14">
        <v>1545.397353790391</v>
      </c>
      <c r="Q14">
        <v>1558.2159528021889</v>
      </c>
      <c r="R14">
        <v>1568.782547736397</v>
      </c>
      <c r="S14">
        <v>1579.349142670605</v>
      </c>
      <c r="T14">
        <v>1589.9157376048131</v>
      </c>
      <c r="U14">
        <v>1600.4823325390209</v>
      </c>
      <c r="V14">
        <v>1639.9186754518039</v>
      </c>
      <c r="W14">
        <v>1679.3550183645871</v>
      </c>
      <c r="X14">
        <v>1718.7913612773691</v>
      </c>
      <c r="Y14">
        <v>1758.2277041901521</v>
      </c>
      <c r="Z14">
        <v>1787.619695599499</v>
      </c>
      <c r="AA14">
        <v>1817.0116870088459</v>
      </c>
      <c r="AB14">
        <v>1846.403678418194</v>
      </c>
      <c r="AC14">
        <v>1875.7956698275409</v>
      </c>
      <c r="AD14">
        <v>1908.214872793631</v>
      </c>
      <c r="AE14">
        <v>1940.63407575972</v>
      </c>
      <c r="AF14">
        <v>1973.0532787258101</v>
      </c>
      <c r="AG14">
        <v>2005.472481691899</v>
      </c>
      <c r="AH14">
        <v>2057.1759873287519</v>
      </c>
      <c r="AI14">
        <v>2108.879492965606</v>
      </c>
      <c r="AJ14">
        <v>2160.5829986024601</v>
      </c>
      <c r="AK14">
        <v>2212.2865042393132</v>
      </c>
      <c r="AL14">
        <v>2211.5343138466092</v>
      </c>
      <c r="AM14">
        <v>2210.7821234539051</v>
      </c>
      <c r="AN14">
        <v>2210.0299330612011</v>
      </c>
      <c r="AO14">
        <v>2209.2777426684961</v>
      </c>
      <c r="AP14">
        <v>2261.6493087725662</v>
      </c>
      <c r="AQ14">
        <v>2314.0208748766349</v>
      </c>
      <c r="AR14">
        <v>2366.392440980705</v>
      </c>
      <c r="AS14">
        <v>2418.7640070847742</v>
      </c>
      <c r="AT14">
        <v>2464.3652051309859</v>
      </c>
      <c r="AU14">
        <v>2509.9664031771981</v>
      </c>
      <c r="AV14">
        <v>2555.5676012234089</v>
      </c>
      <c r="AW14">
        <v>2601.1687992696211</v>
      </c>
      <c r="AX14">
        <v>2601.1687992696211</v>
      </c>
    </row>
    <row r="15" spans="1:50" x14ac:dyDescent="0.35">
      <c r="B15" s="86" t="s">
        <v>166</v>
      </c>
      <c r="D15">
        <v>1828.5000000000009</v>
      </c>
      <c r="E15">
        <v>1861.4</v>
      </c>
      <c r="F15">
        <v>1756.1999999999989</v>
      </c>
      <c r="G15">
        <v>1808.7</v>
      </c>
      <c r="H15">
        <v>1629.356357104331</v>
      </c>
      <c r="I15">
        <v>1501.6652887165669</v>
      </c>
      <c r="J15">
        <v>1514.272945247701</v>
      </c>
      <c r="K15">
        <v>1515.6150242949509</v>
      </c>
      <c r="L15">
        <v>1509.926416318757</v>
      </c>
      <c r="M15">
        <v>1493.7178340556329</v>
      </c>
      <c r="N15">
        <v>1512.9609535468801</v>
      </c>
      <c r="O15">
        <v>1522.99399388232</v>
      </c>
      <c r="P15">
        <v>1526.525817874995</v>
      </c>
      <c r="Q15">
        <v>1522.5832732221379</v>
      </c>
      <c r="R15">
        <v>1530.285602569978</v>
      </c>
      <c r="S15">
        <v>1538.937335064132</v>
      </c>
      <c r="T15">
        <v>1547.192951576636</v>
      </c>
      <c r="U15">
        <v>1555.9808389633261</v>
      </c>
      <c r="V15">
        <v>1592.1555871790999</v>
      </c>
      <c r="W15">
        <v>1622.7235946783901</v>
      </c>
      <c r="X15">
        <v>1646.2517581859961</v>
      </c>
      <c r="Y15">
        <v>1663.4196210501891</v>
      </c>
      <c r="Z15">
        <v>1671.430699166094</v>
      </c>
      <c r="AA15">
        <v>1682.1431104472849</v>
      </c>
      <c r="AB15">
        <v>1694.6607802102719</v>
      </c>
      <c r="AC15">
        <v>1709.3896382183029</v>
      </c>
      <c r="AD15">
        <v>1722.372615576626</v>
      </c>
      <c r="AE15">
        <v>1735.0429474429729</v>
      </c>
      <c r="AF15">
        <v>1746.4953393081139</v>
      </c>
      <c r="AG15">
        <v>1757.1882121565191</v>
      </c>
      <c r="AH15">
        <v>1788.9509959744839</v>
      </c>
      <c r="AI15">
        <v>1816.7189541257289</v>
      </c>
      <c r="AJ15">
        <v>1839.6922791598031</v>
      </c>
      <c r="AK15">
        <v>1858.259733230635</v>
      </c>
      <c r="AL15">
        <v>1832.4294189532291</v>
      </c>
      <c r="AM15">
        <v>1818.576749321116</v>
      </c>
      <c r="AN15">
        <v>1816.4404652627579</v>
      </c>
      <c r="AO15">
        <v>1826.107622074454</v>
      </c>
      <c r="AP15">
        <v>1883.521840106393</v>
      </c>
      <c r="AQ15">
        <v>1928.497184954686</v>
      </c>
      <c r="AR15">
        <v>1962.138859372219</v>
      </c>
      <c r="AS15">
        <v>1983.801049724259</v>
      </c>
      <c r="AT15">
        <v>1944.7885028241169</v>
      </c>
      <c r="AU15">
        <v>1906.4485972733521</v>
      </c>
      <c r="AV15">
        <v>1870.239333659976</v>
      </c>
      <c r="AW15">
        <v>1835.4218257479581</v>
      </c>
      <c r="AX15">
        <v>1835.4218257479581</v>
      </c>
    </row>
    <row r="16" spans="1:50" x14ac:dyDescent="0.35">
      <c r="B16" s="86" t="s">
        <v>169</v>
      </c>
      <c r="D16">
        <v>1085.9000000000001</v>
      </c>
      <c r="E16">
        <v>1212.9000000000001</v>
      </c>
      <c r="F16">
        <v>609.79999999999995</v>
      </c>
      <c r="G16">
        <v>402.3</v>
      </c>
      <c r="H16">
        <v>404.18538158623392</v>
      </c>
      <c r="I16">
        <v>406.11408156777497</v>
      </c>
      <c r="J16">
        <v>408.08197438316557</v>
      </c>
      <c r="K16">
        <v>410.07255778657441</v>
      </c>
      <c r="L16">
        <v>412.05076450560961</v>
      </c>
      <c r="M16">
        <v>413.998029513711</v>
      </c>
      <c r="N16">
        <v>415.93291783743882</v>
      </c>
      <c r="O16">
        <v>417.86368059970891</v>
      </c>
      <c r="P16">
        <v>419.80063170416571</v>
      </c>
      <c r="Q16">
        <v>421.75614783518279</v>
      </c>
      <c r="R16">
        <v>423.7302289927602</v>
      </c>
      <c r="S16">
        <v>425.71668683471103</v>
      </c>
      <c r="T16">
        <v>427.69901911520401</v>
      </c>
      <c r="U16">
        <v>429.68753973788392</v>
      </c>
      <c r="V16">
        <v>431.68018592202162</v>
      </c>
      <c r="W16">
        <v>433.67076932543029</v>
      </c>
      <c r="X16">
        <v>435.63659936009208</v>
      </c>
      <c r="Y16">
        <v>437.58798992965131</v>
      </c>
      <c r="Z16">
        <v>439.52494103410811</v>
      </c>
      <c r="AA16">
        <v>441.44951545419133</v>
      </c>
      <c r="AB16">
        <v>443.35552484771432</v>
      </c>
      <c r="AC16">
        <v>445.25947146050851</v>
      </c>
      <c r="AD16">
        <v>447.16548085403139</v>
      </c>
      <c r="AE16">
        <v>449.0735530282833</v>
      </c>
      <c r="AF16">
        <v>450.98368798326419</v>
      </c>
      <c r="AG16">
        <v>452.90619962261849</v>
      </c>
      <c r="AH16">
        <v>454.83283682343068</v>
      </c>
      <c r="AI16">
        <v>456.76772514715861</v>
      </c>
      <c r="AJ16">
        <v>458.72736683963342</v>
      </c>
      <c r="AK16">
        <v>460.70763633939748</v>
      </c>
      <c r="AL16">
        <v>462.71059642718001</v>
      </c>
      <c r="AM16">
        <v>464.73212154152247</v>
      </c>
      <c r="AN16">
        <v>466.76808612096738</v>
      </c>
      <c r="AO16">
        <v>468.80198791968348</v>
      </c>
      <c r="AP16">
        <v>470.83176415694169</v>
      </c>
      <c r="AQ16">
        <v>472.86360317492881</v>
      </c>
      <c r="AR16">
        <v>474.89544219291588</v>
      </c>
      <c r="AS16">
        <v>476.92728121090312</v>
      </c>
      <c r="AT16">
        <v>478.96530857107712</v>
      </c>
      <c r="AU16">
        <v>481.00539871197992</v>
      </c>
      <c r="AV16">
        <v>483.04961441434068</v>
      </c>
      <c r="AW16">
        <v>485.09176733597252</v>
      </c>
      <c r="AX16">
        <v>485.09176733597252</v>
      </c>
    </row>
    <row r="17" spans="1:50" x14ac:dyDescent="0.35">
      <c r="B17" t="s">
        <v>195</v>
      </c>
      <c r="D17">
        <v>884.2600000000001</v>
      </c>
      <c r="E17">
        <v>242.12799999999999</v>
      </c>
      <c r="F17">
        <v>225.90700000000001</v>
      </c>
      <c r="G17">
        <v>260.73700000000002</v>
      </c>
      <c r="H17">
        <v>232.07518871317359</v>
      </c>
      <c r="I17">
        <v>215.720203842161</v>
      </c>
      <c r="J17">
        <v>220.89139620745101</v>
      </c>
      <c r="K17">
        <v>226.76914626180869</v>
      </c>
      <c r="L17">
        <v>232.32795235033251</v>
      </c>
      <c r="M17">
        <v>237.9298898973548</v>
      </c>
      <c r="N17">
        <v>251.6040694504666</v>
      </c>
      <c r="O17">
        <v>265.27969850165113</v>
      </c>
      <c r="P17">
        <v>279.09879389494898</v>
      </c>
      <c r="Q17">
        <v>293.05961551598227</v>
      </c>
      <c r="R17">
        <v>298.02592203707633</v>
      </c>
      <c r="S17">
        <v>303.15281641427401</v>
      </c>
      <c r="T17">
        <v>308.34003676535349</v>
      </c>
      <c r="U17">
        <v>313.62925193845189</v>
      </c>
      <c r="V17">
        <v>314.05502117082477</v>
      </c>
      <c r="W17">
        <v>314.5186220365847</v>
      </c>
      <c r="X17">
        <v>315.03063898617683</v>
      </c>
      <c r="Y17">
        <v>315.58362470772079</v>
      </c>
      <c r="Z17">
        <v>316.2395853229205</v>
      </c>
      <c r="AA17">
        <v>316.95514017513671</v>
      </c>
      <c r="AB17">
        <v>317.71048621778692</v>
      </c>
      <c r="AC17">
        <v>318.55415230022101</v>
      </c>
      <c r="AD17">
        <v>318.29850133827199</v>
      </c>
      <c r="AE17">
        <v>318.13366691457782</v>
      </c>
      <c r="AF17">
        <v>318.04565082439819</v>
      </c>
      <c r="AG17">
        <v>318.06410134177349</v>
      </c>
      <c r="AH17">
        <v>318.09729229239042</v>
      </c>
      <c r="AI17">
        <v>318.17786928038868</v>
      </c>
      <c r="AJ17">
        <v>318.36379279589238</v>
      </c>
      <c r="AK17">
        <v>318.64707655433722</v>
      </c>
      <c r="AL17">
        <v>318.72234084172197</v>
      </c>
      <c r="AM17">
        <v>318.86952061123691</v>
      </c>
      <c r="AN17">
        <v>319.10267892127462</v>
      </c>
      <c r="AO17">
        <v>319.38590629755907</v>
      </c>
      <c r="AP17">
        <v>319.19110945656053</v>
      </c>
      <c r="AQ17">
        <v>319.05567634036208</v>
      </c>
      <c r="AR17">
        <v>318.97514203538952</v>
      </c>
      <c r="AS17">
        <v>318.9496051242694</v>
      </c>
      <c r="AT17">
        <v>318.60334826748328</v>
      </c>
      <c r="AU17">
        <v>318.31720335346819</v>
      </c>
      <c r="AV17">
        <v>318.11173048290601</v>
      </c>
      <c r="AW17">
        <v>317.95738112604761</v>
      </c>
      <c r="AX17">
        <v>317.95738112604761</v>
      </c>
    </row>
    <row r="19" spans="1:50" x14ac:dyDescent="0.35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50" ht="18.5" x14ac:dyDescent="0.4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50" x14ac:dyDescent="0.35">
      <c r="B21" t="s">
        <v>184</v>
      </c>
      <c r="D21" s="102">
        <f>main!L112/1000</f>
        <v>156.18299999999999</v>
      </c>
      <c r="E21" s="104">
        <f>main!M112/1000</f>
        <v>197.631</v>
      </c>
      <c r="F21" s="104">
        <f>main!N112/1000</f>
        <v>161.43899999999999</v>
      </c>
      <c r="G21" s="149">
        <f>main!O112/1000</f>
        <v>178.30281690641254</v>
      </c>
      <c r="H21" s="104">
        <f>main!P112/1000</f>
        <v>180.08208413464209</v>
      </c>
      <c r="I21" s="104">
        <f>main!Q112/1000</f>
        <v>180.08208413464209</v>
      </c>
      <c r="J21" s="104">
        <f>main!R112/1000</f>
        <v>180.08208413464209</v>
      </c>
      <c r="K21" s="149">
        <f>main!S112/1000</f>
        <v>180.08208413464209</v>
      </c>
      <c r="L21" s="104">
        <f>main!T112/1000</f>
        <v>221.63948816571326</v>
      </c>
      <c r="M21" s="223">
        <f>main!U112/1000</f>
        <v>221.63948816571326</v>
      </c>
      <c r="N21" s="104">
        <f>M21*(1+N23)</f>
        <v>219.23868038063489</v>
      </c>
      <c r="O21" s="149">
        <f t="shared" ref="O21:AA21" si="0">N21*(1+O23)</f>
        <v>216.83787259555652</v>
      </c>
      <c r="P21" s="104">
        <f t="shared" si="0"/>
        <v>214.43706481047812</v>
      </c>
      <c r="Q21" s="104">
        <f t="shared" si="0"/>
        <v>212.03625702539975</v>
      </c>
      <c r="R21" s="104">
        <f t="shared" si="0"/>
        <v>213.29027683898224</v>
      </c>
      <c r="S21" s="149">
        <f t="shared" si="0"/>
        <v>214.54429665256438</v>
      </c>
      <c r="T21" s="104">
        <f t="shared" si="0"/>
        <v>215.79831646614656</v>
      </c>
      <c r="U21" s="104">
        <f t="shared" si="0"/>
        <v>217.05233627972888</v>
      </c>
      <c r="V21" s="104">
        <f t="shared" si="0"/>
        <v>220.27791319795816</v>
      </c>
      <c r="W21" s="149">
        <f t="shared" si="0"/>
        <v>223.50349011618766</v>
      </c>
      <c r="X21" s="104">
        <f t="shared" si="0"/>
        <v>226.72906703441683</v>
      </c>
      <c r="Y21" s="104">
        <f t="shared" si="0"/>
        <v>229.95464395264619</v>
      </c>
      <c r="Z21" s="104">
        <f t="shared" si="0"/>
        <v>233.16685730462561</v>
      </c>
      <c r="AA21" s="149">
        <f t="shared" si="0"/>
        <v>236.37907065660497</v>
      </c>
      <c r="AB21" s="95"/>
    </row>
    <row r="22" spans="1:50" x14ac:dyDescent="0.35">
      <c r="B22" t="s">
        <v>177</v>
      </c>
      <c r="D22" s="102">
        <f t="shared" ref="D22:AA22" si="1">D10</f>
        <v>156.16</v>
      </c>
      <c r="E22" s="104">
        <f t="shared" si="1"/>
        <v>197.62799999999999</v>
      </c>
      <c r="F22" s="104">
        <f t="shared" si="1"/>
        <v>170.20699999999999</v>
      </c>
      <c r="G22" s="149">
        <f t="shared" si="1"/>
        <v>164.13699999999989</v>
      </c>
      <c r="H22" s="104">
        <f t="shared" si="1"/>
        <v>168.2833827902208</v>
      </c>
      <c r="I22" s="104">
        <f t="shared" si="1"/>
        <v>172.42976558044171</v>
      </c>
      <c r="J22" s="104">
        <f t="shared" si="1"/>
        <v>173.0148583315212</v>
      </c>
      <c r="K22" s="149">
        <f t="shared" si="1"/>
        <v>173.59995108260071</v>
      </c>
      <c r="L22" s="104">
        <f t="shared" si="1"/>
        <v>174.1850438336802</v>
      </c>
      <c r="M22" s="223">
        <f t="shared" si="1"/>
        <v>174.77013658475971</v>
      </c>
      <c r="N22" s="104">
        <f t="shared" si="1"/>
        <v>172.87701948733081</v>
      </c>
      <c r="O22" s="149">
        <f t="shared" si="1"/>
        <v>170.98390238990191</v>
      </c>
      <c r="P22" s="104">
        <f t="shared" si="1"/>
        <v>169.09078529247299</v>
      </c>
      <c r="Q22" s="104">
        <f t="shared" si="1"/>
        <v>167.19766819504409</v>
      </c>
      <c r="R22" s="104">
        <f t="shared" si="1"/>
        <v>168.18650468764571</v>
      </c>
      <c r="S22" s="149">
        <f t="shared" si="1"/>
        <v>169.1753411802471</v>
      </c>
      <c r="T22" s="104">
        <f t="shared" si="1"/>
        <v>170.1641776728485</v>
      </c>
      <c r="U22" s="104">
        <f t="shared" si="1"/>
        <v>171.15301416545</v>
      </c>
      <c r="V22" s="104">
        <f t="shared" si="1"/>
        <v>173.69648926200901</v>
      </c>
      <c r="W22" s="149">
        <f t="shared" si="1"/>
        <v>176.23996435856819</v>
      </c>
      <c r="X22" s="104">
        <f t="shared" si="1"/>
        <v>178.78343945512711</v>
      </c>
      <c r="Y22" s="104">
        <f t="shared" si="1"/>
        <v>181.3269145516862</v>
      </c>
      <c r="Z22" s="104">
        <f t="shared" si="1"/>
        <v>183.85985203007041</v>
      </c>
      <c r="AA22" s="149">
        <f t="shared" si="1"/>
        <v>186.3927895084546</v>
      </c>
      <c r="AB22" s="95"/>
    </row>
    <row r="23" spans="1:50" s="170" customFormat="1" ht="12" x14ac:dyDescent="0.3">
      <c r="B23" s="210" t="s">
        <v>277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-1.0832039926402248E-2</v>
      </c>
      <c r="O23" s="246">
        <f t="shared" ref="O23" si="3">(O22/N22)-1</f>
        <v>-1.0950657889885917E-2</v>
      </c>
      <c r="P23" s="230">
        <f t="shared" ref="P23" si="4">(P22/O22)-1</f>
        <v>-1.1071902506424092E-2</v>
      </c>
      <c r="Q23" s="230">
        <f t="shared" ref="Q23" si="5">(Q22/P22)-1</f>
        <v>-1.1195861998951728E-2</v>
      </c>
      <c r="R23" s="230">
        <f t="shared" ref="R23" si="6">(R22/Q22)-1</f>
        <v>5.9141763355701205E-3</v>
      </c>
      <c r="S23" s="246">
        <f t="shared" ref="S23" si="7">(S22/R22)-1</f>
        <v>5.8794045006038687E-3</v>
      </c>
      <c r="T23" s="230">
        <f t="shared" ref="T23" si="8">(T22/S22)-1</f>
        <v>5.8450391511126742E-3</v>
      </c>
      <c r="U23" s="230">
        <f t="shared" ref="U23" si="9">(U22/T22)-1</f>
        <v>5.8110732007450316E-3</v>
      </c>
      <c r="V23" s="230">
        <f t="shared" ref="V23" si="10">(V22/U22)-1</f>
        <v>1.4860825612456274E-2</v>
      </c>
      <c r="W23" s="246">
        <f t="shared" ref="W23" si="11">(W22/V22)-1</f>
        <v>1.4643215342841742E-2</v>
      </c>
      <c r="X23" s="230">
        <f t="shared" ref="X23" si="12">(X22/W22)-1</f>
        <v>1.4431886126486715E-2</v>
      </c>
      <c r="Y23" s="230">
        <f t="shared" ref="Y23" si="13">(Y22/X22)-1</f>
        <v>1.4226569889866481E-2</v>
      </c>
      <c r="Z23" s="230">
        <f t="shared" ref="Z23" si="14">(Z22/Y22)-1</f>
        <v>1.3968899678498792E-2</v>
      </c>
      <c r="AA23" s="246">
        <f t="shared" ref="AA23" si="15">(AA22/Z22)-1</f>
        <v>1.3776457722645796E-2</v>
      </c>
      <c r="AB23" s="243"/>
    </row>
    <row r="24" spans="1:50" s="97" customFormat="1" x14ac:dyDescent="0.35">
      <c r="B24" s="99" t="s">
        <v>178</v>
      </c>
      <c r="D24" s="103"/>
      <c r="E24" s="217"/>
      <c r="F24" s="217">
        <f t="shared" ref="F24" si="16">F21-F22</f>
        <v>-8.7680000000000007</v>
      </c>
      <c r="G24" s="150">
        <f t="shared" ref="G24" si="17">G21-G22</f>
        <v>14.165816906412658</v>
      </c>
      <c r="H24" s="217">
        <f t="shared" ref="H24" si="18">H21-H22</f>
        <v>11.798701344421289</v>
      </c>
      <c r="I24" s="217">
        <f t="shared" ref="I24" si="19">I21-I22</f>
        <v>7.6523185542003773</v>
      </c>
      <c r="J24" s="217">
        <f t="shared" ref="J24" si="20">J21-J22</f>
        <v>7.0672258031208912</v>
      </c>
      <c r="K24" s="150">
        <f t="shared" ref="K24:AA24" si="21">K21-K22</f>
        <v>6.4821330520413767</v>
      </c>
      <c r="L24" s="217">
        <f t="shared" si="21"/>
        <v>47.454444332033063</v>
      </c>
      <c r="M24" s="239">
        <f t="shared" si="21"/>
        <v>46.869351580953548</v>
      </c>
      <c r="N24" s="217">
        <f t="shared" si="21"/>
        <v>46.361660893304077</v>
      </c>
      <c r="O24" s="150">
        <f t="shared" si="21"/>
        <v>45.853970205654605</v>
      </c>
      <c r="P24" s="217">
        <f t="shared" si="21"/>
        <v>45.346279518005133</v>
      </c>
      <c r="Q24" s="217">
        <f t="shared" si="21"/>
        <v>44.838588830355661</v>
      </c>
      <c r="R24" s="217">
        <f t="shared" si="21"/>
        <v>45.103772151336528</v>
      </c>
      <c r="S24" s="150">
        <f t="shared" si="21"/>
        <v>45.368955472317282</v>
      </c>
      <c r="T24" s="217">
        <f t="shared" si="21"/>
        <v>45.634138793298064</v>
      </c>
      <c r="U24" s="217">
        <f t="shared" si="21"/>
        <v>45.899322114278874</v>
      </c>
      <c r="V24" s="217">
        <f t="shared" si="21"/>
        <v>46.581423935949147</v>
      </c>
      <c r="W24" s="150">
        <f t="shared" si="21"/>
        <v>47.263525757619476</v>
      </c>
      <c r="X24" s="217">
        <f t="shared" si="21"/>
        <v>47.94562757928972</v>
      </c>
      <c r="Y24" s="217">
        <f t="shared" si="21"/>
        <v>48.627729400959993</v>
      </c>
      <c r="Z24" s="217">
        <f t="shared" si="21"/>
        <v>49.307005274555195</v>
      </c>
      <c r="AA24" s="150">
        <f t="shared" si="21"/>
        <v>49.986281148150368</v>
      </c>
      <c r="AB24" s="244"/>
    </row>
    <row r="25" spans="1:50" x14ac:dyDescent="0.35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50" x14ac:dyDescent="0.35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50" ht="18.5" x14ac:dyDescent="0.4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50" x14ac:dyDescent="0.35">
      <c r="B28" t="s">
        <v>187</v>
      </c>
      <c r="D28" s="102"/>
      <c r="E28" s="104">
        <f>main!L113/1000</f>
        <v>404.40166666666676</v>
      </c>
      <c r="F28" s="104">
        <f>main!M113/1000</f>
        <v>330.77699999999999</v>
      </c>
      <c r="G28" s="104">
        <f>main!N113/1000</f>
        <v>181.80799999999999</v>
      </c>
      <c r="H28" s="104">
        <f>main!O113/1000</f>
        <v>205.47077000000002</v>
      </c>
      <c r="I28" s="104">
        <f>main!P113/1000</f>
        <v>189.83444692499995</v>
      </c>
      <c r="J28" s="104">
        <f>main!Q113/1000</f>
        <v>190.56361915962492</v>
      </c>
      <c r="K28" s="104">
        <f>main!R113/1000</f>
        <v>191.66284630332211</v>
      </c>
      <c r="L28" s="104">
        <f>main!S113/1000</f>
        <v>193.13947476635536</v>
      </c>
      <c r="M28" s="104">
        <f>L28*(1 + M30)</f>
        <v>199.18701974948621</v>
      </c>
      <c r="N28" s="104">
        <f t="shared" ref="N28:AA28" si="22">M28*(1 + N30)</f>
        <v>215.32898912898497</v>
      </c>
      <c r="O28" s="104">
        <f t="shared" si="22"/>
        <v>232.40626991655981</v>
      </c>
      <c r="P28" s="104">
        <f t="shared" si="22"/>
        <v>250.52678265929654</v>
      </c>
      <c r="Q28" s="104">
        <f t="shared" si="22"/>
        <v>269.04300407468099</v>
      </c>
      <c r="R28" s="104">
        <f t="shared" si="22"/>
        <v>276.63429373419979</v>
      </c>
      <c r="S28" s="104">
        <f t="shared" si="22"/>
        <v>284.62129206636587</v>
      </c>
      <c r="T28" s="104">
        <f t="shared" si="22"/>
        <v>292.96802555548481</v>
      </c>
      <c r="U28" s="104">
        <f t="shared" si="22"/>
        <v>300.81112982487019</v>
      </c>
      <c r="V28" s="104">
        <f t="shared" si="22"/>
        <v>302.00783467321349</v>
      </c>
      <c r="W28" s="104">
        <f t="shared" si="22"/>
        <v>303.1685660058609</v>
      </c>
      <c r="X28" s="104">
        <f t="shared" si="22"/>
        <v>304.29332382281382</v>
      </c>
      <c r="Y28" s="104">
        <f t="shared" si="22"/>
        <v>305.41808163976634</v>
      </c>
      <c r="Z28" s="104">
        <f t="shared" si="22"/>
        <v>306.58423241555909</v>
      </c>
      <c r="AA28" s="104">
        <f t="shared" si="22"/>
        <v>307.7503831913516</v>
      </c>
      <c r="AB28" s="95"/>
    </row>
    <row r="29" spans="1:50" x14ac:dyDescent="0.35">
      <c r="B29" t="s">
        <v>177</v>
      </c>
      <c r="D29" s="102">
        <f t="shared" ref="D29:AA29" si="23">D11</f>
        <v>440</v>
      </c>
      <c r="E29" s="104">
        <f t="shared" si="23"/>
        <v>363.8</v>
      </c>
      <c r="F29" s="104">
        <f t="shared" si="23"/>
        <v>243.1</v>
      </c>
      <c r="G29" s="149">
        <f t="shared" si="23"/>
        <v>216.8</v>
      </c>
      <c r="H29" s="104">
        <f t="shared" si="23"/>
        <v>201.69787045292151</v>
      </c>
      <c r="I29" s="104">
        <f t="shared" si="23"/>
        <v>188.86729215584299</v>
      </c>
      <c r="J29" s="104">
        <f t="shared" si="23"/>
        <v>193.24899108297839</v>
      </c>
      <c r="K29" s="149">
        <f t="shared" si="23"/>
        <v>199.97623704208269</v>
      </c>
      <c r="L29" s="223">
        <f t="shared" si="23"/>
        <v>205.88603266163159</v>
      </c>
      <c r="M29" s="104">
        <f t="shared" si="23"/>
        <v>212.3326953411578</v>
      </c>
      <c r="N29" s="104">
        <f t="shared" si="23"/>
        <v>229.53998058883141</v>
      </c>
      <c r="O29" s="149">
        <f t="shared" si="23"/>
        <v>247.744304662177</v>
      </c>
      <c r="P29" s="104">
        <f t="shared" si="23"/>
        <v>267.06071050261841</v>
      </c>
      <c r="Q29" s="104">
        <f t="shared" si="23"/>
        <v>286.79894046161343</v>
      </c>
      <c r="R29" s="104">
        <f t="shared" si="23"/>
        <v>294.89122979125102</v>
      </c>
      <c r="S29" s="149">
        <f t="shared" si="23"/>
        <v>303.40534323944189</v>
      </c>
      <c r="T29" s="104">
        <f t="shared" si="23"/>
        <v>312.30293315904561</v>
      </c>
      <c r="U29" s="104">
        <f t="shared" si="23"/>
        <v>320.66365601867182</v>
      </c>
      <c r="V29" s="104">
        <f t="shared" si="23"/>
        <v>321.93933937542943</v>
      </c>
      <c r="W29" s="149">
        <f t="shared" si="23"/>
        <v>323.17667508504508</v>
      </c>
      <c r="X29" s="104">
        <f t="shared" si="23"/>
        <v>324.3756631475203</v>
      </c>
      <c r="Y29" s="104">
        <f t="shared" si="23"/>
        <v>325.57465120999512</v>
      </c>
      <c r="Z29" s="104">
        <f t="shared" si="23"/>
        <v>326.81776402783669</v>
      </c>
      <c r="AA29" s="149">
        <f t="shared" si="23"/>
        <v>328.06087684567802</v>
      </c>
      <c r="AB29" s="95"/>
    </row>
    <row r="30" spans="1:50" s="170" customFormat="1" ht="12" x14ac:dyDescent="0.3">
      <c r="B30" s="210" t="s">
        <v>277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3.1311801952690788E-2</v>
      </c>
      <c r="N30" s="230">
        <f t="shared" ref="N30" si="25">(N29/M29)-1</f>
        <v>8.1039263501207159E-2</v>
      </c>
      <c r="O30" s="246">
        <f t="shared" ref="O30" si="26">(O29/N29)-1</f>
        <v>7.9307857509818724E-2</v>
      </c>
      <c r="P30" s="230">
        <f t="shared" ref="P30" si="27">(P29/O29)-1</f>
        <v>7.7969121699007937E-2</v>
      </c>
      <c r="Q30" s="230">
        <f t="shared" ref="Q30" si="28">(Q29/P29)-1</f>
        <v>7.390914942840876E-2</v>
      </c>
      <c r="R30" s="230">
        <f t="shared" ref="R30" si="29">(R29/Q29)-1</f>
        <v>2.8215896880974478E-2</v>
      </c>
      <c r="S30" s="246">
        <f t="shared" ref="S30" si="30">(S29/R29)-1</f>
        <v>2.8872047006002433E-2</v>
      </c>
      <c r="T30" s="230">
        <f t="shared" ref="T30" si="31">(T29/S29)-1</f>
        <v>2.9325752225074941E-2</v>
      </c>
      <c r="U30" s="230">
        <f t="shared" ref="U30" si="32">(U29/T29)-1</f>
        <v>2.6771195438527462E-2</v>
      </c>
      <c r="V30" s="230">
        <f t="shared" ref="V30" si="33">(V29/U29)-1</f>
        <v>3.9782598770199407E-3</v>
      </c>
      <c r="W30" s="246">
        <f t="shared" ref="W30" si="34">(W29/V29)-1</f>
        <v>3.8433815265201954E-3</v>
      </c>
      <c r="X30" s="230">
        <f t="shared" ref="X30" si="35">(X29/W29)-1</f>
        <v>3.7100080386671674E-3</v>
      </c>
      <c r="Y30" s="230">
        <f t="shared" ref="Y30" si="36">(Y29/X29)-1</f>
        <v>3.6962947554100012E-3</v>
      </c>
      <c r="Z30" s="230">
        <f t="shared" ref="Z30" si="37">(Z29/Y29)-1</f>
        <v>3.8182113171942866E-3</v>
      </c>
      <c r="AA30" s="246">
        <f t="shared" ref="AA30" si="38">(AA29/Z29)-1</f>
        <v>3.8036880325007516E-3</v>
      </c>
      <c r="AB30" s="243"/>
    </row>
    <row r="31" spans="1:50" s="97" customFormat="1" x14ac:dyDescent="0.35">
      <c r="B31" s="99" t="s">
        <v>178</v>
      </c>
      <c r="D31" s="103"/>
      <c r="E31" s="217"/>
      <c r="F31" s="217">
        <f t="shared" ref="F31" si="39">F28-F29</f>
        <v>87.676999999999992</v>
      </c>
      <c r="G31" s="150">
        <f t="shared" ref="G31" si="40">G28-G29</f>
        <v>-34.992000000000019</v>
      </c>
      <c r="H31" s="217">
        <f t="shared" ref="H31" si="41">H28-H29</f>
        <v>3.7728995470785094</v>
      </c>
      <c r="I31" s="217">
        <f t="shared" ref="I31" si="42">I28-I29</f>
        <v>0.96715476915696286</v>
      </c>
      <c r="J31" s="217">
        <f t="shared" ref="J31" si="43">J28-J29</f>
        <v>-2.6853719233534719</v>
      </c>
      <c r="K31" s="150">
        <f t="shared" ref="K31:N31" si="44">K28-K29</f>
        <v>-8.3133907387605745</v>
      </c>
      <c r="L31" s="239">
        <f t="shared" si="44"/>
        <v>-12.746557895276226</v>
      </c>
      <c r="M31" s="217">
        <f t="shared" si="44"/>
        <v>-13.145675591671591</v>
      </c>
      <c r="N31" s="217">
        <f t="shared" si="44"/>
        <v>-14.21099145984644</v>
      </c>
      <c r="O31" s="150">
        <f t="shared" ref="O31:AA31" si="45">O28-O29</f>
        <v>-15.338034745617193</v>
      </c>
      <c r="P31" s="150">
        <f t="shared" si="45"/>
        <v>-16.533927843321862</v>
      </c>
      <c r="Q31" s="150">
        <f t="shared" si="45"/>
        <v>-17.755936386932433</v>
      </c>
      <c r="R31" s="150">
        <f t="shared" si="45"/>
        <v>-18.256936057051234</v>
      </c>
      <c r="S31" s="150">
        <f t="shared" si="45"/>
        <v>-18.784051173076023</v>
      </c>
      <c r="T31" s="150">
        <f t="shared" si="45"/>
        <v>-19.334907603560794</v>
      </c>
      <c r="U31" s="150">
        <f t="shared" si="45"/>
        <v>-19.852526193801623</v>
      </c>
      <c r="V31" s="150">
        <f t="shared" si="45"/>
        <v>-19.931504702215932</v>
      </c>
      <c r="W31" s="150">
        <f t="shared" si="45"/>
        <v>-20.00810907918418</v>
      </c>
      <c r="X31" s="150">
        <f t="shared" si="45"/>
        <v>-20.082339324706481</v>
      </c>
      <c r="Y31" s="150">
        <f t="shared" si="45"/>
        <v>-20.156569570228783</v>
      </c>
      <c r="Z31" s="150">
        <f t="shared" si="45"/>
        <v>-20.233531612277602</v>
      </c>
      <c r="AA31" s="150">
        <f t="shared" si="45"/>
        <v>-20.310493654326422</v>
      </c>
      <c r="AB31" s="244"/>
    </row>
    <row r="32" spans="1:50" s="97" customFormat="1" x14ac:dyDescent="0.35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35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8.5" x14ac:dyDescent="0.4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35">
      <c r="B35" t="s">
        <v>270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1871.3489999999999</v>
      </c>
      <c r="H35" s="104">
        <f>main!O26</f>
        <v>1903.7063183081548</v>
      </c>
      <c r="I35" s="104">
        <f>main!P26</f>
        <v>1923.2217714611611</v>
      </c>
      <c r="J35" s="104">
        <f>main!Q26</f>
        <v>1951.0661412276827</v>
      </c>
      <c r="K35" s="149">
        <f>main!R26</f>
        <v>1977.0025269582627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35">
      <c r="B36" t="s">
        <v>177</v>
      </c>
      <c r="D36" s="102">
        <f t="shared" ref="D36:K36" si="46">D12</f>
        <v>1779.8</v>
      </c>
      <c r="E36" s="104">
        <f t="shared" si="46"/>
        <v>1871.3</v>
      </c>
      <c r="F36" s="104">
        <f t="shared" si="46"/>
        <v>1907.1</v>
      </c>
      <c r="G36" s="149">
        <f t="shared" si="46"/>
        <v>1958.3</v>
      </c>
      <c r="H36" s="104">
        <f t="shared" si="46"/>
        <v>1978.3751090344099</v>
      </c>
      <c r="I36" s="104">
        <f t="shared" si="46"/>
        <v>2007.0179878174349</v>
      </c>
      <c r="J36" s="104">
        <f t="shared" si="46"/>
        <v>2033.6981662082569</v>
      </c>
      <c r="K36" s="149">
        <f t="shared" si="46"/>
        <v>2058.944408239478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35">
      <c r="B37" s="99" t="s">
        <v>178</v>
      </c>
      <c r="D37" s="103"/>
      <c r="E37" s="217"/>
      <c r="F37" s="217">
        <f>F35-F36</f>
        <v>-35.750999999999976</v>
      </c>
      <c r="G37" s="150">
        <f t="shared" ref="G37:K37" si="47">G35-G36</f>
        <v>-86.951000000000022</v>
      </c>
      <c r="H37" s="217">
        <f t="shared" si="47"/>
        <v>-74.668790726255111</v>
      </c>
      <c r="I37" s="217">
        <f t="shared" si="47"/>
        <v>-83.796216356273817</v>
      </c>
      <c r="J37" s="217">
        <f t="shared" si="47"/>
        <v>-82.632024980574215</v>
      </c>
      <c r="K37" s="150">
        <f t="shared" si="47"/>
        <v>-81.941881281215274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35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8.5" x14ac:dyDescent="0.4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35">
      <c r="B41" t="s">
        <v>270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93.099822865051522</v>
      </c>
      <c r="I41" s="104">
        <f>main!P30</f>
        <v>94.054216520313844</v>
      </c>
      <c r="J41" s="104">
        <f>main!Q30</f>
        <v>95.415931753447055</v>
      </c>
      <c r="K41" s="149">
        <f>main!R30</f>
        <v>96.684337964034526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B42" t="s">
        <v>177</v>
      </c>
      <c r="D42" s="102">
        <f t="shared" ref="D42:K42" si="48">D13</f>
        <v>54.2</v>
      </c>
      <c r="E42" s="104">
        <f t="shared" si="48"/>
        <v>90.2</v>
      </c>
      <c r="F42" s="104">
        <f t="shared" si="48"/>
        <v>95.9</v>
      </c>
      <c r="G42" s="149">
        <f t="shared" si="48"/>
        <v>95.9</v>
      </c>
      <c r="H42" s="104">
        <f t="shared" si="48"/>
        <v>96.883099094316492</v>
      </c>
      <c r="I42" s="104">
        <f t="shared" si="48"/>
        <v>98.285770837814454</v>
      </c>
      <c r="J42" s="104">
        <f t="shared" si="48"/>
        <v>99.592327089502035</v>
      </c>
      <c r="K42" s="149">
        <f t="shared" si="48"/>
        <v>100.82866197730991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35">
      <c r="B43" s="99" t="s">
        <v>178</v>
      </c>
      <c r="D43" s="103"/>
      <c r="E43" s="217"/>
      <c r="F43" s="217">
        <f>F41-F42</f>
        <v>-5.7000000000000028</v>
      </c>
      <c r="G43" s="150">
        <f t="shared" ref="G43:K43" si="49">G41-G42</f>
        <v>-4.3825959008611193</v>
      </c>
      <c r="H43" s="217">
        <f t="shared" si="49"/>
        <v>-3.7832762292649704</v>
      </c>
      <c r="I43" s="217">
        <f t="shared" si="49"/>
        <v>-4.2315543175006098</v>
      </c>
      <c r="J43" s="217">
        <f t="shared" si="49"/>
        <v>-4.1763953360549806</v>
      </c>
      <c r="K43" s="150">
        <f t="shared" si="49"/>
        <v>-4.14432401327538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35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8.5" x14ac:dyDescent="0.4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35">
      <c r="B47" t="s">
        <v>188</v>
      </c>
      <c r="D47" s="102"/>
      <c r="E47" s="104">
        <f>main!L95/1000</f>
        <v>1336.6980000000001</v>
      </c>
      <c r="F47" s="104">
        <f>main!M95/1000</f>
        <v>1328.8050000000001</v>
      </c>
      <c r="G47" s="149">
        <f>main!N95/1000</f>
        <v>1372.787</v>
      </c>
      <c r="H47" s="104">
        <f>main!O95/1000</f>
        <v>1390.6101625906522</v>
      </c>
      <c r="I47" s="104">
        <f>main!P95/1000</f>
        <v>1418.489158978964</v>
      </c>
      <c r="J47" s="223">
        <f>main!Q95/1000</f>
        <v>1441.5834808422039</v>
      </c>
      <c r="K47" s="149">
        <f>J47*(1+K49)</f>
        <v>1472.355682642366</v>
      </c>
      <c r="L47" s="104">
        <f t="shared" ref="L47:AA47" si="50">K47*(1+L49)</f>
        <v>1503.1278844425292</v>
      </c>
      <c r="M47" s="104">
        <f t="shared" si="50"/>
        <v>1533.9000862426915</v>
      </c>
      <c r="N47" s="104">
        <f t="shared" si="50"/>
        <v>1546.9480044194563</v>
      </c>
      <c r="O47" s="149">
        <f t="shared" si="50"/>
        <v>1559.9959225962232</v>
      </c>
      <c r="P47" s="104">
        <f t="shared" si="50"/>
        <v>1573.043840772988</v>
      </c>
      <c r="Q47" s="104">
        <f t="shared" si="50"/>
        <v>1586.0917589497537</v>
      </c>
      <c r="R47" s="104">
        <f t="shared" si="50"/>
        <v>1596.847385674771</v>
      </c>
      <c r="S47" s="149">
        <f t="shared" si="50"/>
        <v>1607.6030123997884</v>
      </c>
      <c r="T47" s="104">
        <f t="shared" si="50"/>
        <v>1618.3586391248059</v>
      </c>
      <c r="U47" s="104">
        <f t="shared" si="50"/>
        <v>1629.1142658498229</v>
      </c>
      <c r="V47" s="104">
        <f t="shared" si="50"/>
        <v>1669.2561077970809</v>
      </c>
      <c r="W47" s="149">
        <f t="shared" si="50"/>
        <v>1709.397949744339</v>
      </c>
      <c r="X47" s="104">
        <f t="shared" si="50"/>
        <v>1749.5397916915961</v>
      </c>
      <c r="Y47" s="104">
        <f t="shared" si="50"/>
        <v>1789.681633638854</v>
      </c>
      <c r="Z47" s="104">
        <f t="shared" si="50"/>
        <v>1819.5994349998603</v>
      </c>
      <c r="AA47" s="149">
        <f t="shared" si="50"/>
        <v>1849.5172363608665</v>
      </c>
      <c r="AB47" s="95"/>
    </row>
    <row r="48" spans="1:28" x14ac:dyDescent="0.35">
      <c r="B48" t="s">
        <v>177</v>
      </c>
      <c r="D48" s="102">
        <f t="shared" ref="D48:AA48" si="51">D14</f>
        <v>1336.74</v>
      </c>
      <c r="E48" s="104">
        <f t="shared" si="51"/>
        <v>1328.7719999999999</v>
      </c>
      <c r="F48" s="104">
        <f t="shared" si="51"/>
        <v>1372.7929999999999</v>
      </c>
      <c r="G48" s="149">
        <f t="shared" si="51"/>
        <v>1403.2629999999999</v>
      </c>
      <c r="H48" s="104">
        <f t="shared" si="51"/>
        <v>1394.63952711825</v>
      </c>
      <c r="I48" s="104">
        <f t="shared" si="51"/>
        <v>1386.0160542364999</v>
      </c>
      <c r="J48" s="223">
        <f t="shared" si="51"/>
        <v>1416.247429866125</v>
      </c>
      <c r="K48" s="149">
        <f t="shared" si="51"/>
        <v>1446.4788054957489</v>
      </c>
      <c r="L48" s="104">
        <f t="shared" si="51"/>
        <v>1476.710181125374</v>
      </c>
      <c r="M48" s="104">
        <f t="shared" si="51"/>
        <v>1506.9415567549979</v>
      </c>
      <c r="N48" s="104">
        <f t="shared" si="51"/>
        <v>1519.7601557667949</v>
      </c>
      <c r="O48" s="149">
        <f t="shared" si="51"/>
        <v>1532.578754778594</v>
      </c>
      <c r="P48" s="104">
        <f t="shared" si="51"/>
        <v>1545.397353790391</v>
      </c>
      <c r="Q48" s="104">
        <f t="shared" si="51"/>
        <v>1558.2159528021889</v>
      </c>
      <c r="R48" s="104">
        <f t="shared" si="51"/>
        <v>1568.782547736397</v>
      </c>
      <c r="S48" s="149">
        <f t="shared" si="51"/>
        <v>1579.349142670605</v>
      </c>
      <c r="T48" s="104">
        <f t="shared" si="51"/>
        <v>1589.9157376048131</v>
      </c>
      <c r="U48" s="104">
        <f t="shared" si="51"/>
        <v>1600.4823325390209</v>
      </c>
      <c r="V48" s="104">
        <f t="shared" si="51"/>
        <v>1639.9186754518039</v>
      </c>
      <c r="W48" s="149">
        <f t="shared" si="51"/>
        <v>1679.3550183645871</v>
      </c>
      <c r="X48" s="104">
        <f t="shared" si="51"/>
        <v>1718.7913612773691</v>
      </c>
      <c r="Y48" s="104">
        <f t="shared" si="51"/>
        <v>1758.2277041901521</v>
      </c>
      <c r="Z48" s="104">
        <f t="shared" si="51"/>
        <v>1787.619695599499</v>
      </c>
      <c r="AA48" s="149">
        <f t="shared" si="51"/>
        <v>1817.0116870088459</v>
      </c>
      <c r="AB48" s="95"/>
    </row>
    <row r="49" spans="1:32" s="170" customFormat="1" ht="12" x14ac:dyDescent="0.3">
      <c r="B49" s="210" t="s">
        <v>277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2.1346111556567182E-2</v>
      </c>
      <c r="L49" s="230">
        <f t="shared" ref="L49" si="53">(L48/K48)-1</f>
        <v>2.0899978288491994E-2</v>
      </c>
      <c r="M49" s="230">
        <f t="shared" ref="M49" si="54">(M48/L48)-1</f>
        <v>2.047211160052087E-2</v>
      </c>
      <c r="N49" s="230">
        <f t="shared" ref="N49" si="55">(N48/M48)-1</f>
        <v>8.5063677183341291E-3</v>
      </c>
      <c r="O49" s="246">
        <f t="shared" ref="O49" si="56">(O48/N48)-1</f>
        <v>8.4346197412521473E-3</v>
      </c>
      <c r="P49" s="230">
        <f t="shared" ref="P49" si="57">(P48/O48)-1</f>
        <v>8.364071974656051E-3</v>
      </c>
      <c r="Q49" s="230">
        <f t="shared" ref="Q49" si="58">(Q48/P48)-1</f>
        <v>8.294694552412496E-3</v>
      </c>
      <c r="R49" s="230">
        <f t="shared" ref="R49" si="59">(R48/Q48)-1</f>
        <v>6.7812134224436438E-3</v>
      </c>
      <c r="S49" s="246">
        <f t="shared" ref="S49" si="60">(S48/R48)-1</f>
        <v>6.7355382997182911E-3</v>
      </c>
      <c r="T49" s="230">
        <f t="shared" ref="T49" si="61">(T48/S48)-1</f>
        <v>6.6904743534672573E-3</v>
      </c>
      <c r="U49" s="230">
        <f t="shared" ref="U49" si="62">(U48/T48)-1</f>
        <v>6.6460093980365009E-3</v>
      </c>
      <c r="V49" s="230">
        <f t="shared" ref="V49" si="63">(V48/U48)-1</f>
        <v>2.464028631307702E-2</v>
      </c>
      <c r="W49" s="246">
        <f t="shared" ref="W49" si="64">(W48/V48)-1</f>
        <v>2.4047743039403047E-2</v>
      </c>
      <c r="X49" s="230">
        <f t="shared" ref="X49" si="65">(X48/W48)-1</f>
        <v>2.3483029187709503E-2</v>
      </c>
      <c r="Y49" s="230">
        <f t="shared" ref="Y49" si="66">(Y48/X48)-1</f>
        <v>2.2944229184090448E-2</v>
      </c>
      <c r="Z49" s="230">
        <f t="shared" ref="Z49" si="67">(Z48/Y48)-1</f>
        <v>1.6716828735721112E-2</v>
      </c>
      <c r="AA49" s="246">
        <f t="shared" ref="AA49" si="68">(AA48/Z48)-1</f>
        <v>1.6441971120423338E-2</v>
      </c>
      <c r="AB49" s="243"/>
    </row>
    <row r="50" spans="1:32" s="97" customFormat="1" x14ac:dyDescent="0.35">
      <c r="B50" s="99" t="s">
        <v>178</v>
      </c>
      <c r="D50" s="103"/>
      <c r="E50" s="217"/>
      <c r="F50" s="217">
        <f t="shared" ref="F50" si="69">F47-F48</f>
        <v>-43.987999999999829</v>
      </c>
      <c r="G50" s="150">
        <f t="shared" ref="G50" si="70">G47-G48</f>
        <v>-30.475999999999885</v>
      </c>
      <c r="H50" s="217">
        <f t="shared" ref="H50" si="71">H47-H48</f>
        <v>-4.0293645275978633</v>
      </c>
      <c r="I50" s="217">
        <f t="shared" ref="I50" si="72">I47-I48</f>
        <v>32.473104742464102</v>
      </c>
      <c r="J50" s="239">
        <f t="shared" ref="J50" si="73">J47-J48</f>
        <v>25.336050976078923</v>
      </c>
      <c r="K50" s="150">
        <f t="shared" ref="K50:AA50" si="74">K47-K48</f>
        <v>25.876877146617062</v>
      </c>
      <c r="L50" s="217">
        <f t="shared" si="74"/>
        <v>26.417703317155201</v>
      </c>
      <c r="M50" s="217">
        <f t="shared" si="74"/>
        <v>26.958529487693568</v>
      </c>
      <c r="N50" s="217">
        <f t="shared" si="74"/>
        <v>27.187848652661387</v>
      </c>
      <c r="O50" s="150">
        <f t="shared" si="74"/>
        <v>27.417167817629206</v>
      </c>
      <c r="P50" s="217">
        <f t="shared" si="74"/>
        <v>27.646486982597025</v>
      </c>
      <c r="Q50" s="217">
        <f t="shared" si="74"/>
        <v>27.875806147564845</v>
      </c>
      <c r="R50" s="217">
        <f t="shared" si="74"/>
        <v>28.064837938374012</v>
      </c>
      <c r="S50" s="150">
        <f t="shared" si="74"/>
        <v>28.253869729183407</v>
      </c>
      <c r="T50" s="217">
        <f t="shared" si="74"/>
        <v>28.442901519992802</v>
      </c>
      <c r="U50" s="217">
        <f t="shared" si="74"/>
        <v>28.631933310801969</v>
      </c>
      <c r="V50" s="217">
        <f t="shared" si="74"/>
        <v>29.337432345276966</v>
      </c>
      <c r="W50" s="150">
        <f t="shared" si="74"/>
        <v>30.042931379751963</v>
      </c>
      <c r="X50" s="217">
        <f t="shared" si="74"/>
        <v>30.748430414226959</v>
      </c>
      <c r="Y50" s="217">
        <f t="shared" si="74"/>
        <v>31.453929448701956</v>
      </c>
      <c r="Z50" s="217">
        <f t="shared" si="74"/>
        <v>31.979739400361268</v>
      </c>
      <c r="AA50" s="150">
        <f t="shared" si="74"/>
        <v>32.50554935202058</v>
      </c>
      <c r="AB50" s="244"/>
    </row>
    <row r="51" spans="1:32" x14ac:dyDescent="0.35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35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8.5" x14ac:dyDescent="0.4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x14ac:dyDescent="0.35">
      <c r="B54" s="86" t="s">
        <v>189</v>
      </c>
      <c r="D54" s="102">
        <f>main!K94/1000</f>
        <v>1574.462</v>
      </c>
      <c r="E54" s="104">
        <f>main!L94/1000</f>
        <v>3729.5573333333332</v>
      </c>
      <c r="F54" s="104">
        <f>main!M94/1000</f>
        <v>2466.0010000000002</v>
      </c>
      <c r="G54" s="149">
        <f>main!N94/1000</f>
        <v>2027.7929999999999</v>
      </c>
      <c r="H54" s="104">
        <f>main!O94/1000</f>
        <v>3118.1238025000002</v>
      </c>
      <c r="I54" s="104">
        <f>main!P94/1000</f>
        <v>1874.8488739812499</v>
      </c>
      <c r="J54" s="104">
        <f>main!Q94/1000</f>
        <v>1686.4675074263907</v>
      </c>
      <c r="K54" s="263">
        <f>main!R94/1000</f>
        <v>1683.0445200377862</v>
      </c>
      <c r="L54" s="104">
        <f>K54*(1+L56)</f>
        <v>1676.7274934000816</v>
      </c>
      <c r="M54" s="104">
        <f t="shared" ref="M54:AA54" si="75">L54*(1+M56)</f>
        <v>1658.728354358673</v>
      </c>
      <c r="N54" s="104">
        <f t="shared" si="75"/>
        <v>1680.0972549627311</v>
      </c>
      <c r="O54" s="104">
        <f t="shared" si="75"/>
        <v>1691.2386419806749</v>
      </c>
      <c r="P54" s="104">
        <f t="shared" si="75"/>
        <v>1695.1606254140172</v>
      </c>
      <c r="Q54" s="104">
        <f t="shared" si="75"/>
        <v>1690.7825491435724</v>
      </c>
      <c r="R54" s="104">
        <f t="shared" si="75"/>
        <v>1699.3357522938504</v>
      </c>
      <c r="S54" s="104">
        <f t="shared" si="75"/>
        <v>1708.9432388453199</v>
      </c>
      <c r="T54" s="104">
        <f t="shared" si="75"/>
        <v>1718.1108506122771</v>
      </c>
      <c r="U54" s="104">
        <f t="shared" si="75"/>
        <v>1727.8695330427036</v>
      </c>
      <c r="V54" s="104">
        <f t="shared" si="75"/>
        <v>1768.0404938555441</v>
      </c>
      <c r="W54" s="104">
        <f t="shared" si="75"/>
        <v>1801.9853391397789</v>
      </c>
      <c r="X54" s="104">
        <f t="shared" si="75"/>
        <v>1828.1126511703853</v>
      </c>
      <c r="Y54" s="104">
        <f t="shared" si="75"/>
        <v>1847.1770422269346</v>
      </c>
      <c r="Z54" s="104">
        <f t="shared" si="75"/>
        <v>1856.0731015206463</v>
      </c>
      <c r="AA54" s="104">
        <f t="shared" si="75"/>
        <v>1867.9689093703914</v>
      </c>
      <c r="AB54" s="95"/>
    </row>
    <row r="55" spans="1:32" x14ac:dyDescent="0.35">
      <c r="B55" t="s">
        <v>177</v>
      </c>
      <c r="D55" s="102">
        <f t="shared" ref="D55:AA55" si="76">D15</f>
        <v>1828.5000000000009</v>
      </c>
      <c r="E55" s="104">
        <f t="shared" si="76"/>
        <v>1861.4</v>
      </c>
      <c r="F55" s="104">
        <f t="shared" si="76"/>
        <v>1756.1999999999989</v>
      </c>
      <c r="G55" s="149">
        <f t="shared" si="76"/>
        <v>1808.7</v>
      </c>
      <c r="H55" s="104">
        <f t="shared" si="76"/>
        <v>1629.356357104331</v>
      </c>
      <c r="I55" s="104">
        <f t="shared" si="76"/>
        <v>1501.6652887165669</v>
      </c>
      <c r="J55" s="104">
        <f t="shared" si="76"/>
        <v>1514.272945247701</v>
      </c>
      <c r="K55" s="263">
        <f t="shared" si="76"/>
        <v>1515.6150242949509</v>
      </c>
      <c r="L55" s="104">
        <f t="shared" si="76"/>
        <v>1509.926416318757</v>
      </c>
      <c r="M55" s="104">
        <f t="shared" si="76"/>
        <v>1493.7178340556329</v>
      </c>
      <c r="N55" s="104">
        <f t="shared" si="76"/>
        <v>1512.9609535468801</v>
      </c>
      <c r="O55" s="149">
        <f t="shared" si="76"/>
        <v>1522.99399388232</v>
      </c>
      <c r="P55" s="104">
        <f t="shared" si="76"/>
        <v>1526.525817874995</v>
      </c>
      <c r="Q55" s="104">
        <f t="shared" si="76"/>
        <v>1522.5832732221379</v>
      </c>
      <c r="R55" s="104">
        <f t="shared" si="76"/>
        <v>1530.285602569978</v>
      </c>
      <c r="S55" s="149">
        <f t="shared" si="76"/>
        <v>1538.937335064132</v>
      </c>
      <c r="T55" s="104">
        <f t="shared" si="76"/>
        <v>1547.192951576636</v>
      </c>
      <c r="U55" s="104">
        <f t="shared" si="76"/>
        <v>1555.9808389633261</v>
      </c>
      <c r="V55" s="104">
        <f t="shared" si="76"/>
        <v>1592.1555871790999</v>
      </c>
      <c r="W55" s="149">
        <f t="shared" si="76"/>
        <v>1622.7235946783901</v>
      </c>
      <c r="X55" s="104">
        <f t="shared" si="76"/>
        <v>1646.2517581859961</v>
      </c>
      <c r="Y55" s="104">
        <f t="shared" si="76"/>
        <v>1663.4196210501891</v>
      </c>
      <c r="Z55" s="104">
        <f t="shared" si="76"/>
        <v>1671.430699166094</v>
      </c>
      <c r="AA55" s="149">
        <f t="shared" si="76"/>
        <v>1682.1431104472849</v>
      </c>
      <c r="AB55" s="95"/>
    </row>
    <row r="56" spans="1:32" s="170" customFormat="1" ht="12" x14ac:dyDescent="0.3">
      <c r="B56" s="210" t="s">
        <v>277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-3.7533330595216352E-3</v>
      </c>
      <c r="M56" s="230">
        <f t="shared" ref="M56" si="78">(M55/L55)-1</f>
        <v>-1.0734683550103763E-2</v>
      </c>
      <c r="N56" s="230">
        <f t="shared" ref="N56" si="79">(N55/M55)-1</f>
        <v>1.2882700502409916E-2</v>
      </c>
      <c r="O56" s="246">
        <f t="shared" ref="O56" si="80">(O55/N55)-1</f>
        <v>6.6313940964035645E-3</v>
      </c>
      <c r="P56" s="230">
        <f t="shared" ref="P56" si="81">(P55/O55)-1</f>
        <v>2.3190006046391876E-3</v>
      </c>
      <c r="Q56" s="230">
        <f t="shared" ref="Q56" si="82">(Q55/P55)-1</f>
        <v>-2.5826911059685376E-3</v>
      </c>
      <c r="R56" s="230">
        <f t="shared" ref="R56" si="83">(R55/Q55)-1</f>
        <v>5.0587245264688274E-3</v>
      </c>
      <c r="S56" s="246">
        <f t="shared" ref="S56" si="84">(S55/R55)-1</f>
        <v>5.6536717588038243E-3</v>
      </c>
      <c r="T56" s="230">
        <f t="shared" ref="T56" si="85">(T55/S55)-1</f>
        <v>5.3644916686357291E-3</v>
      </c>
      <c r="U56" s="230">
        <f t="shared" ref="U56" si="86">(U55/T55)-1</f>
        <v>5.6798910425068794E-3</v>
      </c>
      <c r="V56" s="230">
        <f t="shared" ref="V56" si="87">(V55/U55)-1</f>
        <v>2.3248839130869614E-2</v>
      </c>
      <c r="W56" s="246">
        <f t="shared" ref="W56" si="88">(W55/V55)-1</f>
        <v>1.9199133392138412E-2</v>
      </c>
      <c r="X56" s="230">
        <f t="shared" ref="X56" si="89">(X55/W55)-1</f>
        <v>1.4499181243660342E-2</v>
      </c>
      <c r="Y56" s="230">
        <f t="shared" ref="Y56" si="90">(Y55/X55)-1</f>
        <v>1.0428455294778427E-2</v>
      </c>
      <c r="Z56" s="230">
        <f t="shared" ref="Z56" si="91">(Z55/Y55)-1</f>
        <v>4.8160295902046624E-3</v>
      </c>
      <c r="AA56" s="246">
        <f t="shared" ref="AA56" si="92">(AA55/Z55)-1</f>
        <v>6.4091267957060438E-3</v>
      </c>
      <c r="AB56" s="243"/>
    </row>
    <row r="57" spans="1:32" s="97" customFormat="1" x14ac:dyDescent="0.35">
      <c r="B57" s="99" t="s">
        <v>178</v>
      </c>
      <c r="D57" s="103"/>
      <c r="E57" s="217"/>
      <c r="F57" s="217">
        <f t="shared" ref="F57" si="93">F54-F55</f>
        <v>709.8010000000013</v>
      </c>
      <c r="G57" s="150">
        <f t="shared" ref="G57" si="94">G54-G55</f>
        <v>219.09299999999985</v>
      </c>
      <c r="H57" s="217">
        <f t="shared" ref="H57" si="95">H54-H55</f>
        <v>1488.7674453956693</v>
      </c>
      <c r="I57" s="217">
        <f t="shared" ref="I57" si="96">I54-I55</f>
        <v>373.18358526468296</v>
      </c>
      <c r="J57" s="217">
        <f t="shared" ref="J57" si="97">J54-J55</f>
        <v>172.19456217868969</v>
      </c>
      <c r="K57" s="264">
        <f t="shared" ref="K57" si="98">K54-K55</f>
        <v>167.42949574283534</v>
      </c>
      <c r="L57" s="217">
        <f t="shared" ref="L57:AA57" si="99">L54-L55</f>
        <v>166.80107708132459</v>
      </c>
      <c r="M57" s="217">
        <f t="shared" si="99"/>
        <v>165.01052030304004</v>
      </c>
      <c r="N57" s="217">
        <f t="shared" si="99"/>
        <v>167.13630141585099</v>
      </c>
      <c r="O57" s="150">
        <f t="shared" si="99"/>
        <v>168.2446480983549</v>
      </c>
      <c r="P57" s="217">
        <f t="shared" si="99"/>
        <v>168.63480753902218</v>
      </c>
      <c r="Q57" s="217">
        <f t="shared" si="99"/>
        <v>168.19927592143449</v>
      </c>
      <c r="R57" s="217">
        <f t="shared" si="99"/>
        <v>169.05014972387244</v>
      </c>
      <c r="S57" s="150">
        <f t="shared" si="99"/>
        <v>170.00590378118795</v>
      </c>
      <c r="T57" s="217">
        <f t="shared" si="99"/>
        <v>170.91789903564108</v>
      </c>
      <c r="U57" s="217">
        <f t="shared" si="99"/>
        <v>171.8886940793775</v>
      </c>
      <c r="V57" s="217">
        <f t="shared" si="99"/>
        <v>175.88490667644419</v>
      </c>
      <c r="W57" s="150">
        <f t="shared" si="99"/>
        <v>179.26174446138884</v>
      </c>
      <c r="X57" s="217">
        <f t="shared" si="99"/>
        <v>181.86089298438924</v>
      </c>
      <c r="Y57" s="217">
        <f t="shared" si="99"/>
        <v>183.75742117674554</v>
      </c>
      <c r="Z57" s="217">
        <f t="shared" si="99"/>
        <v>184.64240235455236</v>
      </c>
      <c r="AA57" s="150">
        <f t="shared" si="99"/>
        <v>185.8257989231065</v>
      </c>
      <c r="AB57" s="244"/>
    </row>
    <row r="58" spans="1:32" s="97" customFormat="1" x14ac:dyDescent="0.35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35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8.5" x14ac:dyDescent="0.4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35">
      <c r="B61" t="s">
        <v>210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610.53599999999994</v>
      </c>
      <c r="H61" s="104">
        <f>main!O54/1000</f>
        <v>794.08358333333342</v>
      </c>
      <c r="I61" s="104">
        <f>main!P54/1000</f>
        <v>794.08358333333342</v>
      </c>
      <c r="J61" s="104">
        <f>main!Q54/1000</f>
        <v>144.08358333333331</v>
      </c>
      <c r="K61" s="149">
        <f>main!R54/1000</f>
        <v>122.75024999999999</v>
      </c>
      <c r="L61" s="223">
        <f>main!S54/1000</f>
        <v>77.330250000000007</v>
      </c>
      <c r="M61" s="231">
        <f>L61*(1+M63)</f>
        <v>77.695696451903586</v>
      </c>
      <c r="N61" s="231">
        <f>M61*(1+N63)</f>
        <v>78.058820150934892</v>
      </c>
      <c r="O61" s="247">
        <f>N61*(1+O63)</f>
        <v>78.421169599008806</v>
      </c>
      <c r="P61" s="231">
        <f>O61*(1+P63)</f>
        <v>78.784680423518822</v>
      </c>
      <c r="Q61" s="231">
        <f t="shared" ref="Q61:AA61" si="100">P61*(1+Q63)</f>
        <v>79.151675377337256</v>
      </c>
      <c r="R61" s="231">
        <f t="shared" si="100"/>
        <v>79.522154460464094</v>
      </c>
      <c r="S61" s="247">
        <f t="shared" si="100"/>
        <v>79.894956296463178</v>
      </c>
      <c r="T61" s="231">
        <f t="shared" si="100"/>
        <v>80.266983881504842</v>
      </c>
      <c r="U61" s="231">
        <f t="shared" si="100"/>
        <v>80.640172842982665</v>
      </c>
      <c r="V61" s="231">
        <f t="shared" si="100"/>
        <v>81.014136055417907</v>
      </c>
      <c r="W61" s="247">
        <f t="shared" si="100"/>
        <v>81.387712142374426</v>
      </c>
      <c r="X61" s="231">
        <f t="shared" si="100"/>
        <v>81.756642723586438</v>
      </c>
      <c r="Y61" s="231">
        <f t="shared" si="100"/>
        <v>82.122863426447452</v>
      </c>
      <c r="Z61" s="231">
        <f t="shared" si="100"/>
        <v>82.486374250957482</v>
      </c>
      <c r="AA61" s="247">
        <f t="shared" si="100"/>
        <v>82.847562322595238</v>
      </c>
      <c r="AB61" s="95"/>
    </row>
    <row r="62" spans="1:32" x14ac:dyDescent="0.35">
      <c r="B62" t="s">
        <v>177</v>
      </c>
      <c r="D62" s="102">
        <f t="shared" ref="D62:AA62" si="101">D16</f>
        <v>1085.9000000000001</v>
      </c>
      <c r="E62" s="104">
        <f t="shared" si="101"/>
        <v>1212.9000000000001</v>
      </c>
      <c r="F62" s="104">
        <f t="shared" si="101"/>
        <v>609.79999999999995</v>
      </c>
      <c r="G62" s="149">
        <f t="shared" si="101"/>
        <v>402.3</v>
      </c>
      <c r="H62" s="104">
        <f t="shared" si="101"/>
        <v>404.18538158623392</v>
      </c>
      <c r="I62" s="104">
        <f t="shared" si="101"/>
        <v>406.11408156777497</v>
      </c>
      <c r="J62" s="104">
        <f t="shared" si="101"/>
        <v>408.08197438316557</v>
      </c>
      <c r="K62" s="149">
        <f t="shared" si="101"/>
        <v>410.07255778657441</v>
      </c>
      <c r="L62" s="223">
        <f t="shared" si="101"/>
        <v>412.05076450560961</v>
      </c>
      <c r="M62" s="104">
        <f t="shared" si="101"/>
        <v>413.998029513711</v>
      </c>
      <c r="N62" s="104">
        <f t="shared" si="101"/>
        <v>415.93291783743882</v>
      </c>
      <c r="O62" s="149">
        <f t="shared" si="101"/>
        <v>417.86368059970891</v>
      </c>
      <c r="P62" s="104">
        <f t="shared" si="101"/>
        <v>419.80063170416571</v>
      </c>
      <c r="Q62" s="104">
        <f t="shared" si="101"/>
        <v>421.75614783518279</v>
      </c>
      <c r="R62" s="104">
        <f t="shared" si="101"/>
        <v>423.7302289927602</v>
      </c>
      <c r="S62" s="149">
        <f t="shared" si="101"/>
        <v>425.71668683471103</v>
      </c>
      <c r="T62" s="104">
        <f t="shared" si="101"/>
        <v>427.69901911520401</v>
      </c>
      <c r="U62" s="104">
        <f t="shared" si="101"/>
        <v>429.68753973788392</v>
      </c>
      <c r="V62" s="104">
        <f t="shared" si="101"/>
        <v>431.68018592202162</v>
      </c>
      <c r="W62" s="149">
        <f t="shared" si="101"/>
        <v>433.67076932543029</v>
      </c>
      <c r="X62" s="104">
        <f t="shared" si="101"/>
        <v>435.63659936009208</v>
      </c>
      <c r="Y62" s="104">
        <f t="shared" si="101"/>
        <v>437.58798992965131</v>
      </c>
      <c r="Z62" s="104">
        <f t="shared" si="101"/>
        <v>439.52494103410811</v>
      </c>
      <c r="AA62" s="149">
        <f t="shared" si="101"/>
        <v>441.44951545419133</v>
      </c>
      <c r="AB62" s="95"/>
    </row>
    <row r="63" spans="1:32" s="170" customFormat="1" ht="12" x14ac:dyDescent="0.3">
      <c r="B63" s="210" t="s">
        <v>277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4.7257890916372336E-3</v>
      </c>
      <c r="N63" s="230">
        <f t="shared" si="102"/>
        <v>4.6736655389412185E-3</v>
      </c>
      <c r="O63" s="246">
        <f t="shared" si="102"/>
        <v>4.6420051875402102E-3</v>
      </c>
      <c r="P63" s="230">
        <f t="shared" si="102"/>
        <v>4.6353660162015142E-3</v>
      </c>
      <c r="Q63" s="230">
        <f t="shared" si="102"/>
        <v>4.6582019733480973E-3</v>
      </c>
      <c r="R63" s="230">
        <f t="shared" si="102"/>
        <v>4.6806221265773829E-3</v>
      </c>
      <c r="S63" s="246">
        <f t="shared" si="102"/>
        <v>4.6880248470182462E-3</v>
      </c>
      <c r="T63" s="230">
        <f t="shared" si="102"/>
        <v>4.6564589592013039E-3</v>
      </c>
      <c r="U63" s="230">
        <f t="shared" si="102"/>
        <v>4.6493457637419855E-3</v>
      </c>
      <c r="V63" s="230">
        <f t="shared" si="102"/>
        <v>4.6374306905740958E-3</v>
      </c>
      <c r="W63" s="246">
        <f t="shared" si="102"/>
        <v>4.6112457053293365E-3</v>
      </c>
      <c r="X63" s="230">
        <f t="shared" si="102"/>
        <v>4.5330010083908245E-3</v>
      </c>
      <c r="Y63" s="230">
        <f t="shared" si="102"/>
        <v>4.4793999687484654E-3</v>
      </c>
      <c r="Z63" s="230">
        <f t="shared" si="102"/>
        <v>4.4264265679874182E-3</v>
      </c>
      <c r="AA63" s="246">
        <f t="shared" si="102"/>
        <v>4.3787604306484429E-3</v>
      </c>
      <c r="AB63" s="243"/>
    </row>
    <row r="64" spans="1:32" s="97" customFormat="1" x14ac:dyDescent="0.35">
      <c r="B64" s="99" t="s">
        <v>178</v>
      </c>
      <c r="D64" s="103"/>
      <c r="E64" s="217"/>
      <c r="F64" s="217">
        <f>F61-F62</f>
        <v>603.68000000000006</v>
      </c>
      <c r="G64" s="150">
        <f t="shared" ref="G64:AA64" si="103">G61-G62</f>
        <v>208.23599999999993</v>
      </c>
      <c r="H64" s="217">
        <f t="shared" si="103"/>
        <v>389.89820174709951</v>
      </c>
      <c r="I64" s="217">
        <f t="shared" si="103"/>
        <v>387.96950176555845</v>
      </c>
      <c r="J64" s="217">
        <f t="shared" si="103"/>
        <v>-263.99839104983226</v>
      </c>
      <c r="K64" s="150">
        <f t="shared" si="103"/>
        <v>-287.32230778657441</v>
      </c>
      <c r="L64" s="217">
        <f t="shared" si="103"/>
        <v>-334.72051450560957</v>
      </c>
      <c r="M64" s="217">
        <f t="shared" si="103"/>
        <v>-336.30233306180742</v>
      </c>
      <c r="N64" s="217">
        <f t="shared" si="103"/>
        <v>-337.87409768650394</v>
      </c>
      <c r="O64" s="150">
        <f t="shared" si="103"/>
        <v>-339.44251100070011</v>
      </c>
      <c r="P64" s="217">
        <f t="shared" si="103"/>
        <v>-341.0159512806469</v>
      </c>
      <c r="Q64" s="217">
        <f t="shared" si="103"/>
        <v>-342.60447245784553</v>
      </c>
      <c r="R64" s="217">
        <f t="shared" si="103"/>
        <v>-344.20807453229611</v>
      </c>
      <c r="S64" s="150">
        <f t="shared" si="103"/>
        <v>-345.82173053824783</v>
      </c>
      <c r="T64" s="217">
        <f t="shared" si="103"/>
        <v>-347.43203523369914</v>
      </c>
      <c r="U64" s="217">
        <f t="shared" si="103"/>
        <v>-349.04736689490124</v>
      </c>
      <c r="V64" s="217">
        <f t="shared" si="103"/>
        <v>-350.66604986660371</v>
      </c>
      <c r="W64" s="150">
        <f t="shared" si="103"/>
        <v>-352.28305718305586</v>
      </c>
      <c r="X64" s="217">
        <f t="shared" si="103"/>
        <v>-353.87995663650565</v>
      </c>
      <c r="Y64" s="217">
        <f t="shared" si="103"/>
        <v>-355.46512650320386</v>
      </c>
      <c r="Z64" s="217">
        <f t="shared" si="103"/>
        <v>-357.0385667831506</v>
      </c>
      <c r="AA64" s="150">
        <f t="shared" si="103"/>
        <v>-358.60195313159608</v>
      </c>
      <c r="AB64" s="217"/>
      <c r="AC64" s="217"/>
      <c r="AD64" s="150"/>
      <c r="AE64" s="150"/>
      <c r="AF64" s="150"/>
    </row>
    <row r="65" spans="1:28" x14ac:dyDescent="0.35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35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8.5" x14ac:dyDescent="0.4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35">
      <c r="B68" t="s">
        <v>207</v>
      </c>
      <c r="D68" s="100"/>
      <c r="E68" s="218">
        <f>main!L83/1000</f>
        <v>321.35000000000002</v>
      </c>
      <c r="F68" s="218">
        <f>main!M83/1000</f>
        <v>287.8</v>
      </c>
      <c r="G68" s="151">
        <f>main!N83/1000</f>
        <v>285.95100000000002</v>
      </c>
      <c r="H68" s="218">
        <f>main!O83/1000</f>
        <v>362.73880400000002</v>
      </c>
      <c r="I68" s="218">
        <f>main!P83/1000</f>
        <v>307.529759216</v>
      </c>
      <c r="J68" s="218">
        <f>main!Q83/1000</f>
        <v>308.32387825286401</v>
      </c>
      <c r="K68" s="151">
        <f>main!R83/1000</f>
        <v>309.12117376587548</v>
      </c>
      <c r="L68" s="218">
        <f>main!S83/1000</f>
        <v>309.92165846093894</v>
      </c>
      <c r="M68" s="218">
        <f>main!T83/1000</f>
        <v>310.72534509478271</v>
      </c>
      <c r="N68" s="218">
        <f>main!U83/1000</f>
        <v>311.53224647516186</v>
      </c>
      <c r="O68" s="151">
        <f>main!V83/1000</f>
        <v>312.34237546106249</v>
      </c>
      <c r="P68" s="248">
        <f>main!W83/1000</f>
        <v>313.15574496290668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336.16070694732593</v>
      </c>
      <c r="U68" s="248">
        <f t="shared" si="104"/>
        <v>341.92715340182366</v>
      </c>
      <c r="V68" s="248">
        <f t="shared" si="104"/>
        <v>342.39133861647292</v>
      </c>
      <c r="W68" s="249">
        <f t="shared" si="104"/>
        <v>342.89676890833556</v>
      </c>
      <c r="X68" s="248">
        <f t="shared" si="104"/>
        <v>343.45498373359641</v>
      </c>
      <c r="Y68" s="248">
        <f t="shared" si="104"/>
        <v>344.05786382998645</v>
      </c>
      <c r="Z68" s="248">
        <f t="shared" si="104"/>
        <v>344.77300996037025</v>
      </c>
      <c r="AA68" s="249">
        <f t="shared" si="104"/>
        <v>345.55312735123522</v>
      </c>
      <c r="AB68" s="95"/>
    </row>
    <row r="69" spans="1:28" x14ac:dyDescent="0.35">
      <c r="B69" t="s">
        <v>177</v>
      </c>
      <c r="D69" s="102">
        <f t="shared" ref="D69:O69" si="105">D17</f>
        <v>884.2600000000001</v>
      </c>
      <c r="E69" s="104">
        <f t="shared" si="105"/>
        <v>242.12799999999999</v>
      </c>
      <c r="F69" s="104">
        <f t="shared" si="105"/>
        <v>225.90700000000001</v>
      </c>
      <c r="G69" s="149">
        <f t="shared" si="105"/>
        <v>260.73700000000002</v>
      </c>
      <c r="H69" s="104">
        <f t="shared" si="105"/>
        <v>232.07518871317359</v>
      </c>
      <c r="I69" s="104">
        <f t="shared" si="105"/>
        <v>215.720203842161</v>
      </c>
      <c r="J69" s="104">
        <f t="shared" si="105"/>
        <v>220.89139620745101</v>
      </c>
      <c r="K69" s="149">
        <f t="shared" si="105"/>
        <v>226.76914626180869</v>
      </c>
      <c r="L69" s="104">
        <f t="shared" si="105"/>
        <v>232.32795235033251</v>
      </c>
      <c r="M69" s="104">
        <f t="shared" si="105"/>
        <v>237.9298898973548</v>
      </c>
      <c r="N69" s="104">
        <f t="shared" si="105"/>
        <v>251.6040694504666</v>
      </c>
      <c r="O69" s="149">
        <f t="shared" si="105"/>
        <v>265.27969850165113</v>
      </c>
      <c r="P69" s="231">
        <f t="shared" ref="P69:AA69" si="106">P17</f>
        <v>279.09879389494898</v>
      </c>
      <c r="Q69" s="231">
        <f t="shared" si="106"/>
        <v>293.05961551598227</v>
      </c>
      <c r="R69" s="231">
        <f t="shared" si="106"/>
        <v>298.02592203707633</v>
      </c>
      <c r="S69" s="245">
        <f t="shared" si="106"/>
        <v>303.15281641427401</v>
      </c>
      <c r="T69" s="231">
        <f t="shared" si="106"/>
        <v>308.34003676535349</v>
      </c>
      <c r="U69" s="231">
        <f t="shared" si="106"/>
        <v>313.62925193845189</v>
      </c>
      <c r="V69" s="231">
        <f t="shared" si="106"/>
        <v>314.05502117082477</v>
      </c>
      <c r="W69" s="247">
        <f t="shared" si="106"/>
        <v>314.5186220365847</v>
      </c>
      <c r="X69" s="231">
        <f t="shared" si="106"/>
        <v>315.03063898617683</v>
      </c>
      <c r="Y69" s="231">
        <f t="shared" si="106"/>
        <v>315.58362470772079</v>
      </c>
      <c r="Z69" s="231">
        <f t="shared" si="106"/>
        <v>316.2395853229205</v>
      </c>
      <c r="AA69" s="247">
        <f t="shared" si="106"/>
        <v>316.95514017513671</v>
      </c>
      <c r="AB69" s="95"/>
    </row>
    <row r="70" spans="1:28" s="170" customFormat="1" ht="12" x14ac:dyDescent="0.3">
      <c r="B70" s="210" t="s">
        <v>277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5.002107471051298E-2</v>
      </c>
      <c r="R70" s="230">
        <f t="shared" ref="R70" si="108">(R69/Q69)-1</f>
        <v>1.6946403592149606E-2</v>
      </c>
      <c r="S70" s="246">
        <f t="shared" ref="S70" si="109">(S69/R69)-1</f>
        <v>1.7202847128713339E-2</v>
      </c>
      <c r="T70" s="230">
        <f t="shared" ref="T70" si="110">(T69/S69)-1</f>
        <v>1.7110909317731293E-2</v>
      </c>
      <c r="U70" s="230">
        <f t="shared" ref="U70" si="111">(U69/T69)-1</f>
        <v>1.7153838433000779E-2</v>
      </c>
      <c r="V70" s="230">
        <f t="shared" ref="V70" si="112">(V69/U69)-1</f>
        <v>1.3575558712757285E-3</v>
      </c>
      <c r="W70" s="246">
        <f t="shared" ref="W70" si="113">(W69/V69)-1</f>
        <v>1.4761772126157258E-3</v>
      </c>
      <c r="X70" s="230">
        <f t="shared" ref="X70" si="114">(X69/W69)-1</f>
        <v>1.6279384230946103E-3</v>
      </c>
      <c r="Y70" s="230">
        <f t="shared" ref="Y70" si="115">(Y69/X69)-1</f>
        <v>1.7553394911795639E-3</v>
      </c>
      <c r="Z70" s="230">
        <f t="shared" ref="Z70" si="116">(Z69/Y69)-1</f>
        <v>2.0785635370252908E-3</v>
      </c>
      <c r="AA70" s="246">
        <f t="shared" ref="AA70" si="117">(AA69/Z69)-1</f>
        <v>2.2626985533311661E-3</v>
      </c>
      <c r="AB70" s="243"/>
    </row>
    <row r="71" spans="1:28" s="97" customFormat="1" x14ac:dyDescent="0.35">
      <c r="B71" s="99" t="s">
        <v>178</v>
      </c>
      <c r="D71" s="103"/>
      <c r="E71" s="217"/>
      <c r="F71" s="217">
        <f>F68-F69</f>
        <v>61.893000000000001</v>
      </c>
      <c r="G71" s="150">
        <f t="shared" ref="G71:K71" si="118">G68-G69</f>
        <v>25.213999999999999</v>
      </c>
      <c r="H71" s="217">
        <f t="shared" si="118"/>
        <v>130.66361528682643</v>
      </c>
      <c r="I71" s="217">
        <f t="shared" si="118"/>
        <v>91.809555373839004</v>
      </c>
      <c r="J71" s="217">
        <f t="shared" si="118"/>
        <v>87.432482045412996</v>
      </c>
      <c r="K71" s="150">
        <f t="shared" si="118"/>
        <v>82.352027504066797</v>
      </c>
      <c r="L71" s="217">
        <f t="shared" ref="L71:N71" si="119">L68-L69</f>
        <v>77.593706110606433</v>
      </c>
      <c r="M71" s="217">
        <f t="shared" si="119"/>
        <v>72.795455197427913</v>
      </c>
      <c r="N71" s="217">
        <f t="shared" si="119"/>
        <v>59.928177024695259</v>
      </c>
      <c r="O71" s="150">
        <f t="shared" ref="O71:AA71" si="120">O68-O69</f>
        <v>47.062676959411363</v>
      </c>
      <c r="P71" s="250">
        <f t="shared" si="120"/>
        <v>34.056951067957698</v>
      </c>
      <c r="Q71" s="250">
        <f t="shared" si="120"/>
        <v>37.445842510045054</v>
      </c>
      <c r="R71" s="250">
        <f t="shared" si="120"/>
        <v>32.479535988951</v>
      </c>
      <c r="S71" s="239">
        <f t="shared" si="120"/>
        <v>27.352641611753313</v>
      </c>
      <c r="T71" s="250">
        <f t="shared" si="120"/>
        <v>27.820670181972446</v>
      </c>
      <c r="U71" s="250">
        <f t="shared" si="120"/>
        <v>28.297901463371772</v>
      </c>
      <c r="V71" s="250">
        <f t="shared" si="120"/>
        <v>28.336317445648149</v>
      </c>
      <c r="W71" s="251">
        <f t="shared" si="120"/>
        <v>28.378146871750857</v>
      </c>
      <c r="X71" s="250">
        <f t="shared" si="120"/>
        <v>28.424344747419582</v>
      </c>
      <c r="Y71" s="250">
        <f t="shared" si="120"/>
        <v>28.474239122265658</v>
      </c>
      <c r="Z71" s="250">
        <f t="shared" si="120"/>
        <v>28.533424637449741</v>
      </c>
      <c r="AA71" s="251">
        <f t="shared" si="120"/>
        <v>28.597987176098513</v>
      </c>
      <c r="AB71" s="244"/>
    </row>
    <row r="72" spans="1:28" x14ac:dyDescent="0.35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35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topLeftCell="A2" zoomScale="120" zoomScaleNormal="120" workbookViewId="0">
      <pane xSplit="1" topLeftCell="I1" activePane="topRight" state="frozen"/>
      <selection pane="topRight" activeCell="M5" sqref="M5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6" x14ac:dyDescent="0.35">
      <c r="A1" t="s">
        <v>255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286</v>
      </c>
      <c r="J1" t="s">
        <v>272</v>
      </c>
      <c r="K1" t="s">
        <v>288</v>
      </c>
      <c r="L1" t="s">
        <v>289</v>
      </c>
      <c r="M1" t="s">
        <v>290</v>
      </c>
      <c r="N1" t="s">
        <v>345</v>
      </c>
      <c r="O1" t="s">
        <v>359</v>
      </c>
      <c r="P1" t="s">
        <v>370</v>
      </c>
    </row>
    <row r="2" spans="1:16" x14ac:dyDescent="0.35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321.35000000000002</v>
      </c>
      <c r="K2" s="102">
        <v>1084.5999999999999</v>
      </c>
      <c r="L2" s="102">
        <v>788</v>
      </c>
      <c r="M2" s="102">
        <f>K2-L2</f>
        <v>296.59999999999991</v>
      </c>
      <c r="N2">
        <v>0</v>
      </c>
      <c r="O2">
        <v>0</v>
      </c>
      <c r="P2">
        <v>0</v>
      </c>
    </row>
    <row r="3" spans="1:16" x14ac:dyDescent="0.35">
      <c r="A3" s="188">
        <v>44104</v>
      </c>
      <c r="B3" s="102">
        <f t="array" ref="B3:B24">TRANSPOSE('add-ons calculations'!F24:AA24)</f>
        <v>-8.7680000000000007</v>
      </c>
      <c r="C3">
        <f t="array" ref="C3:C24">TRANSPOSE('add-ons calculations'!F31:AA31)</f>
        <v>87.676999999999992</v>
      </c>
      <c r="D3">
        <f t="array" ref="D3:D24">TRANSPOSE('add-ons calculations'!F37:AA37)</f>
        <v>-35.750999999999976</v>
      </c>
      <c r="E3">
        <f t="array" ref="E3:E24">TRANSPOSE('add-ons calculations'!F43:AA43)</f>
        <v>-5.7000000000000028</v>
      </c>
      <c r="F3">
        <f t="array" ref="F3:F24">TRANSPOSE('add-ons calculations'!F50:AA50)</f>
        <v>-43.987999999999829</v>
      </c>
      <c r="G3">
        <f t="array" ref="G3:G24">TRANSPOSE('add-ons calculations'!F57:AA57)</f>
        <v>709.8010000000013</v>
      </c>
      <c r="H3">
        <f t="array" ref="H3:H24">TRANSPOSE('add-ons calculations'!F64:AA64)</f>
        <v>603.68000000000006</v>
      </c>
      <c r="I3">
        <f t="array" ref="I3:I24">TRANSPOSE('add-ons calculations'!F71:AA71)</f>
        <v>61.893000000000001</v>
      </c>
      <c r="J3" s="102">
        <f>'add-ons calculations'!F68</f>
        <v>287.8</v>
      </c>
      <c r="K3" s="102">
        <v>775.2</v>
      </c>
      <c r="L3" s="102">
        <v>556.20000000000005</v>
      </c>
      <c r="M3" s="102">
        <f t="shared" ref="M3:M5" si="0">K3-L3</f>
        <v>219</v>
      </c>
      <c r="N3">
        <v>0</v>
      </c>
      <c r="O3">
        <v>0</v>
      </c>
      <c r="P3">
        <v>0</v>
      </c>
    </row>
    <row r="4" spans="1:16" x14ac:dyDescent="0.35">
      <c r="A4" s="188">
        <v>44196</v>
      </c>
      <c r="B4">
        <v>14.165816906412658</v>
      </c>
      <c r="C4">
        <v>-34.992000000000019</v>
      </c>
      <c r="D4">
        <v>-86.951000000000022</v>
      </c>
      <c r="E4">
        <v>-4.3825959008611193</v>
      </c>
      <c r="F4">
        <v>-30.475999999999885</v>
      </c>
      <c r="G4">
        <v>219.09299999999985</v>
      </c>
      <c r="H4">
        <v>208.23599999999993</v>
      </c>
      <c r="I4">
        <v>25.213999999999999</v>
      </c>
      <c r="J4" s="151">
        <f>'add-ons calculations'!G68</f>
        <v>285.95100000000002</v>
      </c>
      <c r="K4" s="102">
        <v>296.39999999999998</v>
      </c>
      <c r="L4" s="102">
        <v>198.5</v>
      </c>
      <c r="M4" s="102">
        <f t="shared" si="0"/>
        <v>97.899999999999977</v>
      </c>
      <c r="N4">
        <v>0</v>
      </c>
      <c r="O4">
        <v>0</v>
      </c>
      <c r="P4">
        <v>0</v>
      </c>
    </row>
    <row r="5" spans="1:16" x14ac:dyDescent="0.35">
      <c r="A5" s="188">
        <v>44286</v>
      </c>
      <c r="B5">
        <v>11.798701344421289</v>
      </c>
      <c r="C5">
        <v>3.7728995470785094</v>
      </c>
      <c r="D5">
        <v>-74.668790726255111</v>
      </c>
      <c r="E5">
        <v>-3.7832762292649704</v>
      </c>
      <c r="F5">
        <v>-4.0293645275978633</v>
      </c>
      <c r="G5">
        <v>1488.7674453956693</v>
      </c>
      <c r="H5">
        <v>389.89820174709951</v>
      </c>
      <c r="I5">
        <v>130.66361528682643</v>
      </c>
      <c r="K5" s="102">
        <v>544.4</v>
      </c>
      <c r="L5" s="102">
        <v>473.5</v>
      </c>
      <c r="M5" s="102">
        <f t="shared" si="0"/>
        <v>70.899999999999977</v>
      </c>
      <c r="N5">
        <v>59</v>
      </c>
      <c r="O5">
        <f>71400/1000</f>
        <v>71.400000000000006</v>
      </c>
      <c r="P5" s="296">
        <f>main!$O$37/1000</f>
        <v>664</v>
      </c>
    </row>
    <row r="6" spans="1:16" x14ac:dyDescent="0.35">
      <c r="A6" s="188">
        <v>44377</v>
      </c>
      <c r="B6">
        <v>7.6523185542003773</v>
      </c>
      <c r="C6">
        <v>0.96715476915696286</v>
      </c>
      <c r="D6">
        <v>-83.796216356273817</v>
      </c>
      <c r="E6">
        <v>-4.2315543175006098</v>
      </c>
      <c r="F6">
        <v>32.473104742464102</v>
      </c>
      <c r="G6">
        <v>373.18358526468296</v>
      </c>
      <c r="H6">
        <v>387.96950176555845</v>
      </c>
      <c r="I6">
        <v>91.809555373839004</v>
      </c>
      <c r="K6" s="102">
        <f t="shared" ref="K6:K24" si="1">SUM(L6:M6)</f>
        <v>152</v>
      </c>
      <c r="L6" s="102">
        <f>main!P$42/1000</f>
        <v>108</v>
      </c>
      <c r="M6" s="102">
        <f>main!P$46/1000</f>
        <v>44</v>
      </c>
      <c r="N6">
        <v>59</v>
      </c>
      <c r="O6">
        <f>71400/1000</f>
        <v>71.400000000000006</v>
      </c>
      <c r="P6">
        <v>0</v>
      </c>
    </row>
    <row r="7" spans="1:16" x14ac:dyDescent="0.35">
      <c r="A7" s="188">
        <v>44469</v>
      </c>
      <c r="B7">
        <v>7.0672258031208912</v>
      </c>
      <c r="C7">
        <v>-2.6853719233534719</v>
      </c>
      <c r="D7">
        <v>-82.632024980574215</v>
      </c>
      <c r="E7">
        <v>-4.1763953360549806</v>
      </c>
      <c r="F7">
        <v>25.336050976078923</v>
      </c>
      <c r="G7">
        <v>172.19456217868969</v>
      </c>
      <c r="H7">
        <v>-263.99839104983226</v>
      </c>
      <c r="I7">
        <v>87.432482045412996</v>
      </c>
      <c r="K7" s="102">
        <f t="shared" si="1"/>
        <v>44</v>
      </c>
      <c r="L7" s="102">
        <f>main!Q$42</f>
        <v>0</v>
      </c>
      <c r="M7" s="102">
        <f>main!Q$46/1000</f>
        <v>44</v>
      </c>
      <c r="N7">
        <v>59</v>
      </c>
      <c r="O7">
        <f>30600/1000</f>
        <v>30.6</v>
      </c>
      <c r="P7">
        <v>0</v>
      </c>
    </row>
    <row r="8" spans="1:16" x14ac:dyDescent="0.35">
      <c r="A8" s="188">
        <v>44561</v>
      </c>
      <c r="B8">
        <v>6.4821330520413767</v>
      </c>
      <c r="C8">
        <v>-8.3133907387605745</v>
      </c>
      <c r="D8">
        <v>-81.941881281215274</v>
      </c>
      <c r="E8">
        <v>-4.14432401327538</v>
      </c>
      <c r="F8">
        <v>25.876877146617062</v>
      </c>
      <c r="G8">
        <v>167.42949574283534</v>
      </c>
      <c r="H8">
        <v>-287.32230778657441</v>
      </c>
      <c r="I8">
        <v>82.352027504066797</v>
      </c>
      <c r="K8" s="102">
        <f t="shared" si="1"/>
        <v>44</v>
      </c>
      <c r="L8" s="102">
        <f>main!R$42</f>
        <v>0</v>
      </c>
      <c r="M8" s="102">
        <f>main!R$46/1000</f>
        <v>44</v>
      </c>
      <c r="N8">
        <v>59</v>
      </c>
      <c r="O8">
        <f>30600/1000</f>
        <v>30.6</v>
      </c>
      <c r="P8">
        <v>0</v>
      </c>
    </row>
    <row r="9" spans="1:16" x14ac:dyDescent="0.35">
      <c r="A9" s="188">
        <v>44651</v>
      </c>
      <c r="B9">
        <v>47.454444332033063</v>
      </c>
      <c r="C9">
        <v>-12.746557895276226</v>
      </c>
      <c r="D9">
        <v>0</v>
      </c>
      <c r="E9">
        <v>0</v>
      </c>
      <c r="F9">
        <v>26.417703317155201</v>
      </c>
      <c r="G9">
        <v>166.80107708132459</v>
      </c>
      <c r="H9">
        <v>-334.72051450560957</v>
      </c>
      <c r="I9">
        <v>77.593706110606433</v>
      </c>
      <c r="K9" s="102">
        <f t="shared" si="1"/>
        <v>44</v>
      </c>
      <c r="L9" s="102">
        <f>main!S$42</f>
        <v>0</v>
      </c>
      <c r="M9" s="102">
        <f>main!S$46/1000</f>
        <v>44</v>
      </c>
      <c r="N9">
        <v>59</v>
      </c>
      <c r="O9">
        <v>0</v>
      </c>
      <c r="P9">
        <v>0</v>
      </c>
    </row>
    <row r="10" spans="1:16" x14ac:dyDescent="0.35">
      <c r="A10" s="188">
        <v>44742</v>
      </c>
      <c r="B10">
        <v>46.869351580953548</v>
      </c>
      <c r="C10">
        <v>-13.145675591671591</v>
      </c>
      <c r="D10">
        <v>0</v>
      </c>
      <c r="E10">
        <v>0</v>
      </c>
      <c r="F10">
        <v>26.958529487693568</v>
      </c>
      <c r="G10">
        <v>165.01052030304004</v>
      </c>
      <c r="H10">
        <v>-336.30233306180742</v>
      </c>
      <c r="I10">
        <v>72.795455197427913</v>
      </c>
      <c r="K10" s="102">
        <f t="shared" si="1"/>
        <v>44</v>
      </c>
      <c r="L10" s="102">
        <f>main!T$42</f>
        <v>0</v>
      </c>
      <c r="M10" s="102">
        <f>main!T$46/1000</f>
        <v>44</v>
      </c>
      <c r="N10">
        <v>59</v>
      </c>
      <c r="O10">
        <v>0</v>
      </c>
      <c r="P10">
        <v>0</v>
      </c>
    </row>
    <row r="11" spans="1:16" x14ac:dyDescent="0.35">
      <c r="A11" s="188">
        <v>44834</v>
      </c>
      <c r="B11">
        <v>46.361660893304077</v>
      </c>
      <c r="C11">
        <v>-14.21099145984644</v>
      </c>
      <c r="D11">
        <v>0</v>
      </c>
      <c r="E11">
        <v>0</v>
      </c>
      <c r="F11">
        <v>27.187848652661387</v>
      </c>
      <c r="G11">
        <v>167.13630141585099</v>
      </c>
      <c r="H11">
        <v>-337.87409768650394</v>
      </c>
      <c r="I11">
        <v>59.928177024695259</v>
      </c>
      <c r="K11" s="102">
        <f t="shared" si="1"/>
        <v>44</v>
      </c>
      <c r="L11" s="102">
        <f>main!U$42</f>
        <v>0</v>
      </c>
      <c r="M11" s="102">
        <f>main!U$46/1000</f>
        <v>44</v>
      </c>
      <c r="N11">
        <v>59</v>
      </c>
      <c r="O11">
        <v>0</v>
      </c>
      <c r="P11">
        <v>0</v>
      </c>
    </row>
    <row r="12" spans="1:16" x14ac:dyDescent="0.35">
      <c r="A12" s="188">
        <v>44926</v>
      </c>
      <c r="B12">
        <v>45.853970205654605</v>
      </c>
      <c r="C12">
        <v>-15.338034745617193</v>
      </c>
      <c r="D12">
        <v>0</v>
      </c>
      <c r="E12">
        <v>0</v>
      </c>
      <c r="F12">
        <v>27.417167817629206</v>
      </c>
      <c r="G12">
        <v>168.2446480983549</v>
      </c>
      <c r="H12">
        <v>-339.44251100070011</v>
      </c>
      <c r="I12">
        <v>47.062676959411363</v>
      </c>
      <c r="K12" s="102">
        <f t="shared" si="1"/>
        <v>44</v>
      </c>
      <c r="L12" s="102">
        <f>main!V$42</f>
        <v>0</v>
      </c>
      <c r="M12" s="102">
        <f>main!V$46/1000</f>
        <v>44</v>
      </c>
      <c r="N12">
        <v>59</v>
      </c>
      <c r="O12">
        <v>0</v>
      </c>
      <c r="P12">
        <v>0</v>
      </c>
    </row>
    <row r="13" spans="1:16" x14ac:dyDescent="0.35">
      <c r="A13" s="188">
        <v>45016</v>
      </c>
      <c r="B13">
        <v>45.346279518005133</v>
      </c>
      <c r="C13">
        <v>-16.533927843321862</v>
      </c>
      <c r="D13">
        <v>0</v>
      </c>
      <c r="E13">
        <v>0</v>
      </c>
      <c r="F13">
        <v>27.646486982597025</v>
      </c>
      <c r="G13">
        <v>168.63480753902218</v>
      </c>
      <c r="H13">
        <v>-341.0159512806469</v>
      </c>
      <c r="I13">
        <v>34.056951067957698</v>
      </c>
      <c r="K13" s="102">
        <f t="shared" si="1"/>
        <v>44</v>
      </c>
      <c r="L13">
        <v>0</v>
      </c>
      <c r="M13">
        <v>44</v>
      </c>
      <c r="N13">
        <v>59</v>
      </c>
      <c r="O13">
        <v>0</v>
      </c>
      <c r="P13">
        <v>0</v>
      </c>
    </row>
    <row r="14" spans="1:16" x14ac:dyDescent="0.35">
      <c r="A14" s="188">
        <v>45107</v>
      </c>
      <c r="B14">
        <v>44.838588830355661</v>
      </c>
      <c r="C14">
        <v>-17.755936386932433</v>
      </c>
      <c r="D14">
        <v>0</v>
      </c>
      <c r="E14">
        <v>0</v>
      </c>
      <c r="F14">
        <v>27.875806147564845</v>
      </c>
      <c r="G14">
        <v>168.19927592143449</v>
      </c>
      <c r="H14">
        <v>-342.60447245784553</v>
      </c>
      <c r="I14">
        <v>37.445842510045054</v>
      </c>
      <c r="K14" s="102">
        <f t="shared" si="1"/>
        <v>0</v>
      </c>
      <c r="N14">
        <v>59</v>
      </c>
      <c r="O14">
        <v>0</v>
      </c>
      <c r="P14">
        <v>0</v>
      </c>
    </row>
    <row r="15" spans="1:16" x14ac:dyDescent="0.35">
      <c r="A15" s="188">
        <v>45199</v>
      </c>
      <c r="B15">
        <v>45.103772151336528</v>
      </c>
      <c r="C15">
        <v>-18.256936057051234</v>
      </c>
      <c r="D15">
        <v>0</v>
      </c>
      <c r="E15">
        <v>0</v>
      </c>
      <c r="F15">
        <v>28.064837938374012</v>
      </c>
      <c r="G15">
        <v>169.05014972387244</v>
      </c>
      <c r="H15">
        <v>-344.20807453229611</v>
      </c>
      <c r="I15">
        <v>32.479535988951</v>
      </c>
      <c r="K15" s="102">
        <f t="shared" si="1"/>
        <v>0</v>
      </c>
      <c r="N15">
        <v>59</v>
      </c>
      <c r="O15">
        <v>0</v>
      </c>
      <c r="P15">
        <v>0</v>
      </c>
    </row>
    <row r="16" spans="1:16" x14ac:dyDescent="0.35">
      <c r="A16" s="188">
        <v>45291</v>
      </c>
      <c r="B16">
        <v>45.368955472317282</v>
      </c>
      <c r="C16">
        <v>-18.784051173076023</v>
      </c>
      <c r="D16">
        <v>0</v>
      </c>
      <c r="E16">
        <v>0</v>
      </c>
      <c r="F16">
        <v>28.253869729183407</v>
      </c>
      <c r="G16">
        <v>170.00590378118795</v>
      </c>
      <c r="H16">
        <v>-345.82173053824783</v>
      </c>
      <c r="I16">
        <v>27.352641611753313</v>
      </c>
      <c r="K16" s="102">
        <f t="shared" si="1"/>
        <v>0</v>
      </c>
      <c r="N16">
        <v>59</v>
      </c>
      <c r="O16">
        <v>0</v>
      </c>
      <c r="P16">
        <v>0</v>
      </c>
    </row>
    <row r="17" spans="1:16" x14ac:dyDescent="0.35">
      <c r="A17" s="188">
        <v>45382</v>
      </c>
      <c r="B17">
        <v>45.634138793298064</v>
      </c>
      <c r="C17">
        <v>-19.334907603560794</v>
      </c>
      <c r="D17">
        <v>0</v>
      </c>
      <c r="E17">
        <v>0</v>
      </c>
      <c r="F17">
        <v>28.442901519992802</v>
      </c>
      <c r="G17">
        <v>170.91789903564108</v>
      </c>
      <c r="H17">
        <v>-347.43203523369914</v>
      </c>
      <c r="I17">
        <v>27.820670181972446</v>
      </c>
      <c r="K17" s="102">
        <f t="shared" si="1"/>
        <v>0</v>
      </c>
      <c r="N17">
        <v>59</v>
      </c>
      <c r="O17">
        <v>0</v>
      </c>
      <c r="P17">
        <v>0</v>
      </c>
    </row>
    <row r="18" spans="1:16" x14ac:dyDescent="0.35">
      <c r="A18" s="188">
        <v>45473</v>
      </c>
      <c r="B18">
        <v>45.899322114278874</v>
      </c>
      <c r="C18">
        <v>-19.852526193801623</v>
      </c>
      <c r="D18">
        <v>0</v>
      </c>
      <c r="E18">
        <v>0</v>
      </c>
      <c r="F18">
        <v>28.631933310801969</v>
      </c>
      <c r="G18">
        <v>171.8886940793775</v>
      </c>
      <c r="H18">
        <v>-349.04736689490124</v>
      </c>
      <c r="I18">
        <v>28.297901463371772</v>
      </c>
      <c r="K18" s="102">
        <f t="shared" si="1"/>
        <v>0</v>
      </c>
      <c r="N18">
        <v>59</v>
      </c>
      <c r="O18">
        <v>0</v>
      </c>
      <c r="P18">
        <v>0</v>
      </c>
    </row>
    <row r="19" spans="1:16" x14ac:dyDescent="0.35">
      <c r="A19" s="188">
        <v>45565</v>
      </c>
      <c r="B19">
        <v>46.581423935949147</v>
      </c>
      <c r="C19">
        <v>-19.931504702215932</v>
      </c>
      <c r="D19">
        <v>0</v>
      </c>
      <c r="E19">
        <v>0</v>
      </c>
      <c r="F19">
        <v>29.337432345276966</v>
      </c>
      <c r="G19">
        <v>175.88490667644419</v>
      </c>
      <c r="H19">
        <v>-350.66604986660371</v>
      </c>
      <c r="I19">
        <v>28.336317445648149</v>
      </c>
      <c r="K19" s="102">
        <f t="shared" si="1"/>
        <v>0</v>
      </c>
      <c r="N19">
        <v>59</v>
      </c>
      <c r="O19">
        <v>0</v>
      </c>
      <c r="P19">
        <v>0</v>
      </c>
    </row>
    <row r="20" spans="1:16" x14ac:dyDescent="0.35">
      <c r="A20" s="188">
        <v>45657</v>
      </c>
      <c r="B20">
        <v>47.263525757619476</v>
      </c>
      <c r="C20">
        <v>-20.00810907918418</v>
      </c>
      <c r="D20">
        <v>0</v>
      </c>
      <c r="E20">
        <v>0</v>
      </c>
      <c r="F20">
        <v>30.042931379751963</v>
      </c>
      <c r="G20">
        <v>179.26174446138884</v>
      </c>
      <c r="H20">
        <v>-352.28305718305586</v>
      </c>
      <c r="I20">
        <v>28.378146871750857</v>
      </c>
      <c r="K20" s="102">
        <f t="shared" si="1"/>
        <v>0</v>
      </c>
      <c r="N20">
        <v>59</v>
      </c>
      <c r="O20">
        <v>0</v>
      </c>
      <c r="P20">
        <v>0</v>
      </c>
    </row>
    <row r="21" spans="1:16" x14ac:dyDescent="0.35">
      <c r="A21" s="188">
        <v>45747</v>
      </c>
      <c r="B21">
        <v>47.94562757928972</v>
      </c>
      <c r="C21">
        <v>-20.082339324706481</v>
      </c>
      <c r="D21">
        <v>0</v>
      </c>
      <c r="E21">
        <v>0</v>
      </c>
      <c r="F21">
        <v>30.748430414226959</v>
      </c>
      <c r="G21">
        <v>181.86089298438924</v>
      </c>
      <c r="H21">
        <v>-353.87995663650565</v>
      </c>
      <c r="I21">
        <v>28.424344747419582</v>
      </c>
      <c r="K21" s="102">
        <f t="shared" si="1"/>
        <v>0</v>
      </c>
      <c r="N21">
        <v>59</v>
      </c>
      <c r="O21">
        <v>0</v>
      </c>
      <c r="P21">
        <v>0</v>
      </c>
    </row>
    <row r="22" spans="1:16" x14ac:dyDescent="0.35">
      <c r="A22" s="188">
        <v>45838</v>
      </c>
      <c r="B22">
        <v>48.627729400959993</v>
      </c>
      <c r="C22">
        <v>-20.156569570228783</v>
      </c>
      <c r="D22">
        <v>0</v>
      </c>
      <c r="E22">
        <v>0</v>
      </c>
      <c r="F22">
        <v>31.453929448701956</v>
      </c>
      <c r="G22">
        <v>183.75742117674554</v>
      </c>
      <c r="H22">
        <v>-355.46512650320386</v>
      </c>
      <c r="I22">
        <v>28.474239122265658</v>
      </c>
      <c r="K22" s="102">
        <f t="shared" si="1"/>
        <v>0</v>
      </c>
      <c r="N22">
        <v>59</v>
      </c>
      <c r="O22">
        <v>0</v>
      </c>
      <c r="P22">
        <v>0</v>
      </c>
    </row>
    <row r="23" spans="1:16" x14ac:dyDescent="0.35">
      <c r="A23" s="188">
        <v>45930</v>
      </c>
      <c r="B23">
        <v>49.307005274555195</v>
      </c>
      <c r="C23">
        <v>-20.233531612277602</v>
      </c>
      <c r="D23">
        <v>0</v>
      </c>
      <c r="E23">
        <v>0</v>
      </c>
      <c r="F23">
        <v>31.979739400361268</v>
      </c>
      <c r="G23">
        <v>184.64240235455236</v>
      </c>
      <c r="H23">
        <v>-357.0385667831506</v>
      </c>
      <c r="I23">
        <v>28.533424637449741</v>
      </c>
      <c r="K23" s="102">
        <f t="shared" si="1"/>
        <v>0</v>
      </c>
      <c r="N23">
        <v>59</v>
      </c>
      <c r="O23">
        <v>0</v>
      </c>
      <c r="P23">
        <v>0</v>
      </c>
    </row>
    <row r="24" spans="1:16" x14ac:dyDescent="0.35">
      <c r="A24" s="188">
        <v>46022</v>
      </c>
      <c r="B24">
        <v>49.986281148150368</v>
      </c>
      <c r="C24">
        <v>-20.310493654326422</v>
      </c>
      <c r="D24">
        <v>0</v>
      </c>
      <c r="E24">
        <v>0</v>
      </c>
      <c r="F24">
        <v>32.50554935202058</v>
      </c>
      <c r="G24">
        <v>185.8257989231065</v>
      </c>
      <c r="H24">
        <v>-358.60195313159608</v>
      </c>
      <c r="I24">
        <v>28.597987176098513</v>
      </c>
      <c r="K24" s="102">
        <f t="shared" si="1"/>
        <v>0</v>
      </c>
      <c r="N24">
        <v>59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341" t="s">
        <v>21</v>
      </c>
      <c r="E1" s="341"/>
      <c r="F1" s="341"/>
      <c r="G1" s="341"/>
      <c r="H1" s="341" t="s">
        <v>9</v>
      </c>
      <c r="I1" s="341"/>
      <c r="J1" s="341"/>
      <c r="K1" s="341"/>
      <c r="L1" s="341" t="s">
        <v>10</v>
      </c>
      <c r="M1" s="341"/>
      <c r="N1" s="341"/>
      <c r="O1" s="341"/>
      <c r="P1" s="341" t="s">
        <v>11</v>
      </c>
      <c r="Q1" s="341"/>
      <c r="R1" s="341"/>
      <c r="S1" s="341"/>
      <c r="T1" s="341" t="s">
        <v>265</v>
      </c>
      <c r="U1" s="341"/>
      <c r="V1" s="341"/>
      <c r="W1" s="341"/>
    </row>
    <row r="2" spans="1:36" x14ac:dyDescent="0.35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3270456.7169724014</v>
      </c>
      <c r="N3" s="255">
        <f>main!P34</f>
        <v>2708796.7165770018</v>
      </c>
      <c r="O3" s="255">
        <f>main!Q34</f>
        <v>2611509.6718853824</v>
      </c>
      <c r="P3" s="255">
        <f>main!R34</f>
        <v>2678465.9441347551</v>
      </c>
      <c r="Q3" s="255">
        <f>main!S34</f>
        <v>2735176.6542439447</v>
      </c>
      <c r="R3" s="255">
        <f>main!T34</f>
        <v>2793300.2519227522</v>
      </c>
      <c r="S3" s="255">
        <f>main!U34</f>
        <v>2852876.3150512893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35">
      <c r="A4" s="35" t="s">
        <v>213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883132.91447240114</v>
      </c>
      <c r="N4" s="213">
        <f>main!P35</f>
        <v>905947.84259575198</v>
      </c>
      <c r="O4" s="213">
        <f>main!Q35</f>
        <v>929042.16445899184</v>
      </c>
      <c r="P4" s="213">
        <f>main!R35</f>
        <v>971421.42409696849</v>
      </c>
      <c r="Q4" s="213">
        <f>main!S35</f>
        <v>1003186.4664055918</v>
      </c>
      <c r="R4" s="213">
        <f>main!T35</f>
        <v>1035990.2112668242</v>
      </c>
      <c r="S4" s="213">
        <f>main!U35</f>
        <v>1069866.6237855225</v>
      </c>
      <c r="T4" s="213">
        <f>main!V35</f>
        <v>1080647.7677858607</v>
      </c>
      <c r="U4" s="213">
        <f>main!W35</f>
        <v>1091537.5543621723</v>
      </c>
      <c r="V4" s="213">
        <f>main!X35</f>
        <v>1102537.0783156503</v>
      </c>
      <c r="W4" s="213">
        <f>main!Y35</f>
        <v>1113647.4454798999</v>
      </c>
      <c r="AJ4" s="233"/>
    </row>
    <row r="5" spans="1:36" s="35" customFormat="1" x14ac:dyDescent="0.35">
      <c r="A5" s="35" t="s">
        <v>15</v>
      </c>
      <c r="D5" s="197">
        <f>main!F97</f>
        <v>728844</v>
      </c>
      <c r="E5" s="197">
        <f>main!G97</f>
        <v>738714</v>
      </c>
      <c r="F5" s="197">
        <f>main!H97</f>
        <v>755204</v>
      </c>
      <c r="G5" s="197">
        <f>main!I97</f>
        <v>763370</v>
      </c>
      <c r="H5" s="197">
        <f>main!J97</f>
        <v>760967</v>
      </c>
      <c r="I5" s="197">
        <f>main!K97</f>
        <v>767087</v>
      </c>
      <c r="J5" s="197">
        <f>main!L97</f>
        <v>812158</v>
      </c>
      <c r="K5" s="197">
        <f>main!M97</f>
        <v>828480</v>
      </c>
      <c r="L5" s="262">
        <f>main!N97</f>
        <v>818740</v>
      </c>
      <c r="M5" s="262">
        <f>main!O97</f>
        <v>831250.83502466371</v>
      </c>
      <c r="N5" s="262">
        <f>main!P97</f>
        <v>838457.84744285408</v>
      </c>
      <c r="O5" s="262">
        <f>main!Q97</f>
        <v>839187.01967747905</v>
      </c>
      <c r="P5" s="262">
        <f>main!R97</f>
        <v>840286.24682117626</v>
      </c>
      <c r="Q5" s="262">
        <f>main!S97</f>
        <v>841762.8752842095</v>
      </c>
      <c r="R5" s="262">
        <f>main!T97</f>
        <v>843107.97501111636</v>
      </c>
      <c r="S5" s="262">
        <f>main!U97</f>
        <v>844539.45728929248</v>
      </c>
      <c r="T5" s="262">
        <f>main!V97</f>
        <v>846032.64138980373</v>
      </c>
      <c r="U5" s="262"/>
      <c r="V5" s="262"/>
      <c r="W5" s="262"/>
      <c r="AJ5" s="258"/>
    </row>
    <row r="6" spans="1:36" s="35" customFormat="1" x14ac:dyDescent="0.35">
      <c r="A6" s="35" t="s">
        <v>212</v>
      </c>
      <c r="D6" s="197">
        <f>main!F100</f>
        <v>589819</v>
      </c>
      <c r="E6" s="197">
        <f>main!G100</f>
        <v>599372</v>
      </c>
      <c r="F6" s="197">
        <f>main!H100</f>
        <v>614976</v>
      </c>
      <c r="G6" s="197">
        <f>main!I100</f>
        <v>622265</v>
      </c>
      <c r="H6" s="197">
        <f>main!J100</f>
        <v>619632</v>
      </c>
      <c r="I6" s="197">
        <f>main!K100</f>
        <v>624096</v>
      </c>
      <c r="J6" s="197">
        <f>main!L100</f>
        <v>668823</v>
      </c>
      <c r="K6" s="197">
        <f>main!M100</f>
        <v>683703</v>
      </c>
      <c r="L6" s="35">
        <f>main!N100</f>
        <v>673632</v>
      </c>
      <c r="M6" s="35">
        <f>main!O100</f>
        <v>685780.06502466369</v>
      </c>
      <c r="N6" s="35">
        <f>main!P100</f>
        <v>692623.40051785414</v>
      </c>
      <c r="O6" s="35">
        <f>main!Q100</f>
        <v>692623.40051785414</v>
      </c>
      <c r="P6" s="35">
        <f>main!R100</f>
        <v>692623.40051785414</v>
      </c>
      <c r="Q6" s="35">
        <f>main!S100</f>
        <v>692623.40051785414</v>
      </c>
      <c r="R6" s="35">
        <f>main!T100</f>
        <v>692623.40051785414</v>
      </c>
      <c r="S6" s="35">
        <f>main!U100</f>
        <v>692623.40051785414</v>
      </c>
      <c r="T6" s="35">
        <f>main!V100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349" t="s">
        <v>206</v>
      </c>
      <c r="B1" s="350"/>
      <c r="C1" s="35"/>
      <c r="I1" s="240"/>
      <c r="J1" s="357" t="s">
        <v>279</v>
      </c>
      <c r="V1" s="341"/>
      <c r="W1" s="341"/>
      <c r="X1" s="341"/>
      <c r="Y1" s="341"/>
    </row>
    <row r="2" spans="1:27" x14ac:dyDescent="0.35">
      <c r="A2" s="351" t="s">
        <v>191</v>
      </c>
      <c r="B2" s="126"/>
      <c r="C2" t="s">
        <v>192</v>
      </c>
      <c r="H2" s="95"/>
      <c r="I2" s="241"/>
      <c r="J2" s="357"/>
    </row>
    <row r="3" spans="1:27" x14ac:dyDescent="0.35">
      <c r="A3" s="352"/>
      <c r="B3" s="127"/>
      <c r="C3" t="s">
        <v>193</v>
      </c>
      <c r="H3" s="95"/>
      <c r="I3" s="241"/>
      <c r="J3" s="357"/>
    </row>
    <row r="4" spans="1:27" x14ac:dyDescent="0.35">
      <c r="A4" s="352"/>
      <c r="B4" s="128"/>
      <c r="C4" t="s">
        <v>194</v>
      </c>
      <c r="H4" s="95"/>
      <c r="I4" s="95"/>
      <c r="J4" s="95"/>
    </row>
    <row r="5" spans="1:27" x14ac:dyDescent="0.35">
      <c r="A5" s="353"/>
      <c r="B5" s="129"/>
      <c r="C5" t="s">
        <v>181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354" t="s">
        <v>160</v>
      </c>
      <c r="D7" s="355"/>
      <c r="E7" s="355"/>
      <c r="F7" s="356"/>
      <c r="G7" s="354" t="s">
        <v>165</v>
      </c>
      <c r="H7" s="355"/>
      <c r="I7" s="355"/>
      <c r="J7" s="356"/>
      <c r="K7" s="354" t="s">
        <v>176</v>
      </c>
      <c r="L7" s="355"/>
      <c r="M7" s="355"/>
      <c r="N7" s="355"/>
      <c r="O7" s="354" t="s">
        <v>269</v>
      </c>
      <c r="P7" s="355"/>
      <c r="Q7" s="355"/>
      <c r="R7" s="355"/>
      <c r="S7" s="354" t="s">
        <v>273</v>
      </c>
      <c r="T7" s="355"/>
      <c r="U7" s="355"/>
      <c r="V7" s="355"/>
      <c r="W7" s="354" t="s">
        <v>274</v>
      </c>
      <c r="X7" s="355"/>
      <c r="Y7" s="355"/>
      <c r="Z7" s="355"/>
      <c r="AA7" s="222" t="s">
        <v>275</v>
      </c>
    </row>
    <row r="8" spans="1:27" s="257" customFormat="1" x14ac:dyDescent="0.35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x14ac:dyDescent="0.35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x14ac:dyDescent="0.35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x14ac:dyDescent="0.35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x14ac:dyDescent="0.35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x14ac:dyDescent="0.35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x14ac:dyDescent="0.35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x14ac:dyDescent="0.35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x14ac:dyDescent="0.35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x14ac:dyDescent="0.35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35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35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3">
      <c r="B26" s="210" t="s">
        <v>277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35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831.25083502466373</v>
      </c>
      <c r="I31" s="104">
        <f>main_nipas!N5/1000</f>
        <v>838.45784744285413</v>
      </c>
      <c r="J31" s="104">
        <f>main_nipas!O5/1000</f>
        <v>839.18701967747904</v>
      </c>
      <c r="K31" s="149">
        <f>main_nipas!P5/1000</f>
        <v>840.28624682117629</v>
      </c>
      <c r="L31" s="104">
        <f>main_nipas!Q5/1000</f>
        <v>841.76287528420949</v>
      </c>
      <c r="M31" s="104">
        <f>L31*(1 + M33)</f>
        <v>1023.5226902081812</v>
      </c>
      <c r="N31" s="104">
        <f t="shared" ref="N31:AA31" si="4">M31*(1 + N33)</f>
        <v>1195.7081538969867</v>
      </c>
      <c r="O31" s="149">
        <f t="shared" si="4"/>
        <v>1356.7203907437929</v>
      </c>
      <c r="P31" s="104">
        <f t="shared" si="4"/>
        <v>1515.0518092447514</v>
      </c>
      <c r="Q31" s="104">
        <f t="shared" si="4"/>
        <v>1681.8086568326592</v>
      </c>
      <c r="R31" s="104">
        <f t="shared" si="4"/>
        <v>1847.799556321753</v>
      </c>
      <c r="S31" s="149">
        <f t="shared" si="4"/>
        <v>1842.0571169992031</v>
      </c>
      <c r="T31" s="104">
        <f t="shared" si="4"/>
        <v>1840.9103662695375</v>
      </c>
      <c r="U31" s="104">
        <f t="shared" si="4"/>
        <v>1843.9763300833417</v>
      </c>
      <c r="V31" s="104">
        <f t="shared" si="4"/>
        <v>1853.1698786876568</v>
      </c>
      <c r="W31" s="149">
        <f t="shared" si="4"/>
        <v>1839.9127367130252</v>
      </c>
      <c r="X31" s="104">
        <f t="shared" si="4"/>
        <v>1825.88964663958</v>
      </c>
      <c r="Y31" s="104">
        <f t="shared" si="4"/>
        <v>1814.9303489613881</v>
      </c>
      <c r="Z31" s="104">
        <f t="shared" si="4"/>
        <v>1807.4178177278561</v>
      </c>
      <c r="AA31" s="149">
        <f t="shared" si="4"/>
        <v>1798.4197081672164</v>
      </c>
      <c r="AB31" s="95"/>
    </row>
    <row r="32" spans="1:28" x14ac:dyDescent="0.35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3">
      <c r="B33" s="210" t="s">
        <v>277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35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735.77787802470243</v>
      </c>
      <c r="I34" s="217">
        <f t="shared" si="7"/>
        <v>767.5404900116622</v>
      </c>
      <c r="J34" s="217">
        <f t="shared" si="7"/>
        <v>790.69510584290015</v>
      </c>
      <c r="K34" s="150">
        <f t="shared" si="7"/>
        <v>777.3682130439189</v>
      </c>
      <c r="L34" s="239">
        <f t="shared" si="7"/>
        <v>762.21917576132455</v>
      </c>
      <c r="M34" s="217">
        <f t="shared" si="7"/>
        <v>926.80331267886709</v>
      </c>
      <c r="N34" s="217">
        <f t="shared" si="7"/>
        <v>1082.7178416566987</v>
      </c>
      <c r="O34" s="150">
        <f t="shared" si="7"/>
        <v>1228.5149753392966</v>
      </c>
      <c r="P34" s="150">
        <f t="shared" si="7"/>
        <v>1371.8846187987742</v>
      </c>
      <c r="Q34" s="150">
        <f t="shared" si="7"/>
        <v>1522.8835172452002</v>
      </c>
      <c r="R34" s="150">
        <f t="shared" si="7"/>
        <v>1673.1888470564488</v>
      </c>
      <c r="S34" s="150">
        <f t="shared" si="7"/>
        <v>1667.9890485195799</v>
      </c>
      <c r="T34" s="150">
        <f t="shared" si="7"/>
        <v>1666.9506617937764</v>
      </c>
      <c r="U34" s="150">
        <f t="shared" si="7"/>
        <v>1669.7269025614423</v>
      </c>
      <c r="V34" s="150">
        <f t="shared" si="7"/>
        <v>1678.0516924105277</v>
      </c>
      <c r="W34" s="150">
        <f t="shared" si="7"/>
        <v>1666.0473048026247</v>
      </c>
      <c r="X34" s="150">
        <f t="shared" si="7"/>
        <v>1653.3493485595445</v>
      </c>
      <c r="Y34" s="150">
        <f t="shared" si="7"/>
        <v>1643.4256668571718</v>
      </c>
      <c r="Z34" s="150">
        <f t="shared" si="7"/>
        <v>1636.6230440130953</v>
      </c>
      <c r="AA34" s="150">
        <f t="shared" si="7"/>
        <v>1628.4752248895622</v>
      </c>
      <c r="AB34" s="244"/>
    </row>
    <row r="35" spans="1:28" s="97" customFormat="1" x14ac:dyDescent="0.35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35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8.5" x14ac:dyDescent="0.4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35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3">
      <c r="B40" s="210" t="s">
        <v>277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35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35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3">
      <c r="B47" s="210" t="s">
        <v>277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35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35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35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59" t="s">
        <v>255</v>
      </c>
      <c r="B1" s="259" t="s">
        <v>248</v>
      </c>
      <c r="C1" s="259" t="s">
        <v>249</v>
      </c>
      <c r="D1" s="259" t="s">
        <v>250</v>
      </c>
      <c r="E1" s="259" t="s">
        <v>251</v>
      </c>
      <c r="F1" s="259" t="s">
        <v>252</v>
      </c>
      <c r="G1" s="259" t="s">
        <v>253</v>
      </c>
      <c r="H1" s="259" t="s">
        <v>254</v>
      </c>
      <c r="I1" s="259" t="s">
        <v>286</v>
      </c>
    </row>
    <row r="2" spans="1:9" x14ac:dyDescent="0.35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-35.750999999999976</v>
      </c>
      <c r="E2" s="259">
        <f t="array" ref="E2:E23">TRANSPOSE('add-ons calculations'!F43:AA43)</f>
        <v>-5.7000000000000028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603.68000000000006</v>
      </c>
      <c r="I2" s="259">
        <f t="array" ref="I2:I23">TRANSPOSE('add-ons calculations'!F71:AA71)</f>
        <v>61.893000000000001</v>
      </c>
    </row>
    <row r="3" spans="1:9" x14ac:dyDescent="0.35">
      <c r="A3" s="260">
        <v>44196</v>
      </c>
      <c r="B3" s="259">
        <v>-52.043157750019304</v>
      </c>
      <c r="C3" s="259">
        <v>698.70615775001932</v>
      </c>
      <c r="D3" s="259">
        <v>-86.951000000000022</v>
      </c>
      <c r="E3" s="259">
        <v>-4.3825959008611193</v>
      </c>
      <c r="F3" s="259">
        <v>30.68379862957454</v>
      </c>
      <c r="G3" s="259">
        <v>591.06441309996126</v>
      </c>
      <c r="H3" s="259">
        <v>208.23599999999993</v>
      </c>
      <c r="I3" s="259">
        <v>25.213999999999999</v>
      </c>
    </row>
    <row r="4" spans="1:9" x14ac:dyDescent="0.35">
      <c r="A4" s="260">
        <v>44286</v>
      </c>
      <c r="B4" s="259">
        <v>-66.570250475374905</v>
      </c>
      <c r="C4" s="259">
        <v>735.77787802470243</v>
      </c>
      <c r="D4" s="259">
        <v>-74.668790726255111</v>
      </c>
      <c r="E4" s="259">
        <v>-3.7832762292649704</v>
      </c>
      <c r="F4" s="259">
        <v>66.012511731550148</v>
      </c>
      <c r="G4" s="259">
        <v>1201.8936191406992</v>
      </c>
      <c r="H4" s="259">
        <v>389.89820174709951</v>
      </c>
      <c r="I4" s="259">
        <v>130.66361528682643</v>
      </c>
    </row>
    <row r="5" spans="1:9" x14ac:dyDescent="0.35">
      <c r="A5" s="260">
        <v>44377</v>
      </c>
      <c r="B5" s="259">
        <v>-86.402072732203806</v>
      </c>
      <c r="C5" s="259">
        <v>767.5404900116622</v>
      </c>
      <c r="D5" s="259">
        <v>-83.796216356273817</v>
      </c>
      <c r="E5" s="259">
        <v>-4.2315543175006098</v>
      </c>
      <c r="F5" s="259">
        <v>101.61723848447548</v>
      </c>
      <c r="G5" s="259">
        <v>854.05661636033483</v>
      </c>
      <c r="H5" s="259">
        <v>387.96950176555845</v>
      </c>
      <c r="I5" s="259">
        <v>91.809555373839004</v>
      </c>
    </row>
    <row r="6" spans="1:9" x14ac:dyDescent="0.35">
      <c r="A6" s="260">
        <v>44469</v>
      </c>
      <c r="B6" s="259">
        <v>-113.07723048222294</v>
      </c>
      <c r="C6" s="259">
        <v>790.69510584290015</v>
      </c>
      <c r="D6" s="259">
        <v>-82.632024980574215</v>
      </c>
      <c r="E6" s="259">
        <v>-4.1763953360549806</v>
      </c>
      <c r="F6" s="259">
        <v>137.50135897728978</v>
      </c>
      <c r="G6" s="259">
        <v>906.03001879956446</v>
      </c>
      <c r="H6" s="259">
        <v>-263.99839104983226</v>
      </c>
      <c r="I6" s="259">
        <v>87.432482045412996</v>
      </c>
    </row>
    <row r="7" spans="1:9" x14ac:dyDescent="0.35">
      <c r="A7" s="260">
        <v>44561</v>
      </c>
      <c r="B7" s="259">
        <v>-105.05755462580441</v>
      </c>
      <c r="C7" s="259">
        <v>777.3682130439189</v>
      </c>
      <c r="D7" s="259">
        <v>-81.941881281215274</v>
      </c>
      <c r="E7" s="259">
        <v>-4.14432401327538</v>
      </c>
      <c r="F7" s="259">
        <v>144.44402858127864</v>
      </c>
      <c r="G7" s="259">
        <v>926.50683572140088</v>
      </c>
      <c r="H7" s="259">
        <v>-287.32230778657441</v>
      </c>
      <c r="I7" s="259">
        <v>82.352027504066797</v>
      </c>
    </row>
    <row r="8" spans="1:9" x14ac:dyDescent="0.35">
      <c r="A8" s="260">
        <v>44651</v>
      </c>
      <c r="B8" s="259">
        <v>-97.037878769385998</v>
      </c>
      <c r="C8" s="259">
        <v>762.21917576132455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-334.72051450560957</v>
      </c>
      <c r="I8" s="259">
        <v>77.593706110606433</v>
      </c>
    </row>
    <row r="9" spans="1:9" x14ac:dyDescent="0.35">
      <c r="A9" s="260">
        <v>44742</v>
      </c>
      <c r="B9" s="259">
        <v>-89.018202912967581</v>
      </c>
      <c r="C9" s="259">
        <v>926.80331267886709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-336.30233306180742</v>
      </c>
      <c r="I9" s="259">
        <v>72.795455197427913</v>
      </c>
    </row>
    <row r="10" spans="1:9" x14ac:dyDescent="0.35">
      <c r="A10" s="260">
        <v>44834</v>
      </c>
      <c r="B10" s="259">
        <v>-88.104872392241191</v>
      </c>
      <c r="C10" s="259">
        <v>1082.7178416566987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-337.87409768650394</v>
      </c>
      <c r="I10" s="259">
        <v>59.928177024695259</v>
      </c>
    </row>
    <row r="11" spans="1:9" x14ac:dyDescent="0.35">
      <c r="A11" s="260">
        <v>44926</v>
      </c>
      <c r="B11" s="259">
        <v>-87.200505717350779</v>
      </c>
      <c r="C11" s="259">
        <v>1228.5149753392966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-339.44251100070011</v>
      </c>
      <c r="I11" s="259">
        <v>47.062676959411363</v>
      </c>
    </row>
    <row r="12" spans="1:9" x14ac:dyDescent="0.35">
      <c r="A12" s="260">
        <v>45016</v>
      </c>
      <c r="B12" s="259">
        <v>-86.296139042460368</v>
      </c>
      <c r="C12" s="259">
        <v>1371.8846187987742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-341.0159512806469</v>
      </c>
      <c r="I12" s="259">
        <v>34.056951067957698</v>
      </c>
    </row>
    <row r="13" spans="1:9" x14ac:dyDescent="0.35">
      <c r="A13" s="260">
        <v>45107</v>
      </c>
      <c r="B13" s="259">
        <v>-85.391772367569956</v>
      </c>
      <c r="C13" s="259">
        <v>1522.8835172452002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-342.60447245784553</v>
      </c>
      <c r="I13" s="259">
        <v>37.445842510045054</v>
      </c>
    </row>
    <row r="14" spans="1:9" x14ac:dyDescent="0.35">
      <c r="A14" s="260">
        <v>45199</v>
      </c>
      <c r="B14" s="259">
        <v>-84.487405692679545</v>
      </c>
      <c r="C14" s="259">
        <v>1673.1888470564488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-344.20807453229611</v>
      </c>
      <c r="I14" s="259">
        <v>32.479535988951</v>
      </c>
    </row>
    <row r="15" spans="1:9" x14ac:dyDescent="0.35">
      <c r="A15" s="260">
        <v>45291</v>
      </c>
      <c r="B15" s="259">
        <v>-85.439451490421334</v>
      </c>
      <c r="C15" s="259">
        <v>1667.9890485195799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-345.82173053824783</v>
      </c>
      <c r="I15" s="259">
        <v>27.352641611753313</v>
      </c>
    </row>
    <row r="16" spans="1:9" x14ac:dyDescent="0.35">
      <c r="A16" s="260">
        <v>45382</v>
      </c>
      <c r="B16" s="259">
        <v>-86.391497288163123</v>
      </c>
      <c r="C16" s="259">
        <v>1666.9506617937764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-347.43203523369914</v>
      </c>
      <c r="I16" s="259">
        <v>27.820670181972446</v>
      </c>
    </row>
    <row r="17" spans="1:9" x14ac:dyDescent="0.35">
      <c r="A17" s="260">
        <v>45473</v>
      </c>
      <c r="B17" s="259">
        <v>-87.343543085905026</v>
      </c>
      <c r="C17" s="259">
        <v>1669.7269025614423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-349.04736689490124</v>
      </c>
      <c r="I17" s="259">
        <v>28.297901463371772</v>
      </c>
    </row>
    <row r="18" spans="1:9" x14ac:dyDescent="0.35">
      <c r="A18" s="260">
        <v>45565</v>
      </c>
      <c r="B18" s="259">
        <v>-88.295588883646928</v>
      </c>
      <c r="C18" s="259">
        <v>1678.0516924105277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-350.66604986660371</v>
      </c>
      <c r="I18" s="259">
        <v>28.336317445648149</v>
      </c>
    </row>
    <row r="19" spans="1:9" x14ac:dyDescent="0.35">
      <c r="A19" s="260">
        <v>45657</v>
      </c>
      <c r="B19" s="259">
        <v>-89.501610313408264</v>
      </c>
      <c r="C19" s="259">
        <v>1666.0473048026247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-352.28305718305586</v>
      </c>
      <c r="I19" s="259">
        <v>28.378146871750857</v>
      </c>
    </row>
    <row r="20" spans="1:9" x14ac:dyDescent="0.35">
      <c r="A20" s="260">
        <v>45747</v>
      </c>
      <c r="B20" s="259">
        <v>-90.707631743169713</v>
      </c>
      <c r="C20" s="259">
        <v>1653.3493485595445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-353.87995663650565</v>
      </c>
      <c r="I20" s="259">
        <v>28.424344747419582</v>
      </c>
    </row>
    <row r="21" spans="1:9" x14ac:dyDescent="0.35">
      <c r="A21" s="260">
        <v>45838</v>
      </c>
      <c r="B21" s="259">
        <v>-91.913653172931049</v>
      </c>
      <c r="C21" s="259">
        <v>1643.4256668571718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-355.46512650320386</v>
      </c>
      <c r="I21" s="259">
        <v>28.474239122265658</v>
      </c>
    </row>
    <row r="22" spans="1:9" x14ac:dyDescent="0.35">
      <c r="A22" s="260">
        <v>45930</v>
      </c>
      <c r="B22" s="259">
        <v>-93.119674602692498</v>
      </c>
      <c r="C22" s="259">
        <v>1636.6230440130953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-357.0385667831506</v>
      </c>
      <c r="I22" s="259">
        <v>28.533424637449741</v>
      </c>
    </row>
    <row r="23" spans="1:9" x14ac:dyDescent="0.35">
      <c r="A23" s="260">
        <v>46022</v>
      </c>
      <c r="B23" s="259">
        <v>-94.374655704710335</v>
      </c>
      <c r="C23" s="259">
        <v>1628.4752248895622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-358.60195313159608</v>
      </c>
      <c r="I23" s="259">
        <v>28.597987176098513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workbookViewId="0">
      <selection activeCell="J25" sqref="J25"/>
    </sheetView>
  </sheetViews>
  <sheetFormatPr defaultColWidth="8.81640625" defaultRowHeight="14.5" x14ac:dyDescent="0.35"/>
  <sheetData>
    <row r="1" spans="1:10" s="297" customFormat="1" x14ac:dyDescent="0.35">
      <c r="A1" s="297" t="s">
        <v>321</v>
      </c>
      <c r="B1" s="297" t="s">
        <v>322</v>
      </c>
      <c r="C1" s="297" t="s">
        <v>323</v>
      </c>
      <c r="D1" s="297" t="s">
        <v>324</v>
      </c>
      <c r="E1" s="297" t="s">
        <v>325</v>
      </c>
      <c r="F1" s="297" t="s">
        <v>326</v>
      </c>
      <c r="G1" s="297" t="s">
        <v>327</v>
      </c>
      <c r="H1" s="297" t="s">
        <v>328</v>
      </c>
      <c r="I1" s="297" t="s">
        <v>329</v>
      </c>
      <c r="J1" s="297" t="s">
        <v>374</v>
      </c>
    </row>
    <row r="2" spans="1:10" x14ac:dyDescent="0.35">
      <c r="A2" t="s">
        <v>291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35">
      <c r="A3" t="s">
        <v>292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35">
      <c r="A4" t="s">
        <v>293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35">
      <c r="A5" t="s">
        <v>294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35">
      <c r="A6" t="s">
        <v>295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35">
      <c r="A7" t="s">
        <v>296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35">
      <c r="A8" t="s">
        <v>297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35">
      <c r="A9" t="s">
        <v>298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35">
      <c r="A10" t="s">
        <v>330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35">
      <c r="A11" t="s">
        <v>331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35">
      <c r="A12" t="s">
        <v>300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35">
      <c r="A13" t="s">
        <v>301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35">
      <c r="A14" t="s">
        <v>302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35">
      <c r="A15" t="s">
        <v>303</v>
      </c>
      <c r="H15">
        <v>1078100</v>
      </c>
      <c r="I15">
        <v>15600</v>
      </c>
      <c r="J15">
        <v>5000</v>
      </c>
    </row>
    <row r="16" spans="1:10" x14ac:dyDescent="0.35">
      <c r="A16" t="s">
        <v>304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35">
      <c r="A17" t="s">
        <v>305</v>
      </c>
      <c r="H17">
        <v>19100</v>
      </c>
      <c r="I17">
        <v>27000</v>
      </c>
      <c r="J17">
        <v>10800</v>
      </c>
    </row>
    <row r="18" spans="1:10" x14ac:dyDescent="0.35">
      <c r="A18" t="s">
        <v>306</v>
      </c>
      <c r="H18">
        <v>160900</v>
      </c>
      <c r="I18">
        <v>58400</v>
      </c>
      <c r="J18">
        <v>34500</v>
      </c>
    </row>
    <row r="19" spans="1:10" x14ac:dyDescent="0.35">
      <c r="A19" t="s">
        <v>307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35">
      <c r="A20" t="s">
        <v>308</v>
      </c>
      <c r="H20">
        <v>609300</v>
      </c>
      <c r="I20">
        <v>865600</v>
      </c>
      <c r="J20">
        <v>260300</v>
      </c>
    </row>
    <row r="21" spans="1:10" x14ac:dyDescent="0.35">
      <c r="A21" t="s">
        <v>309</v>
      </c>
      <c r="H21">
        <v>63800</v>
      </c>
      <c r="I21">
        <v>15000</v>
      </c>
      <c r="J21">
        <v>100</v>
      </c>
    </row>
    <row r="22" spans="1:10" x14ac:dyDescent="0.35">
      <c r="A22" t="s">
        <v>310</v>
      </c>
      <c r="H22">
        <v>73300</v>
      </c>
      <c r="I22">
        <v>73300</v>
      </c>
      <c r="J22">
        <v>73300</v>
      </c>
    </row>
    <row r="23" spans="1:10" x14ac:dyDescent="0.35">
      <c r="A23" t="s">
        <v>311</v>
      </c>
      <c r="H23">
        <v>140000</v>
      </c>
      <c r="I23">
        <v>140000</v>
      </c>
      <c r="J23">
        <v>140000</v>
      </c>
    </row>
    <row r="24" spans="1:10" x14ac:dyDescent="0.35">
      <c r="A24" t="s">
        <v>312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35">
      <c r="A25" t="s">
        <v>315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35">
      <c r="A26" t="s">
        <v>314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35">
      <c r="A27" t="s">
        <v>316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35">
      <c r="A28" t="s">
        <v>317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35">
      <c r="A29" t="s">
        <v>318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35">
      <c r="A30" t="s">
        <v>319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35">
      <c r="A31" t="s">
        <v>320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35">
      <c r="A32" t="s">
        <v>299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35">
      <c r="A33" t="s">
        <v>333</v>
      </c>
      <c r="H33">
        <v>277100</v>
      </c>
      <c r="I33">
        <v>228300</v>
      </c>
      <c r="J33">
        <v>213400</v>
      </c>
    </row>
    <row r="34" spans="1:10" x14ac:dyDescent="0.35">
      <c r="A34" t="s">
        <v>313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defaultColWidth="10.81640625" defaultRowHeight="14.5" x14ac:dyDescent="0.35"/>
  <sheetData>
    <row r="1" spans="1:2" x14ac:dyDescent="0.35">
      <c r="A1" t="s">
        <v>255</v>
      </c>
      <c r="B1" t="s">
        <v>287</v>
      </c>
    </row>
    <row r="2" spans="1:2" x14ac:dyDescent="0.35">
      <c r="A2" s="188">
        <v>44104</v>
      </c>
      <c r="B2">
        <v>337800</v>
      </c>
    </row>
    <row r="3" spans="1:2" x14ac:dyDescent="0.35">
      <c r="A3" s="188">
        <v>44196</v>
      </c>
      <c r="B3">
        <v>244000</v>
      </c>
    </row>
    <row r="4" spans="1:2" x14ac:dyDescent="0.35">
      <c r="A4" s="188">
        <v>44286</v>
      </c>
      <c r="B4">
        <v>152000</v>
      </c>
    </row>
    <row r="5" spans="1:2" x14ac:dyDescent="0.35">
      <c r="A5" s="188">
        <v>44377</v>
      </c>
      <c r="B5">
        <v>44000</v>
      </c>
    </row>
    <row r="6" spans="1:2" x14ac:dyDescent="0.35">
      <c r="A6" s="188">
        <v>44469</v>
      </c>
      <c r="B6">
        <v>44000</v>
      </c>
    </row>
    <row r="7" spans="1:2" x14ac:dyDescent="0.35">
      <c r="A7" s="188">
        <v>44561</v>
      </c>
      <c r="B7">
        <v>44000</v>
      </c>
    </row>
    <row r="8" spans="1:2" x14ac:dyDescent="0.35">
      <c r="A8" s="188">
        <v>44651</v>
      </c>
      <c r="B8">
        <v>44000</v>
      </c>
    </row>
    <row r="9" spans="1:2" x14ac:dyDescent="0.35">
      <c r="A9" s="188">
        <v>44742</v>
      </c>
      <c r="B9">
        <v>44000</v>
      </c>
    </row>
    <row r="10" spans="1:2" x14ac:dyDescent="0.35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231</v>
      </c>
    </row>
    <row r="3" spans="1:16" x14ac:dyDescent="0.35">
      <c r="B3" s="157" t="s">
        <v>232</v>
      </c>
    </row>
    <row r="4" spans="1:16" x14ac:dyDescent="0.35">
      <c r="A4" s="157" t="s">
        <v>233</v>
      </c>
      <c r="C4" s="157" t="s">
        <v>234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235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236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35">
      <c r="B8" s="160" t="s">
        <v>237</v>
      </c>
      <c r="C8" s="160"/>
      <c r="D8" s="161">
        <f>SUMPRODUCT(B5:B6,C5:C6)</f>
        <v>0.45</v>
      </c>
    </row>
    <row r="9" spans="1:16" x14ac:dyDescent="0.35">
      <c r="B9" s="157" t="s">
        <v>238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35">
      <c r="D11" s="163"/>
    </row>
    <row r="14" spans="1:16" x14ac:dyDescent="0.35">
      <c r="A14" s="157" t="s">
        <v>239</v>
      </c>
      <c r="C14" s="157" t="s">
        <v>234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236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240</v>
      </c>
      <c r="D19" s="157">
        <f>SUMPRODUCT(C15:C17,B15:B17)</f>
        <v>0.86186821348990206</v>
      </c>
    </row>
    <row r="20" spans="1:12" x14ac:dyDescent="0.35">
      <c r="B20" s="161" t="s">
        <v>238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241</v>
      </c>
    </row>
    <row r="23" spans="1:12" x14ac:dyDescent="0.35">
      <c r="A23" s="157" t="s">
        <v>242</v>
      </c>
    </row>
    <row r="24" spans="1:12" x14ac:dyDescent="0.35">
      <c r="C24" s="157" t="s">
        <v>111</v>
      </c>
    </row>
    <row r="25" spans="1:12" x14ac:dyDescent="0.35">
      <c r="B25" s="157" t="s">
        <v>34</v>
      </c>
      <c r="C25" s="157">
        <v>5654.6</v>
      </c>
    </row>
    <row r="26" spans="1:12" x14ac:dyDescent="0.35">
      <c r="B26" s="157" t="s">
        <v>243</v>
      </c>
      <c r="C26" s="157">
        <v>1065.5</v>
      </c>
      <c r="D26" s="157">
        <f>C26/C25</f>
        <v>0.18843065822516181</v>
      </c>
    </row>
    <row r="27" spans="1:12" x14ac:dyDescent="0.35">
      <c r="B27" s="157" t="s">
        <v>244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231</v>
      </c>
    </row>
    <row r="3" spans="1:16" x14ac:dyDescent="0.35">
      <c r="B3" s="157" t="s">
        <v>232</v>
      </c>
    </row>
    <row r="4" spans="1:16" x14ac:dyDescent="0.35">
      <c r="A4" s="157" t="s">
        <v>233</v>
      </c>
      <c r="C4" s="157" t="s">
        <v>234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235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236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35">
      <c r="B8" s="160" t="s">
        <v>237</v>
      </c>
      <c r="C8" s="160"/>
      <c r="D8" s="161">
        <f>SUMPRODUCT(B5:B6,C5:C6)</f>
        <v>0.52500000000000002</v>
      </c>
    </row>
    <row r="9" spans="1:16" x14ac:dyDescent="0.35">
      <c r="B9" s="157" t="s">
        <v>238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35">
      <c r="D11" s="163"/>
    </row>
    <row r="14" spans="1:16" x14ac:dyDescent="0.35">
      <c r="A14" s="157" t="s">
        <v>239</v>
      </c>
      <c r="C14" s="157" t="s">
        <v>234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236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240</v>
      </c>
      <c r="D19" s="157">
        <f>SUMPRODUCT(C15:C17,B15:B17)</f>
        <v>0.86186821348990206</v>
      </c>
    </row>
    <row r="20" spans="1:12" x14ac:dyDescent="0.35">
      <c r="B20" s="161" t="s">
        <v>238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241</v>
      </c>
    </row>
    <row r="23" spans="1:12" x14ac:dyDescent="0.35">
      <c r="A23" s="157" t="s">
        <v>242</v>
      </c>
    </row>
    <row r="24" spans="1:12" x14ac:dyDescent="0.35">
      <c r="C24" s="157" t="s">
        <v>111</v>
      </c>
    </row>
    <row r="25" spans="1:12" x14ac:dyDescent="0.35">
      <c r="B25" s="157" t="s">
        <v>34</v>
      </c>
      <c r="C25" s="157">
        <v>5654.6</v>
      </c>
    </row>
    <row r="26" spans="1:12" x14ac:dyDescent="0.35">
      <c r="B26" s="157" t="s">
        <v>243</v>
      </c>
      <c r="C26" s="157">
        <v>1065.5</v>
      </c>
      <c r="D26" s="157">
        <f>C26/C25</f>
        <v>0.18843065822516181</v>
      </c>
    </row>
    <row r="27" spans="1:12" x14ac:dyDescent="0.35">
      <c r="B27" s="157" t="s">
        <v>244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58" t="s">
        <v>32</v>
      </c>
      <c r="B5" s="359"/>
      <c r="C5" s="359"/>
      <c r="D5" s="359"/>
      <c r="E5" s="359"/>
      <c r="F5" s="359"/>
      <c r="G5" s="359"/>
      <c r="H5" s="359"/>
      <c r="I5" s="359"/>
      <c r="J5" s="359"/>
      <c r="K5" s="359"/>
      <c r="L5" s="359"/>
      <c r="M5" s="359"/>
      <c r="N5" s="359"/>
      <c r="O5" s="359"/>
      <c r="P5" s="359"/>
      <c r="Q5" s="359"/>
      <c r="R5" s="359"/>
      <c r="S5" s="359"/>
    </row>
    <row r="6" spans="1:19" s="6" customFormat="1" ht="15" customHeight="1" x14ac:dyDescent="0.3">
      <c r="A6" s="360" t="s">
        <v>33</v>
      </c>
      <c r="B6" s="360"/>
      <c r="C6" s="360"/>
      <c r="D6" s="360"/>
      <c r="E6" s="360"/>
      <c r="F6" s="360"/>
      <c r="G6" s="360"/>
      <c r="H6" s="360"/>
      <c r="I6" s="360"/>
      <c r="J6" s="360"/>
      <c r="K6" s="360"/>
      <c r="L6" s="360"/>
      <c r="M6" s="360"/>
      <c r="N6" s="360"/>
      <c r="O6" s="360"/>
      <c r="P6" s="360"/>
      <c r="Q6" s="360"/>
      <c r="R6" s="360"/>
      <c r="S6" s="360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61"/>
      <c r="S8" s="362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4"/>
      <c r="N11" s="324"/>
      <c r="O11" s="324"/>
      <c r="P11" s="324"/>
      <c r="Q11" s="324"/>
      <c r="R11" s="324"/>
      <c r="S11" s="25"/>
    </row>
    <row r="12" spans="1:19" s="6" customFormat="1" ht="15" customHeight="1" x14ac:dyDescent="0.3">
      <c r="A12" s="130"/>
      <c r="B12" s="28"/>
      <c r="C12" s="28"/>
      <c r="D12" s="28" t="s">
        <v>219</v>
      </c>
      <c r="E12" s="28" t="s">
        <v>217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225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218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224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223</v>
      </c>
    </row>
    <row r="15" spans="1:19" x14ac:dyDescent="0.35">
      <c r="A15" t="s">
        <v>222</v>
      </c>
      <c r="F15" s="94">
        <f>main!K102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35">
      <c r="A19" t="s">
        <v>220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342" t="s">
        <v>206</v>
      </c>
      <c r="B1" s="342"/>
      <c r="C1" s="35"/>
      <c r="H1"/>
      <c r="I1"/>
      <c r="J1"/>
      <c r="X1" t="s">
        <v>28</v>
      </c>
      <c r="Z1" s="363" t="s">
        <v>84</v>
      </c>
      <c r="AA1" s="363"/>
      <c r="AB1" s="363"/>
      <c r="AC1" s="341"/>
      <c r="AD1" s="341"/>
      <c r="AE1" s="341"/>
      <c r="AF1" s="341"/>
    </row>
    <row r="2" spans="1:32" x14ac:dyDescent="0.35">
      <c r="A2" s="364" t="s">
        <v>191</v>
      </c>
      <c r="B2" s="107"/>
      <c r="C2" t="s">
        <v>192</v>
      </c>
    </row>
    <row r="3" spans="1:32" x14ac:dyDescent="0.35">
      <c r="A3" s="364"/>
      <c r="B3" s="108"/>
      <c r="C3" t="s">
        <v>193</v>
      </c>
    </row>
    <row r="4" spans="1:32" x14ac:dyDescent="0.35">
      <c r="A4" s="364"/>
      <c r="B4" s="109"/>
      <c r="C4" t="s">
        <v>194</v>
      </c>
    </row>
    <row r="5" spans="1:32" x14ac:dyDescent="0.35">
      <c r="A5" s="364"/>
      <c r="B5" s="98"/>
      <c r="C5" t="s">
        <v>181</v>
      </c>
    </row>
    <row r="7" spans="1:32" x14ac:dyDescent="0.35">
      <c r="C7" s="354" t="s">
        <v>160</v>
      </c>
      <c r="D7" s="355"/>
      <c r="E7" s="355"/>
      <c r="F7" s="356"/>
      <c r="G7" s="354" t="s">
        <v>165</v>
      </c>
      <c r="H7" s="355"/>
      <c r="I7" s="355"/>
      <c r="J7" s="356"/>
      <c r="K7" s="354" t="s">
        <v>176</v>
      </c>
      <c r="L7" s="355"/>
      <c r="M7" s="355"/>
      <c r="N7" s="356"/>
    </row>
    <row r="8" spans="1:32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184</v>
      </c>
      <c r="B23" s="110"/>
    </row>
    <row r="24" spans="1:12" x14ac:dyDescent="0.35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187</v>
      </c>
      <c r="B31" s="110"/>
    </row>
    <row r="32" spans="1:12" x14ac:dyDescent="0.35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188</v>
      </c>
      <c r="B53" s="105"/>
    </row>
    <row r="54" spans="1:12" x14ac:dyDescent="0.35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189</v>
      </c>
      <c r="B61" s="105"/>
    </row>
    <row r="62" spans="1:12" x14ac:dyDescent="0.35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610.53599999999994</v>
      </c>
      <c r="H70" s="102">
        <f>main!O54/1000</f>
        <v>794.08358333333342</v>
      </c>
      <c r="I70" s="102">
        <f>main!P54/1000</f>
        <v>794.08358333333342</v>
      </c>
      <c r="J70" s="102">
        <f>main!Q54/1000</f>
        <v>144.08358333333331</v>
      </c>
      <c r="K70" s="102">
        <f>main!R54/1000</f>
        <v>122.75024999999999</v>
      </c>
    </row>
    <row r="71" spans="1:11" x14ac:dyDescent="0.35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  <col min="14" max="14" width="13.81640625" bestFit="1" customWidth="1"/>
  </cols>
  <sheetData>
    <row r="1" spans="1:24" x14ac:dyDescent="0.35">
      <c r="L1" s="46"/>
      <c r="M1" s="46"/>
    </row>
    <row r="2" spans="1:24" x14ac:dyDescent="0.35">
      <c r="A2" s="365" t="s">
        <v>104</v>
      </c>
      <c r="B2" s="365"/>
      <c r="C2" s="365"/>
      <c r="D2" s="365"/>
      <c r="E2" s="365"/>
      <c r="F2" s="365"/>
      <c r="G2" s="365"/>
      <c r="H2" s="365"/>
      <c r="I2" s="365"/>
      <c r="J2" s="365"/>
      <c r="K2" s="77"/>
    </row>
    <row r="3" spans="1:24" x14ac:dyDescent="0.35">
      <c r="A3" s="365" t="s">
        <v>105</v>
      </c>
      <c r="B3" s="365"/>
      <c r="C3" s="365"/>
      <c r="D3" s="365"/>
      <c r="E3" s="365"/>
      <c r="F3" s="365"/>
      <c r="G3" s="365"/>
      <c r="H3" s="365"/>
      <c r="I3" s="365"/>
      <c r="J3" s="365"/>
      <c r="K3" s="77"/>
    </row>
    <row r="4" spans="1:24" ht="15" thickBot="1" x14ac:dyDescent="0.4">
      <c r="A4" s="366"/>
      <c r="B4" s="366"/>
      <c r="C4" s="366"/>
      <c r="D4" s="366"/>
      <c r="E4" s="366"/>
      <c r="F4" s="366"/>
      <c r="G4" s="366"/>
      <c r="H4" s="366"/>
      <c r="I4" s="366"/>
      <c r="J4" s="366"/>
      <c r="K4" s="371" t="s">
        <v>160</v>
      </c>
      <c r="L4" s="371"/>
      <c r="M4" s="371"/>
      <c r="N4" s="371"/>
    </row>
    <row r="5" spans="1:24" x14ac:dyDescent="0.35">
      <c r="A5" s="47"/>
      <c r="B5" s="48"/>
      <c r="C5" s="367" t="s">
        <v>106</v>
      </c>
      <c r="D5" s="368"/>
      <c r="E5" s="368"/>
      <c r="F5" s="368"/>
      <c r="G5" s="368"/>
      <c r="H5" s="368"/>
      <c r="I5" s="368"/>
      <c r="J5" s="369"/>
      <c r="K5" s="78"/>
      <c r="L5" s="370" t="s">
        <v>107</v>
      </c>
      <c r="M5" s="341"/>
      <c r="N5" s="341"/>
    </row>
    <row r="6" spans="1:24" x14ac:dyDescent="0.35">
      <c r="A6" s="1" t="s">
        <v>109</v>
      </c>
      <c r="B6" s="49"/>
      <c r="C6" s="373">
        <v>2020</v>
      </c>
      <c r="D6" s="374"/>
      <c r="E6" s="374"/>
      <c r="F6" s="374"/>
      <c r="G6" s="374"/>
      <c r="H6" s="374"/>
      <c r="I6" s="374"/>
      <c r="J6" s="375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35">
      <c r="K13" s="35" t="s">
        <v>140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29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41" t="s">
        <v>9</v>
      </c>
      <c r="L22" s="341"/>
      <c r="M22" s="341"/>
      <c r="N22" s="341"/>
      <c r="O22" s="341" t="s">
        <v>10</v>
      </c>
      <c r="P22" s="341"/>
      <c r="Q22" s="341"/>
      <c r="R22" s="341"/>
      <c r="S22" s="341" t="s">
        <v>11</v>
      </c>
      <c r="T22" s="341"/>
      <c r="U22" s="341"/>
      <c r="V22" s="341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76" t="s">
        <v>108</v>
      </c>
      <c r="L23" s="376"/>
      <c r="M23" s="376"/>
      <c r="N23" s="376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72" t="s">
        <v>257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72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72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72"/>
      <c r="J31" s="35" t="s">
        <v>140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72" t="s">
        <v>141</v>
      </c>
      <c r="J33" s="85" t="s">
        <v>257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72"/>
      <c r="J34" t="s">
        <v>258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137.33333333333337</v>
      </c>
      <c r="R35" s="72"/>
    </row>
    <row r="36" spans="3:23" x14ac:dyDescent="0.35">
      <c r="C36" t="s">
        <v>266</v>
      </c>
    </row>
    <row r="37" spans="3:23" x14ac:dyDescent="0.35">
      <c r="C37" t="s">
        <v>267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/>
      <c r="P40" s="72"/>
      <c r="Q40" s="72"/>
      <c r="R40" s="72"/>
      <c r="S40" s="72"/>
    </row>
    <row r="42" spans="3:23" x14ac:dyDescent="0.35">
      <c r="O42" t="s">
        <v>375</v>
      </c>
    </row>
    <row r="43" spans="3:23" x14ac:dyDescent="0.35">
      <c r="N43" s="82" t="s">
        <v>144</v>
      </c>
      <c r="O43" s="72">
        <v>15</v>
      </c>
    </row>
    <row r="44" spans="3:23" x14ac:dyDescent="0.35">
      <c r="N44" s="82" t="s">
        <v>143</v>
      </c>
      <c r="O44" s="72">
        <v>10</v>
      </c>
    </row>
    <row r="45" spans="3:23" x14ac:dyDescent="0.35">
      <c r="N45" s="82" t="s">
        <v>142</v>
      </c>
      <c r="O45" s="72">
        <v>5</v>
      </c>
    </row>
    <row r="46" spans="3:23" x14ac:dyDescent="0.35">
      <c r="N46" s="35" t="s">
        <v>140</v>
      </c>
      <c r="O46" s="72">
        <v>2</v>
      </c>
    </row>
    <row r="47" spans="3:23" x14ac:dyDescent="0.35">
      <c r="N47" s="316" t="s">
        <v>257</v>
      </c>
      <c r="O47">
        <v>32</v>
      </c>
    </row>
    <row r="48" spans="3:23" x14ac:dyDescent="0.35">
      <c r="N48" t="s">
        <v>258</v>
      </c>
      <c r="O48">
        <v>36.75</v>
      </c>
    </row>
    <row r="49" spans="14:15" x14ac:dyDescent="0.35">
      <c r="N49" t="s">
        <v>145</v>
      </c>
      <c r="O49">
        <v>47</v>
      </c>
    </row>
    <row r="50" spans="14:15" x14ac:dyDescent="0.35">
      <c r="N50" t="s">
        <v>129</v>
      </c>
      <c r="O50">
        <v>21.75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80" t="s">
        <v>87</v>
      </c>
      <c r="F6" s="380"/>
      <c r="G6" s="380"/>
      <c r="H6" s="380"/>
      <c r="I6" s="380"/>
      <c r="J6" s="380"/>
      <c r="K6" s="380"/>
      <c r="L6" s="380"/>
      <c r="M6" s="380"/>
      <c r="N6" s="380"/>
      <c r="O6" s="380"/>
      <c r="P6" s="380"/>
      <c r="Q6" s="380"/>
      <c r="R6" s="380"/>
    </row>
    <row r="7" spans="1:18" x14ac:dyDescent="0.35">
      <c r="A7" s="377" t="s">
        <v>88</v>
      </c>
      <c r="B7" s="377"/>
      <c r="C7" s="377"/>
      <c r="D7" s="377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77" t="s">
        <v>89</v>
      </c>
      <c r="C8" s="377"/>
      <c r="D8" s="377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77" t="s">
        <v>90</v>
      </c>
      <c r="C9" s="377"/>
      <c r="D9" s="377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77" t="s">
        <v>91</v>
      </c>
      <c r="C10" s="377"/>
      <c r="D10" s="377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77" t="s">
        <v>58</v>
      </c>
      <c r="C11" s="377"/>
      <c r="D11" s="377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77" t="s">
        <v>34</v>
      </c>
      <c r="D13" s="377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77" t="s">
        <v>89</v>
      </c>
      <c r="C19" s="377"/>
      <c r="D19" s="377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77" t="s">
        <v>90</v>
      </c>
      <c r="C20" s="377"/>
      <c r="D20" s="377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77" t="s">
        <v>91</v>
      </c>
      <c r="C21" s="377"/>
      <c r="D21" s="377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77" t="s">
        <v>58</v>
      </c>
      <c r="C22" s="377"/>
      <c r="D22" s="377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78" t="s">
        <v>95</v>
      </c>
      <c r="I27" s="378"/>
      <c r="J27" s="378"/>
      <c r="K27" s="378"/>
      <c r="L27" s="378"/>
      <c r="M27" s="378"/>
      <c r="N27" s="378"/>
      <c r="O27" s="378"/>
      <c r="P27" s="378"/>
      <c r="Q27" s="378"/>
      <c r="R27" s="378"/>
      <c r="S27" s="378"/>
      <c r="T27" s="378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79" t="s">
        <v>99</v>
      </c>
      <c r="G37" s="379"/>
      <c r="H37" s="379"/>
      <c r="I37" s="379"/>
      <c r="J37" s="379"/>
      <c r="K37" s="379"/>
      <c r="L37" s="379"/>
      <c r="M37" s="379"/>
      <c r="N37" s="379"/>
      <c r="O37" s="379"/>
      <c r="P37" s="379"/>
      <c r="Q37" s="379"/>
      <c r="R37" s="379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78" t="s">
        <v>101</v>
      </c>
      <c r="G48" s="378"/>
      <c r="H48" s="378"/>
      <c r="I48" s="378"/>
      <c r="J48" s="378"/>
      <c r="K48" s="378"/>
      <c r="L48" s="378"/>
      <c r="M48" s="378"/>
      <c r="N48" s="378"/>
      <c r="O48" s="378"/>
      <c r="P48" s="378"/>
      <c r="Q48" s="378"/>
      <c r="R48" s="378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58" t="s">
        <v>32</v>
      </c>
      <c r="B5" s="359"/>
      <c r="C5" s="359"/>
      <c r="D5" s="359"/>
      <c r="E5" s="359"/>
      <c r="F5" s="359"/>
      <c r="G5" s="359"/>
      <c r="H5" s="359"/>
      <c r="I5" s="359"/>
      <c r="J5" s="359"/>
      <c r="K5" s="359"/>
      <c r="L5" s="359"/>
      <c r="M5" s="359"/>
      <c r="N5" s="359"/>
      <c r="O5" s="359"/>
      <c r="P5" s="359"/>
      <c r="Q5" s="359"/>
      <c r="R5" s="359"/>
      <c r="S5" s="359"/>
    </row>
    <row r="6" spans="1:19" s="6" customFormat="1" ht="15" customHeight="1" x14ac:dyDescent="0.3">
      <c r="A6" s="360" t="s">
        <v>33</v>
      </c>
      <c r="B6" s="360"/>
      <c r="C6" s="360"/>
      <c r="D6" s="360"/>
      <c r="E6" s="360"/>
      <c r="F6" s="360"/>
      <c r="G6" s="360"/>
      <c r="H6" s="360"/>
      <c r="I6" s="360"/>
      <c r="J6" s="360"/>
      <c r="K6" s="360"/>
      <c r="L6" s="360"/>
      <c r="M6" s="360"/>
      <c r="N6" s="360"/>
      <c r="O6" s="360"/>
      <c r="P6" s="360"/>
      <c r="Q6" s="360"/>
      <c r="R6" s="360"/>
      <c r="S6" s="360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61" t="s">
        <v>34</v>
      </c>
      <c r="S8" s="362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81" t="s">
        <v>42</v>
      </c>
      <c r="E75" s="382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0E13C6-C717-4C73-9EC5-EE5855C1B9D0}">
  <ds:schemaRefs>
    <ds:schemaRef ds:uri="http://purl.org/dc/dcmitype/"/>
    <ds:schemaRef ds:uri="http://purl.org/dc/elements/1.1/"/>
    <ds:schemaRef ds:uri="cac5d118-ba7b-4807-b700-df6f95cfff50"/>
    <ds:schemaRef ds:uri="http://schemas.microsoft.com/office/infopath/2007/PartnerControls"/>
    <ds:schemaRef ds:uri="66951ee6-cd93-49c7-9437-e871b2a117d6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Sophia Campbell</cp:lastModifiedBy>
  <dcterms:created xsi:type="dcterms:W3CDTF">2020-09-09T22:29:58Z</dcterms:created>
  <dcterms:modified xsi:type="dcterms:W3CDTF">2021-04-30T14:58:54Z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