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A2C556D7-54AA-428E-8B90-881666DB8C42}" xr6:coauthVersionLast="44" xr6:coauthVersionMax="45" xr10:uidLastSave="{00000000-0000-0000-0000-000000000000}"/>
  <bookViews>
    <workbookView xWindow="28680" yWindow="-120" windowWidth="29040" windowHeight="1584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16" l="1"/>
  <c r="Z77" i="1"/>
  <c r="Y77" i="1"/>
  <c r="X77" i="1"/>
  <c r="W77" i="1"/>
  <c r="V77" i="1"/>
  <c r="U77" i="1"/>
  <c r="T77" i="1"/>
  <c r="S77" i="1"/>
  <c r="R77" i="1"/>
  <c r="Q77" i="1"/>
  <c r="P77" i="1"/>
  <c r="Z76" i="1"/>
  <c r="Y76" i="1"/>
  <c r="X76" i="1"/>
  <c r="W76" i="1"/>
  <c r="V76" i="1"/>
  <c r="U76" i="1"/>
  <c r="T76" i="1"/>
  <c r="S76" i="1"/>
  <c r="R76" i="1"/>
  <c r="Q76" i="1"/>
  <c r="P76" i="1"/>
  <c r="Z75" i="1"/>
  <c r="Y75" i="1"/>
  <c r="X75" i="1"/>
  <c r="W75" i="1"/>
  <c r="V75" i="1"/>
  <c r="U75" i="1"/>
  <c r="T75" i="1"/>
  <c r="S75" i="1"/>
  <c r="R75" i="1"/>
  <c r="Q75" i="1"/>
  <c r="P75" i="1"/>
  <c r="O77" i="1"/>
  <c r="O76" i="1"/>
  <c r="O75" i="1"/>
  <c r="Z74" i="1"/>
  <c r="Y74" i="1"/>
  <c r="X74" i="1"/>
  <c r="W74" i="1"/>
  <c r="V74" i="1"/>
  <c r="U74" i="1"/>
  <c r="T74" i="1"/>
  <c r="S74" i="1"/>
  <c r="R74" i="1"/>
  <c r="Q74" i="1"/>
  <c r="P74" i="1"/>
  <c r="O74" i="1"/>
  <c r="O62" i="1"/>
  <c r="V62" i="1"/>
  <c r="U62" i="1"/>
  <c r="T62" i="1"/>
  <c r="S62" i="1"/>
  <c r="S51" i="1" s="1"/>
  <c r="P62" i="1"/>
  <c r="Q62" i="1"/>
  <c r="R62" i="1"/>
  <c r="R61" i="1"/>
  <c r="Q61" i="1"/>
  <c r="P61" i="1"/>
  <c r="O61" i="1"/>
  <c r="P60" i="1"/>
  <c r="Q60" i="1"/>
  <c r="O60" i="1"/>
  <c r="O59" i="1"/>
  <c r="P59" i="1"/>
  <c r="Q59" i="1"/>
  <c r="O41" i="1"/>
  <c r="P34" i="1"/>
  <c r="O34" i="1"/>
  <c r="R35" i="1"/>
  <c r="Q35" i="1"/>
  <c r="P35" i="1"/>
  <c r="O35" i="1"/>
  <c r="O33" i="1"/>
  <c r="C20" i="16"/>
  <c r="C19" i="16"/>
  <c r="C18" i="16"/>
  <c r="C17" i="16"/>
  <c r="C16" i="16"/>
  <c r="B16" i="16"/>
  <c r="C15" i="16"/>
  <c r="B13" i="16"/>
  <c r="C13" i="16" s="1"/>
  <c r="B10" i="16"/>
  <c r="C10" i="16" s="1"/>
  <c r="C9" i="16"/>
  <c r="C8" i="16"/>
  <c r="Q85" i="1" s="1"/>
  <c r="C7" i="16"/>
  <c r="C14" i="16"/>
  <c r="C12" i="16"/>
  <c r="C11" i="16"/>
  <c r="C6" i="16"/>
  <c r="C5" i="16"/>
  <c r="C4" i="16"/>
  <c r="C3" i="16"/>
  <c r="C2" i="16"/>
  <c r="R85" i="1"/>
  <c r="Q86" i="1"/>
  <c r="R86" i="1"/>
  <c r="R84" i="1"/>
  <c r="Q84" i="1"/>
  <c r="P84" i="1"/>
  <c r="P85" i="1"/>
  <c r="P86" i="1"/>
  <c r="O85" i="1"/>
  <c r="O86" i="1"/>
  <c r="O84" i="1"/>
  <c r="M87" i="1"/>
  <c r="AD87" i="1" s="1"/>
  <c r="AC87" i="1"/>
  <c r="AI87" i="1"/>
  <c r="AJ87" i="1"/>
  <c r="AK87" i="1"/>
  <c r="W88" i="1"/>
  <c r="X88" i="1"/>
  <c r="Y88" i="1"/>
  <c r="Z88" i="1"/>
  <c r="O51" i="1" l="1"/>
  <c r="Q83" i="1"/>
  <c r="P83" i="1"/>
  <c r="O83" i="1"/>
  <c r="R83" i="1"/>
  <c r="W50" i="1"/>
  <c r="X50" i="1"/>
  <c r="Y50" i="1"/>
  <c r="Z50" i="1"/>
  <c r="Z89" i="1"/>
  <c r="N68" i="1"/>
  <c r="P73" i="1"/>
  <c r="P68" i="1" s="1"/>
  <c r="Q73" i="1"/>
  <c r="Q68" i="1" s="1"/>
  <c r="R73" i="1"/>
  <c r="R68" i="1" s="1"/>
  <c r="S73" i="1"/>
  <c r="S68" i="1" s="1"/>
  <c r="T73" i="1"/>
  <c r="T68" i="1" s="1"/>
  <c r="U73" i="1"/>
  <c r="U68" i="1" s="1"/>
  <c r="V73" i="1"/>
  <c r="V68" i="1" s="1"/>
  <c r="W73" i="1"/>
  <c r="W68" i="1" s="1"/>
  <c r="X73" i="1"/>
  <c r="X68" i="1" s="1"/>
  <c r="Y73" i="1"/>
  <c r="Y68" i="1" s="1"/>
  <c r="Z73" i="1"/>
  <c r="Z68" i="1" s="1"/>
  <c r="O73" i="1"/>
  <c r="O68" i="1" s="1"/>
  <c r="D27" i="15"/>
  <c r="D28" i="15" s="1"/>
  <c r="C15" i="15" s="1"/>
  <c r="D26" i="15"/>
  <c r="L21" i="15"/>
  <c r="G17" i="15"/>
  <c r="G20" i="15" s="1"/>
  <c r="F17" i="15"/>
  <c r="C17" i="15"/>
  <c r="L16" i="15"/>
  <c r="C16" i="15"/>
  <c r="L15" i="15"/>
  <c r="D6" i="15"/>
  <c r="P6" i="15" s="1"/>
  <c r="C6" i="15"/>
  <c r="D7" i="15" s="1"/>
  <c r="D5" i="15"/>
  <c r="E5" i="15" s="1"/>
  <c r="O2" i="9" l="1" a="1"/>
  <c r="O2" i="9" s="1"/>
  <c r="F5" i="15"/>
  <c r="E7" i="15"/>
  <c r="E9" i="15"/>
  <c r="H18" i="15"/>
  <c r="F20" i="15"/>
  <c r="G18" i="15"/>
  <c r="E20" i="15"/>
  <c r="F18" i="15"/>
  <c r="D20" i="15"/>
  <c r="E18" i="15"/>
  <c r="D19" i="15"/>
  <c r="D18" i="15"/>
  <c r="D8" i="15"/>
  <c r="D9" i="15"/>
  <c r="H17" i="15"/>
  <c r="N2" i="9" a="1"/>
  <c r="N4" i="9" s="1"/>
  <c r="O8" i="9" l="1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4"/>
  <c r="M17" i="4"/>
  <c r="M39" i="1"/>
  <c r="M38" i="1" s="1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40" i="11" s="1"/>
  <c r="R39" i="11"/>
  <c r="S39" i="11"/>
  <c r="S40" i="11" s="1"/>
  <c r="T39" i="11"/>
  <c r="U39" i="11"/>
  <c r="V39" i="11"/>
  <c r="W39" i="11"/>
  <c r="X39" i="11"/>
  <c r="X40" i="11" s="1"/>
  <c r="Y39" i="11"/>
  <c r="Z39" i="11"/>
  <c r="AA39" i="11"/>
  <c r="D39" i="11"/>
  <c r="W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L5" i="15" l="1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Y107" i="1" s="1"/>
  <c r="X105" i="1"/>
  <c r="X107" i="1" s="1"/>
  <c r="W105" i="1"/>
  <c r="W107" i="1" s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M5" i="15" l="1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W73" i="5" s="1"/>
  <c r="X72" i="5"/>
  <c r="Y72" i="5"/>
  <c r="Z72" i="5"/>
  <c r="AA72" i="5"/>
  <c r="AA73" i="5" s="1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O7" i="15" l="1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O31" i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P3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42" i="1" s="1"/>
  <c r="V36" i="1" s="1"/>
  <c r="V18" i="4"/>
  <c r="U42" i="1" s="1"/>
  <c r="U36" i="1" s="1"/>
  <c r="U18" i="4"/>
  <c r="T42" i="1" s="1"/>
  <c r="T36" i="1" s="1"/>
  <c r="T18" i="4"/>
  <c r="S42" i="1" s="1"/>
  <c r="S36" i="1" s="1"/>
  <c r="F29" i="4"/>
  <c r="V33" i="4"/>
  <c r="V26" i="4" s="1"/>
  <c r="U33" i="4"/>
  <c r="U26" i="4" s="1"/>
  <c r="T33" i="4"/>
  <c r="T26" i="4" s="1"/>
  <c r="S33" i="4"/>
  <c r="S37" i="4" s="1"/>
  <c r="V103" i="1"/>
  <c r="V50" i="1"/>
  <c r="U50" i="1"/>
  <c r="T50" i="1"/>
  <c r="S50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L106" i="1"/>
  <c r="D24" i="5" s="1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M66" i="1" s="1"/>
  <c r="O43" i="1"/>
  <c r="P43" i="1"/>
  <c r="Q43" i="1"/>
  <c r="R43" i="1"/>
  <c r="N43" i="1"/>
  <c r="M6" i="10" l="1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M8" i="4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S18" i="4"/>
  <c r="R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F42" i="1"/>
  <c r="Q18" i="4"/>
  <c r="P42" i="1" s="1"/>
  <c r="S17" i="4"/>
  <c r="R39" i="1" s="1"/>
  <c r="L26" i="4"/>
  <c r="M26" i="4"/>
  <c r="M28" i="4"/>
  <c r="Q17" i="4" l="1"/>
  <c r="P39" i="1" s="1"/>
  <c r="P38" i="1" s="1"/>
  <c r="W24" i="11"/>
  <c r="V27" i="11"/>
  <c r="R17" i="4"/>
  <c r="Q39" i="1" s="1"/>
  <c r="Q38" i="1" s="1"/>
  <c r="P17" i="4"/>
  <c r="O39" i="1" s="1"/>
  <c r="O38" i="1" s="1"/>
  <c r="O17" i="4"/>
  <c r="N39" i="1" s="1"/>
  <c r="N38" i="1" s="1"/>
  <c r="N46" i="1"/>
  <c r="W71" i="5"/>
  <c r="V74" i="5"/>
  <c r="R38" i="1"/>
  <c r="N28" i="4"/>
  <c r="M33" i="4"/>
  <c r="L39" i="1" s="1"/>
  <c r="L38" i="1" s="1"/>
  <c r="AF39" i="1"/>
  <c r="L34" i="4"/>
  <c r="L38" i="4"/>
  <c r="L18" i="4" s="1"/>
  <c r="P18" i="4"/>
  <c r="O42" i="1" s="1"/>
  <c r="O18" i="4"/>
  <c r="N42" i="1" s="1"/>
  <c r="R18" i="4"/>
  <c r="Q42" i="1" s="1"/>
  <c r="N88" i="1" l="1"/>
  <c r="O46" i="1"/>
  <c r="O88" i="1" s="1"/>
  <c r="P36" i="1"/>
  <c r="Q36" i="1"/>
  <c r="AE39" i="1"/>
  <c r="X24" i="11"/>
  <c r="W27" i="11"/>
  <c r="N36" i="1"/>
  <c r="R36" i="1"/>
  <c r="AF36" i="1" s="1"/>
  <c r="O36" i="1"/>
  <c r="M34" i="4"/>
  <c r="X71" i="5"/>
  <c r="W74" i="5"/>
  <c r="L88" i="1"/>
  <c r="E57" i="5" s="1"/>
  <c r="N33" i="4"/>
  <c r="N17" i="4" s="1"/>
  <c r="N10" i="4"/>
  <c r="AE42" i="1"/>
  <c r="M38" i="4"/>
  <c r="M18" i="4" s="1"/>
  <c r="L42" i="1" s="1"/>
  <c r="N8" i="4"/>
  <c r="N18" i="4"/>
  <c r="M42" i="1" s="1"/>
  <c r="M105" i="1" s="1"/>
  <c r="M10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L2" i="9" l="1" a="1"/>
  <c r="L2" i="9" s="1"/>
  <c r="P46" i="1"/>
  <c r="P88" i="1" s="1"/>
  <c r="M2" i="9" a="1"/>
  <c r="M2" i="9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4" i="4"/>
  <c r="N35" i="4" s="1"/>
  <c r="AD42" i="1"/>
  <c r="L105" i="1"/>
  <c r="AE36" i="1"/>
  <c r="H49" i="2"/>
  <c r="H50" i="2" s="1"/>
  <c r="AD39" i="1"/>
  <c r="I49" i="2"/>
  <c r="I50" i="2" s="1"/>
  <c r="Q46" i="1" l="1"/>
  <c r="Q88" i="1" s="1"/>
  <c r="Z24" i="11"/>
  <c r="Y27" i="11"/>
  <c r="AD36" i="1"/>
  <c r="Z71" i="5"/>
  <c r="Y74" i="5"/>
  <c r="L107" i="1"/>
  <c r="E31" i="5" s="1"/>
  <c r="AE14" i="1"/>
  <c r="AF16" i="1"/>
  <c r="AE16" i="1"/>
  <c r="AC64" i="1"/>
  <c r="AC50" i="1"/>
  <c r="AC31" i="1"/>
  <c r="AC30" i="1"/>
  <c r="AG18" i="1"/>
  <c r="AG16" i="1"/>
  <c r="AG14" i="1"/>
  <c r="AG12" i="1"/>
  <c r="R46" i="1" l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S46" i="1" l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O107" i="1" s="1"/>
  <c r="H31" i="5" s="1"/>
  <c r="H34" i="5" s="1"/>
  <c r="M5" i="10"/>
  <c r="H31" i="11" s="1"/>
  <c r="H34" i="11" s="1"/>
  <c r="N105" i="1"/>
  <c r="N10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92" i="1"/>
  <c r="P91" i="1"/>
  <c r="Y48" i="11" l="1"/>
  <c r="P105" i="1"/>
  <c r="P10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92" i="1"/>
  <c r="Q91" i="1"/>
  <c r="AA48" i="11" l="1"/>
  <c r="Z48" i="11"/>
  <c r="Q105" i="1"/>
  <c r="Q107" i="1" s="1"/>
  <c r="J31" i="5" s="1"/>
  <c r="J34" i="5" s="1"/>
  <c r="O5" i="10"/>
  <c r="J31" i="11" s="1"/>
  <c r="J34" i="11" s="1"/>
  <c r="R24" i="5"/>
  <c r="Q27" i="5"/>
  <c r="W50" i="5"/>
  <c r="V53" i="5"/>
  <c r="S92" i="1"/>
  <c r="R91" i="1"/>
  <c r="G2" i="12" l="1" a="1"/>
  <c r="G2" i="12" s="1"/>
  <c r="R105" i="1"/>
  <c r="R107" i="1" s="1"/>
  <c r="K31" i="5" s="1"/>
  <c r="K34" i="5" s="1"/>
  <c r="P5" i="10"/>
  <c r="K31" i="11" s="1"/>
  <c r="K34" i="11" s="1"/>
  <c r="R27" i="5"/>
  <c r="S24" i="5"/>
  <c r="X50" i="5"/>
  <c r="W53" i="5"/>
  <c r="S91" i="1"/>
  <c r="T9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S10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91" i="1"/>
  <c r="U92" i="1"/>
  <c r="L34" i="11" l="1"/>
  <c r="M31" i="11"/>
  <c r="T105" i="1"/>
  <c r="T107" i="1" s="1"/>
  <c r="R5" i="10"/>
  <c r="U91" i="1"/>
  <c r="V92" i="1"/>
  <c r="V91" i="1" s="1"/>
  <c r="T27" i="5"/>
  <c r="U24" i="5"/>
  <c r="L34" i="5"/>
  <c r="Z50" i="5"/>
  <c r="Y53" i="5"/>
  <c r="N31" i="11" l="1"/>
  <c r="M34" i="11"/>
  <c r="V105" i="1"/>
  <c r="V107" i="1" s="1"/>
  <c r="T5" i="10"/>
  <c r="U105" i="1"/>
  <c r="U10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K12" i="9"/>
  <c r="K11" i="9"/>
  <c r="K10" i="9"/>
  <c r="K9" i="9"/>
  <c r="K8" i="9"/>
  <c r="K7" i="9"/>
  <c r="K6" i="9"/>
  <c r="K5" i="9"/>
  <c r="K4" i="9"/>
  <c r="M12" i="9"/>
  <c r="M11" i="9"/>
  <c r="M10" i="9"/>
  <c r="M9" i="9"/>
  <c r="M8" i="9"/>
  <c r="M7" i="9"/>
  <c r="M6" i="9"/>
  <c r="M5" i="9"/>
  <c r="M4" i="9"/>
  <c r="M3" i="9"/>
  <c r="L6" i="9"/>
  <c r="L5" i="9"/>
  <c r="L4" i="9"/>
  <c r="L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3" authorId="1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2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3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4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5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6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7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8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9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0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1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2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3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4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5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6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7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8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19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0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1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2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3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<sst xmlns="http://schemas.openxmlformats.org/spreadsheetml/2006/main" count="998" uniqueCount="374">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</sst>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tabSelected="1" zoomScale="110" zoomScaleNormal="110" workbookViewId="0">
      <pane xSplit="2" ySplit="3" topLeftCell="L29" activePane="bottomRight" state="frozen"/>
      <selection pane="topRight" activeCell="C1" sqref="C1"/>
      <selection pane="bottomLeft" activeCell="A4" sqref="A4"/>
      <selection pane="bottomRight" activeCell="M44" sqref="M44"/>
    </sheetView>
  </sheetViews>
  <sheetFormatPr defaultColWidth="8.81640625" defaultRowHeight="14.5" x14ac:dyDescent="0.35"/>
  <cols>
    <col min="1" max="1" width="29.906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9" max="39" width="8.6328125" style="146"/>
  </cols>
  <sheetData>
    <row r="1" spans="1:43" ht="18.5" x14ac:dyDescent="0.45">
      <c r="A1" s="315" t="s">
        <v>163</v>
      </c>
      <c r="B1" s="315"/>
      <c r="C1" s="279"/>
      <c r="D1" s="279"/>
      <c r="E1" s="35"/>
      <c r="M1" t="s">
        <v>373</v>
      </c>
      <c r="AC1" s="179" t="s">
        <v>249</v>
      </c>
      <c r="AD1" s="317" t="s">
        <v>247</v>
      </c>
      <c r="AE1" s="317"/>
      <c r="AF1" s="317"/>
      <c r="AG1" t="s">
        <v>28</v>
      </c>
      <c r="AI1" s="318" t="s">
        <v>281</v>
      </c>
      <c r="AJ1" s="318"/>
      <c r="AK1" s="318"/>
      <c r="AL1" s="318"/>
      <c r="AM1" s="316" t="s">
        <v>279</v>
      </c>
      <c r="AN1" s="316"/>
      <c r="AO1" s="316"/>
      <c r="AP1" s="316"/>
    </row>
    <row r="2" spans="1:43" x14ac:dyDescent="0.35">
      <c r="F2" s="314" t="s">
        <v>21</v>
      </c>
      <c r="G2" s="314"/>
      <c r="H2" s="314"/>
      <c r="I2" s="314"/>
      <c r="J2" s="314" t="s">
        <v>9</v>
      </c>
      <c r="K2" s="314"/>
      <c r="L2" s="314"/>
      <c r="M2" s="314"/>
      <c r="N2" s="314" t="s">
        <v>10</v>
      </c>
      <c r="O2" s="314"/>
      <c r="P2" s="314"/>
      <c r="Q2" s="314"/>
      <c r="R2" s="314" t="s">
        <v>11</v>
      </c>
      <c r="S2" s="314"/>
      <c r="T2" s="314"/>
      <c r="U2" s="314"/>
      <c r="V2" s="314" t="s">
        <v>268</v>
      </c>
      <c r="W2" s="314"/>
      <c r="X2" s="314"/>
      <c r="Y2" s="314"/>
      <c r="Z2" s="229"/>
      <c r="AA2" s="296"/>
      <c r="AB2" s="229"/>
      <c r="AC2" s="156"/>
      <c r="AD2" s="314" t="s">
        <v>102</v>
      </c>
      <c r="AE2" s="314"/>
      <c r="AF2" s="314"/>
      <c r="AG2" s="156"/>
      <c r="AH2" s="156" t="s">
        <v>21</v>
      </c>
      <c r="AI2" s="314" t="s">
        <v>102</v>
      </c>
      <c r="AJ2" s="314"/>
      <c r="AK2" s="314"/>
      <c r="AL2" s="230"/>
    </row>
    <row r="3" spans="1:43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248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268</v>
      </c>
      <c r="AN3" s="97" t="s">
        <v>12</v>
      </c>
      <c r="AO3" s="97" t="s">
        <v>11</v>
      </c>
      <c r="AP3" s="97" t="s">
        <v>268</v>
      </c>
    </row>
    <row r="4" spans="1:43" ht="18.5" x14ac:dyDescent="0.45">
      <c r="A4" s="313" t="s">
        <v>264</v>
      </c>
      <c r="B4" s="313"/>
      <c r="C4" s="279"/>
      <c r="D4" s="279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35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3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198">
        <f>N5/M5-1</f>
        <v>1.9609658695776799E-2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35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35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35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35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35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3262.3</v>
      </c>
      <c r="N11" s="168">
        <f t="shared" si="1"/>
        <v>3387.9246000000003</v>
      </c>
      <c r="O11" s="168">
        <f t="shared" si="1"/>
        <v>3522.3746648000006</v>
      </c>
      <c r="P11" s="168">
        <f t="shared" si="1"/>
        <v>3555.7521195904001</v>
      </c>
      <c r="Q11" s="168">
        <f t="shared" si="1"/>
        <v>3589.6045323180033</v>
      </c>
      <c r="R11" s="168">
        <f t="shared" si="1"/>
        <v>3653.0294515032065</v>
      </c>
      <c r="S11" s="168">
        <f t="shared" si="1"/>
        <v>3695.0418313299106</v>
      </c>
      <c r="T11" s="168">
        <f t="shared" si="1"/>
        <v>3737.6936183673488</v>
      </c>
      <c r="U11" s="168">
        <f t="shared" si="1"/>
        <v>3780.9999780241274</v>
      </c>
      <c r="V11" s="168">
        <f t="shared" si="1"/>
        <v>3856.6199775846098</v>
      </c>
      <c r="W11" s="169"/>
      <c r="AD11" s="146"/>
      <c r="AI11" s="146"/>
    </row>
    <row r="12" spans="1:43" x14ac:dyDescent="0.35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169">
        <f>M12*(1+N13)</f>
        <v>1788.6440000000002</v>
      </c>
      <c r="O12" s="169">
        <f t="shared" ref="O12:U12" si="2">N12*(1+O13)</f>
        <v>1899.5399280000004</v>
      </c>
      <c r="P12" s="169">
        <f t="shared" si="2"/>
        <v>1914.7362474240003</v>
      </c>
      <c r="Q12" s="169">
        <f t="shared" si="2"/>
        <v>1930.0541374033924</v>
      </c>
      <c r="R12" s="169">
        <f t="shared" si="2"/>
        <v>1949.3546787774262</v>
      </c>
      <c r="S12" s="169">
        <f t="shared" si="2"/>
        <v>1968.8482255652004</v>
      </c>
      <c r="T12" s="169">
        <f t="shared" si="2"/>
        <v>1988.5367078208524</v>
      </c>
      <c r="U12" s="169">
        <f t="shared" si="2"/>
        <v>2008.4220748990608</v>
      </c>
      <c r="V12" s="169">
        <f t="shared" ref="O12:V14" si="3">U12*(1+V13)</f>
        <v>2048.5905163970419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1695.875</v>
      </c>
      <c r="AE12" s="45">
        <f>AVERAGE(N12:Q12)</f>
        <v>1883.2435782068483</v>
      </c>
      <c r="AF12" s="45">
        <f>AVERAGE(R12:U12)</f>
        <v>1978.7904217656351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35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35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35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35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169">
        <f>M16*(1+N17)</f>
        <v>1448.7926</v>
      </c>
      <c r="O16" s="169">
        <f t="shared" ref="O16:V16" si="4">N16*(1+O17)</f>
        <v>1460.3829407999999</v>
      </c>
      <c r="P16" s="169">
        <f t="shared" si="4"/>
        <v>1472.0660043263999</v>
      </c>
      <c r="Q16" s="169">
        <f t="shared" si="4"/>
        <v>1483.8425323610111</v>
      </c>
      <c r="R16" s="169">
        <f t="shared" si="4"/>
        <v>1520.9385956700362</v>
      </c>
      <c r="S16" s="169">
        <f t="shared" si="4"/>
        <v>1536.1479816267365</v>
      </c>
      <c r="T16" s="169">
        <f t="shared" si="4"/>
        <v>1551.5094614430038</v>
      </c>
      <c r="U16" s="169">
        <f t="shared" si="4"/>
        <v>1567.024556057434</v>
      </c>
      <c r="V16" s="169">
        <f t="shared" si="4"/>
        <v>1598.3650471785827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1411.0710000000001</v>
      </c>
      <c r="AE16" s="45">
        <f>AVERAGE(N16:Q16)</f>
        <v>1466.2710193718526</v>
      </c>
      <c r="AF16" s="45">
        <f>AVERAGE(R16:U16)</f>
        <v>1543.9051486993026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35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35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169">
        <f>M18*(1+N19)</f>
        <v>212.17499999999998</v>
      </c>
      <c r="O18" s="169">
        <f t="shared" ref="O18" si="5">N18*(1+O19)</f>
        <v>215.35762499999996</v>
      </c>
      <c r="P18" s="169">
        <f t="shared" ref="P18" si="6">O18*(1+P19)</f>
        <v>218.58798937499992</v>
      </c>
      <c r="Q18" s="169">
        <f t="shared" ref="Q18" si="7">P18*(1+Q19)</f>
        <v>221.8668092156249</v>
      </c>
      <c r="R18" s="169">
        <f t="shared" ref="R18" si="8">Q18*(1+R19)</f>
        <v>235.1788177685624</v>
      </c>
      <c r="S18" s="169">
        <f t="shared" ref="S18" si="9">R18*(1+S19)</f>
        <v>249.28954683467614</v>
      </c>
      <c r="T18" s="169">
        <f t="shared" ref="T18" si="10">S18*(1+T19)</f>
        <v>264.2469196447567</v>
      </c>
      <c r="U18" s="169">
        <f t="shared" ref="U18:V18" si="11">T18*(1+U19)</f>
        <v>280.10173482344214</v>
      </c>
      <c r="V18" s="169">
        <f t="shared" si="11"/>
        <v>296.90783891284866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197.17500000000001</v>
      </c>
      <c r="AE18" s="45">
        <f>AVERAGE(N18:Q18)</f>
        <v>216.99685589765619</v>
      </c>
      <c r="AF18" s="45">
        <f>AVERAGE(R18:U18)</f>
        <v>257.20425476785931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35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35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35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35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1871.3489999999999</v>
      </c>
      <c r="N22" s="102">
        <f t="shared" si="12"/>
        <v>1908.0455151906833</v>
      </c>
      <c r="O22" s="102">
        <f t="shared" si="12"/>
        <v>1939.6902849913897</v>
      </c>
      <c r="P22" s="102">
        <f t="shared" si="12"/>
        <v>1970.5341571455765</v>
      </c>
      <c r="Q22" s="102">
        <f t="shared" si="12"/>
        <v>2003.5013393393667</v>
      </c>
      <c r="R22" s="102">
        <f t="shared" si="12"/>
        <v>2025.581901198547</v>
      </c>
      <c r="S22" s="102">
        <f t="shared" si="12"/>
        <v>2045.7905976280756</v>
      </c>
      <c r="T22" s="102">
        <f t="shared" si="12"/>
        <v>2065.7944132643024</v>
      </c>
      <c r="U22" s="102">
        <f t="shared" si="12"/>
        <v>2086.7108797070355</v>
      </c>
      <c r="V22" s="102">
        <f t="shared" ref="V22" si="13">SUM(V23:V25)</f>
        <v>2107.9346673397031</v>
      </c>
    </row>
    <row r="23" spans="1:39" x14ac:dyDescent="0.35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102">
        <f>M23*(1+N$6)</f>
        <v>516.53425309528052</v>
      </c>
      <c r="O23" s="102">
        <f t="shared" ref="O23:V23" si="14">N23*(1+O$6)</f>
        <v>525.10092899648225</v>
      </c>
      <c r="P23" s="102">
        <f t="shared" si="14"/>
        <v>533.45079085191969</v>
      </c>
      <c r="Q23" s="102">
        <f t="shared" si="14"/>
        <v>542.37546203798604</v>
      </c>
      <c r="R23" s="102">
        <f t="shared" si="14"/>
        <v>548.35297485780791</v>
      </c>
      <c r="S23" s="102">
        <f t="shared" si="14"/>
        <v>553.82374787299591</v>
      </c>
      <c r="T23" s="102">
        <f t="shared" si="14"/>
        <v>559.2390568299636</v>
      </c>
      <c r="U23" s="102">
        <f t="shared" si="14"/>
        <v>564.90143295536211</v>
      </c>
      <c r="V23" s="102">
        <f t="shared" si="14"/>
        <v>570.64700516808648</v>
      </c>
    </row>
    <row r="24" spans="1:39" x14ac:dyDescent="0.35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102">
        <f>M24*(1+N$6)</f>
        <v>1370.8651861164719</v>
      </c>
      <c r="O24" s="102">
        <f t="shared" ref="O24:V24" si="15">N24*(1+O$6)</f>
        <v>1393.6008666319983</v>
      </c>
      <c r="P24" s="102">
        <f t="shared" si="15"/>
        <v>1415.7611296889183</v>
      </c>
      <c r="Q24" s="102">
        <f t="shared" si="15"/>
        <v>1439.4469181012084</v>
      </c>
      <c r="R24" s="102">
        <f t="shared" si="15"/>
        <v>1455.3110436169025</v>
      </c>
      <c r="S24" s="102">
        <f t="shared" si="15"/>
        <v>1469.8302980956239</v>
      </c>
      <c r="T24" s="102">
        <f t="shared" si="15"/>
        <v>1484.202352759349</v>
      </c>
      <c r="U24" s="102">
        <f t="shared" si="15"/>
        <v>1499.2301156898629</v>
      </c>
      <c r="V24" s="102">
        <f t="shared" si="15"/>
        <v>1514.4786783428592</v>
      </c>
    </row>
    <row r="25" spans="1:39" x14ac:dyDescent="0.35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102">
        <f>M25*(1+N$6)</f>
        <v>20.646075978930782</v>
      </c>
      <c r="O25" s="102">
        <f t="shared" ref="O25:V25" si="16">N25*(1+O$6)</f>
        <v>20.988489362909135</v>
      </c>
      <c r="P25" s="102">
        <f t="shared" si="16"/>
        <v>21.322236604738496</v>
      </c>
      <c r="Q25" s="102">
        <f t="shared" si="16"/>
        <v>21.678959200172084</v>
      </c>
      <c r="R25" s="102">
        <f t="shared" si="16"/>
        <v>21.917882723836858</v>
      </c>
      <c r="S25" s="102">
        <f t="shared" si="16"/>
        <v>22.136551659455773</v>
      </c>
      <c r="T25" s="102">
        <f t="shared" si="16"/>
        <v>22.353003674989999</v>
      </c>
      <c r="U25" s="102">
        <f t="shared" si="16"/>
        <v>22.579331061810361</v>
      </c>
      <c r="V25" s="102">
        <f t="shared" si="16"/>
        <v>22.808983828757569</v>
      </c>
    </row>
    <row r="26" spans="1:39" x14ac:dyDescent="0.35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102">
        <f>M26*(1+N6)</f>
        <v>91.968791214359072</v>
      </c>
      <c r="O26" s="102">
        <f t="shared" ref="O26:V26" si="17">N26*(1+O6)</f>
        <v>93.494085660250093</v>
      </c>
      <c r="P26" s="102">
        <f t="shared" si="17"/>
        <v>94.980776420930042</v>
      </c>
      <c r="Q26" s="102">
        <f t="shared" si="17"/>
        <v>96.569811835425071</v>
      </c>
      <c r="R26" s="102">
        <f t="shared" si="17"/>
        <v>97.634106459088585</v>
      </c>
      <c r="S26" s="102">
        <f t="shared" si="17"/>
        <v>98.608176190572919</v>
      </c>
      <c r="T26" s="102">
        <f t="shared" si="17"/>
        <v>99.572370560723897</v>
      </c>
      <c r="U26" s="102">
        <f t="shared" si="17"/>
        <v>100.58055517681342</v>
      </c>
      <c r="V26" s="102">
        <f t="shared" si="17"/>
        <v>101.60355283490213</v>
      </c>
    </row>
    <row r="27" spans="1:39" s="187" customFormat="1" x14ac:dyDescent="0.35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35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35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x14ac:dyDescent="0.35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44">
        <f>N31+N36+N46</f>
        <v>2848130.6794988289</v>
      </c>
      <c r="O30" s="44">
        <f t="shared" ref="O30:U30" si="19">O31+O36+O46</f>
        <v>3232347.6672774283</v>
      </c>
      <c r="P30" s="44">
        <f t="shared" si="19"/>
        <v>2658585.8065739484</v>
      </c>
      <c r="Q30" s="44">
        <f t="shared" si="19"/>
        <v>2549045.9648629948</v>
      </c>
      <c r="R30" s="44">
        <f t="shared" si="19"/>
        <v>2602281.8301825942</v>
      </c>
      <c r="S30" s="44">
        <f t="shared" si="19"/>
        <v>2656828.3141670432</v>
      </c>
      <c r="T30" s="44">
        <f t="shared" si="19"/>
        <v>2712721.8209036896</v>
      </c>
      <c r="U30" s="44">
        <f t="shared" si="19"/>
        <v>2769999.8480888377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x14ac:dyDescent="0.35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</f>
        <v>863499.75597117806</v>
      </c>
      <c r="P31" s="87">
        <f>O31*((($AJ$31/$AI$31)^0.25))</f>
        <v>874074.254602495</v>
      </c>
      <c r="Q31" s="87">
        <f>P31*((($AJ$31/$AI$31)^0.25))</f>
        <v>884778.24953132728</v>
      </c>
      <c r="R31" s="87">
        <f>Q31*((($AK$31/$AJ$31)^0.25))</f>
        <v>913710.09912095172</v>
      </c>
      <c r="S31" s="87">
        <f>R31*((($AK$31/$AJ$31)^0.25))</f>
        <v>943588.00713947637</v>
      </c>
      <c r="T31" s="87">
        <f>S31*((($AK$31/$AJ$31)^0.25))</f>
        <v>974442.9092707095</v>
      </c>
      <c r="U31" s="87">
        <f>T31*((($AK$31/$AJ$31)^0.25))</f>
        <v>1006306.7527813631</v>
      </c>
      <c r="V31" s="87">
        <f>U31*((($AL$31/$AK$31)^0.25))</f>
        <v>1016447.3981375673</v>
      </c>
      <c r="W31" s="87">
        <f>V31*((($AL$31/$AK$31)^0.25))</f>
        <v>1026690.2317062188</v>
      </c>
      <c r="X31" s="87">
        <f>W31*((($AL$31/$AK$31)^0.25))</f>
        <v>1037036.2832472979</v>
      </c>
      <c r="Y31" s="87">
        <f>X31*((($AL$31/$AK$31)^0.25))</f>
        <v>1047486.5928977706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868.85136177595723</v>
      </c>
      <c r="AF31" s="45">
        <f>AVERAGE(R31:U31)/1000</f>
        <v>959.51194207812523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x14ac:dyDescent="0.35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5" customFormat="1" x14ac:dyDescent="0.35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288"/>
      <c r="O33" s="288">
        <f>'Stimulus Round 2'!C4*4</f>
        <v>664000</v>
      </c>
      <c r="P33" s="288"/>
      <c r="Q33" s="288"/>
      <c r="R33" s="288"/>
      <c r="S33" s="288"/>
      <c r="T33" s="288"/>
      <c r="U33" s="288"/>
      <c r="AD33" s="290"/>
      <c r="AE33" s="290"/>
      <c r="AF33" s="290"/>
      <c r="AG33" s="289"/>
      <c r="AI33" s="289"/>
      <c r="AJ33" s="289"/>
      <c r="AK33" s="289"/>
      <c r="AL33" s="289"/>
      <c r="AM33" s="291"/>
    </row>
    <row r="34" spans="1:41" s="285" customFormat="1" x14ac:dyDescent="0.35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288"/>
      <c r="O34" s="288">
        <f>'Stimulus Round 2'!$C$15*4/2</f>
        <v>52000</v>
      </c>
      <c r="P34" s="288">
        <f>'Stimulus Round 2'!$C$15*4/2</f>
        <v>52000</v>
      </c>
      <c r="Q34" s="288"/>
      <c r="R34" s="288"/>
      <c r="S34" s="288"/>
      <c r="T34" s="288"/>
      <c r="U34" s="288"/>
      <c r="AD34" s="290"/>
      <c r="AE34" s="290"/>
      <c r="AF34" s="290"/>
      <c r="AG34" s="289"/>
      <c r="AI34" s="289"/>
      <c r="AJ34" s="289"/>
      <c r="AK34" s="289"/>
      <c r="AL34" s="289"/>
      <c r="AM34" s="291"/>
    </row>
    <row r="35" spans="1:41" s="285" customFormat="1" x14ac:dyDescent="0.35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288"/>
      <c r="O35" s="288">
        <f>'Stimulus Round 2'!$C$19*4/4</f>
        <v>5000</v>
      </c>
      <c r="P35" s="288">
        <f>'Stimulus Round 2'!$C$19*4/4</f>
        <v>5000</v>
      </c>
      <c r="Q35" s="288">
        <f>'Stimulus Round 2'!$C$19*4/4</f>
        <v>5000</v>
      </c>
      <c r="R35" s="288">
        <f>'Stimulus Round 2'!$C$19*4/4</f>
        <v>5000</v>
      </c>
      <c r="S35" s="288"/>
      <c r="T35" s="288"/>
      <c r="U35" s="288"/>
      <c r="AD35" s="290"/>
      <c r="AE35" s="290"/>
      <c r="AF35" s="290"/>
      <c r="AG35" s="289"/>
      <c r="AI35" s="289"/>
      <c r="AJ35" s="289"/>
      <c r="AK35" s="289"/>
      <c r="AL35" s="289"/>
      <c r="AM35" s="291"/>
    </row>
    <row r="36" spans="1:41" x14ac:dyDescent="0.35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204">
        <v>1112564</v>
      </c>
      <c r="M36" s="199">
        <f>M37+M40</f>
        <v>881354</v>
      </c>
      <c r="N36" s="87">
        <f>N38+N42</f>
        <v>337800</v>
      </c>
      <c r="O36" s="87">
        <f t="shared" ref="O36:V36" si="20">O38+O42</f>
        <v>724000</v>
      </c>
      <c r="P36" s="87">
        <f t="shared" si="20"/>
        <v>152000</v>
      </c>
      <c r="Q36" s="87">
        <f t="shared" si="20"/>
        <v>44000</v>
      </c>
      <c r="R36" s="87">
        <f t="shared" si="20"/>
        <v>44000</v>
      </c>
      <c r="S36" s="87">
        <f t="shared" si="20"/>
        <v>44000</v>
      </c>
      <c r="T36" s="87">
        <f t="shared" si="20"/>
        <v>44000</v>
      </c>
      <c r="U36" s="87">
        <f t="shared" si="20"/>
        <v>44000</v>
      </c>
      <c r="V36" s="87">
        <f t="shared" si="20"/>
        <v>44000</v>
      </c>
      <c r="W36" s="44"/>
      <c r="X36" s="3"/>
      <c r="Y36" s="3"/>
      <c r="Z36" s="3"/>
      <c r="AA36" s="3"/>
      <c r="AB36" s="3"/>
      <c r="AC36" s="3">
        <f>AVERAGE(F36:I36)/1000</f>
        <v>27.528749999999999</v>
      </c>
      <c r="AD36" s="45">
        <f>AVERAGE(J36:M36)/1000</f>
        <v>516.30775000000006</v>
      </c>
      <c r="AE36" s="45">
        <f t="shared" ref="AE36:AE46" si="21">AVERAGE(N36:Q36)/1000</f>
        <v>314.45</v>
      </c>
      <c r="AF36" s="45">
        <f t="shared" ref="AF36:AF46" si="22">AVERAGE(R36:U36)/1000</f>
        <v>44</v>
      </c>
      <c r="AH36">
        <v>27.6</v>
      </c>
      <c r="AI36" s="3">
        <v>557</v>
      </c>
      <c r="AJ36" s="3">
        <v>166</v>
      </c>
      <c r="AK36" s="3">
        <v>67</v>
      </c>
      <c r="AL36" s="3"/>
      <c r="AM36" s="184"/>
    </row>
    <row r="37" spans="1:41" x14ac:dyDescent="0.35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/>
      <c r="M37" s="199">
        <f>VLOOKUP(C37,'Haver NA'!$A$1:$I$34,9,0)</f>
        <v>775154</v>
      </c>
      <c r="N37" s="87"/>
      <c r="O37" s="87"/>
      <c r="P37" s="87"/>
      <c r="Q37" s="87"/>
      <c r="R37" s="87"/>
      <c r="S37" s="87"/>
      <c r="T37" s="87"/>
      <c r="U37" s="87"/>
      <c r="V37" s="87"/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"/>
      <c r="AJ37" s="3"/>
      <c r="AK37" s="3"/>
      <c r="AL37" s="3"/>
      <c r="AM37" s="184"/>
    </row>
    <row r="38" spans="1:41" x14ac:dyDescent="0.35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738200</v>
      </c>
      <c r="N38" s="87">
        <f>SUM(N39:N41)</f>
        <v>257800</v>
      </c>
      <c r="O38" s="87">
        <f>SUM(O39:O41)</f>
        <v>664000</v>
      </c>
      <c r="P38" s="87">
        <f>SUM(P39:P41)</f>
        <v>108000</v>
      </c>
      <c r="Q38" s="87">
        <f t="shared" ref="Q38" si="23">Q39+Q40+Q41</f>
        <v>0</v>
      </c>
      <c r="R38" s="87">
        <f t="shared" ref="R38" si="24">R39+R40</f>
        <v>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3"/>
      <c r="AD38" s="45"/>
      <c r="AE38" s="45"/>
      <c r="AF38" s="45"/>
      <c r="AG38" s="3"/>
      <c r="AI38" s="3"/>
      <c r="AJ38" s="3"/>
      <c r="AK38" s="3"/>
      <c r="AL38" s="3"/>
      <c r="AM38" s="184"/>
    </row>
    <row r="39" spans="1:41" x14ac:dyDescent="0.35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632000</v>
      </c>
      <c r="N39" s="87">
        <f>1000*'figuring out UI'!O17</f>
        <v>188000</v>
      </c>
      <c r="O39" s="87">
        <f>1000*'figuring out UI'!P17</f>
        <v>184000</v>
      </c>
      <c r="P39" s="87">
        <f>1000*'figuring out UI'!Q17</f>
        <v>108000</v>
      </c>
      <c r="Q39" s="87">
        <f>1000*'figuring out UI'!R17</f>
        <v>0</v>
      </c>
      <c r="R39" s="87">
        <f>1000*'figuring out UI'!S17</f>
        <v>0</v>
      </c>
      <c r="S39" s="87">
        <f>1000*'figuring out UI'!T17</f>
        <v>0</v>
      </c>
      <c r="T39" s="87">
        <f>1000*'figuring out UI'!U17</f>
        <v>0</v>
      </c>
      <c r="U39" s="87">
        <f>1000*'figuring out UI'!V17</f>
        <v>0</v>
      </c>
      <c r="V39" s="3"/>
      <c r="W39" s="44"/>
      <c r="X39" s="3"/>
      <c r="Y39" s="3"/>
      <c r="Z39" s="3"/>
      <c r="AA39" s="3"/>
      <c r="AB39" s="3"/>
      <c r="AC39" s="3"/>
      <c r="AD39" s="45">
        <f>AVERAGE(J39:M39)/1000</f>
        <v>366.73333333333329</v>
      </c>
      <c r="AE39" s="45">
        <f t="shared" si="21"/>
        <v>120</v>
      </c>
      <c r="AF39" s="45">
        <f t="shared" si="22"/>
        <v>0</v>
      </c>
      <c r="AG39" s="3"/>
      <c r="AI39" s="3"/>
      <c r="AJ39" s="3"/>
      <c r="AK39" s="3"/>
      <c r="AL39" s="3"/>
      <c r="AM39" s="184"/>
    </row>
    <row r="40" spans="1:41" x14ac:dyDescent="0.35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87">
        <f>(44000*4)-M40</f>
        <v>69800</v>
      </c>
      <c r="O40" s="87"/>
      <c r="P40" s="87"/>
      <c r="Q40" s="87"/>
      <c r="R40" s="87"/>
      <c r="S40" s="87"/>
      <c r="T40" s="87"/>
      <c r="U40" s="87"/>
      <c r="V40" s="3"/>
      <c r="W40" s="44"/>
      <c r="X40" s="3"/>
      <c r="Y40" s="3"/>
      <c r="Z40" s="3"/>
      <c r="AA40" s="3"/>
      <c r="AB40" s="3"/>
      <c r="AC40" s="3"/>
      <c r="AD40" s="45"/>
      <c r="AE40" s="45"/>
      <c r="AF40" s="45"/>
      <c r="AG40" s="3"/>
      <c r="AI40" s="3"/>
      <c r="AJ40" s="3"/>
      <c r="AK40" s="3"/>
      <c r="AL40" s="3"/>
      <c r="AM40" s="184"/>
    </row>
    <row r="41" spans="1:41" s="285" customFormat="1" ht="14.5" customHeight="1" x14ac:dyDescent="0.35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288"/>
      <c r="O41" s="288">
        <f>'Stimulus Round 2'!$C$3*4</f>
        <v>480000</v>
      </c>
      <c r="P41" s="288"/>
      <c r="Q41" s="288"/>
      <c r="R41" s="288"/>
      <c r="S41" s="288"/>
      <c r="T41" s="288"/>
      <c r="U41" s="288"/>
      <c r="V41" s="289"/>
      <c r="W41" s="289"/>
      <c r="X41" s="289"/>
      <c r="Y41" s="289"/>
      <c r="Z41" s="289"/>
      <c r="AA41" s="289"/>
      <c r="AB41" s="289"/>
      <c r="AC41" s="289"/>
      <c r="AD41" s="290"/>
      <c r="AE41" s="290"/>
      <c r="AF41" s="290"/>
      <c r="AG41" s="289"/>
      <c r="AI41" s="289"/>
      <c r="AJ41" s="289"/>
      <c r="AK41" s="289"/>
      <c r="AL41" s="289"/>
      <c r="AM41" s="291"/>
    </row>
    <row r="42" spans="1:41" x14ac:dyDescent="0.35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277600</v>
      </c>
      <c r="M42" s="199">
        <f>1000*'figuring out UI'!N18</f>
        <v>140000</v>
      </c>
      <c r="N42" s="87">
        <f>1000*'figuring out UI'!O18</f>
        <v>80000</v>
      </c>
      <c r="O42" s="87">
        <f>1000*'figuring out UI'!P18</f>
        <v>60000</v>
      </c>
      <c r="P42" s="87">
        <f>1000*'figuring out UI'!Q18</f>
        <v>44000</v>
      </c>
      <c r="Q42" s="87">
        <f>1000*'figuring out UI'!R18</f>
        <v>44000</v>
      </c>
      <c r="R42" s="87">
        <f>1000*'figuring out UI'!S18</f>
        <v>44000</v>
      </c>
      <c r="S42" s="87">
        <f>1000*'figuring out UI'!T18</f>
        <v>44000</v>
      </c>
      <c r="T42" s="87">
        <f>1000*'figuring out UI'!U18</f>
        <v>44000</v>
      </c>
      <c r="U42" s="87">
        <f>1000*'figuring out UI'!V18</f>
        <v>44000</v>
      </c>
      <c r="V42" s="87">
        <f>1000*'figuring out UI'!W18</f>
        <v>44000</v>
      </c>
      <c r="W42" s="44"/>
      <c r="X42" s="3"/>
      <c r="Y42" s="3"/>
      <c r="Z42" s="3"/>
      <c r="AA42" s="3"/>
      <c r="AB42" s="3"/>
      <c r="AC42" s="3"/>
      <c r="AD42" s="45">
        <f>AVERAGE(J42:M42)/1000</f>
        <v>104.4</v>
      </c>
      <c r="AE42" s="45">
        <f t="shared" si="21"/>
        <v>57</v>
      </c>
      <c r="AF42" s="45">
        <f t="shared" si="22"/>
        <v>44</v>
      </c>
      <c r="AG42" s="3"/>
      <c r="AI42" s="3"/>
      <c r="AJ42" s="3"/>
      <c r="AK42" s="3"/>
      <c r="AL42" s="3"/>
      <c r="AM42" s="184"/>
    </row>
    <row r="43" spans="1:41" ht="29" x14ac:dyDescent="0.35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87">
        <f>SUM(N44:N45)</f>
        <v>51804.841653418123</v>
      </c>
      <c r="O43" s="87">
        <f t="shared" ref="O43:R43" si="25">SUM(O44:O45)</f>
        <v>43377.595548489669</v>
      </c>
      <c r="P43" s="87">
        <f t="shared" si="25"/>
        <v>43000</v>
      </c>
      <c r="Q43" s="87">
        <f t="shared" si="25"/>
        <v>43000</v>
      </c>
      <c r="R43" s="87">
        <f t="shared" si="25"/>
        <v>15000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66.325000000000003</v>
      </c>
      <c r="AE43" s="45">
        <f t="shared" si="21"/>
        <v>45.295609300476947</v>
      </c>
      <c r="AF43" s="45">
        <f t="shared" ref="AF43" si="26">AVERAGE(R43:U43)/1000</f>
        <v>15</v>
      </c>
      <c r="AG43" s="3"/>
      <c r="AI43" s="3">
        <f>'figuring out social benefits'!G48</f>
        <v>105</v>
      </c>
      <c r="AJ43" s="3"/>
      <c r="AK43" s="3"/>
      <c r="AL43" s="3"/>
      <c r="AM43" s="184"/>
    </row>
    <row r="44" spans="1:41" x14ac:dyDescent="0.35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87">
        <v>8804.8416534181251</v>
      </c>
      <c r="O44" s="87">
        <v>377.5955484896661</v>
      </c>
      <c r="P44" s="87">
        <v>0</v>
      </c>
      <c r="Q44" s="87">
        <v>0</v>
      </c>
      <c r="R44" s="87">
        <v>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x14ac:dyDescent="0.35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87">
        <v>43000</v>
      </c>
      <c r="O45" s="87">
        <v>43000</v>
      </c>
      <c r="P45" s="87">
        <v>43000</v>
      </c>
      <c r="Q45" s="87">
        <v>43000</v>
      </c>
      <c r="R45" s="87">
        <v>15000</v>
      </c>
      <c r="S45" s="87"/>
      <c r="T45" s="87"/>
      <c r="U45" s="87"/>
      <c r="V45" s="87"/>
      <c r="W45" s="133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I45" s="3"/>
      <c r="AJ45" s="3"/>
      <c r="AK45" s="3"/>
      <c r="AL45" s="3"/>
      <c r="AM45" s="184"/>
    </row>
    <row r="46" spans="1:41" ht="43.5" x14ac:dyDescent="0.35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L30-L32-L36-L31-L43</f>
        <v>1620732</v>
      </c>
      <c r="M46" s="204">
        <f>M30-M32-M36-M31-M43</f>
        <v>1669801</v>
      </c>
      <c r="N46" s="88">
        <f>M46*(1+N48)</f>
        <v>1657277.4925000002</v>
      </c>
      <c r="O46" s="88">
        <f t="shared" ref="O46:Q46" si="27">N46*(1+O48)</f>
        <v>1644847.9113062501</v>
      </c>
      <c r="P46" s="88">
        <f t="shared" si="27"/>
        <v>1632511.5519714532</v>
      </c>
      <c r="Q46" s="88">
        <f t="shared" si="27"/>
        <v>1620267.7153316673</v>
      </c>
      <c r="R46" s="88">
        <f>Q46*(1+R48)</f>
        <v>1644571.7310616423</v>
      </c>
      <c r="S46" s="88">
        <f t="shared" ref="S46:U46" si="28">R46*(1+S48)</f>
        <v>1669240.3070275667</v>
      </c>
      <c r="T46" s="88">
        <f t="shared" si="28"/>
        <v>1694278.91163298</v>
      </c>
      <c r="U46" s="88">
        <f t="shared" si="28"/>
        <v>1719693.0953074745</v>
      </c>
      <c r="V46" s="88">
        <f>U46*(1+V48)</f>
        <v>1736890.0262605492</v>
      </c>
      <c r="W46" s="44"/>
      <c r="X46" s="3"/>
      <c r="Y46" s="3"/>
      <c r="Z46" s="3"/>
      <c r="AA46" s="3"/>
      <c r="AB46" s="3"/>
      <c r="AC46" s="3">
        <f>AD30-AD32-AD36-AD31-AD43</f>
        <v>-1673.3722500000001</v>
      </c>
      <c r="AD46" s="45">
        <f>AVERAGE(J46:M46)/1000</f>
        <v>1596.7339999999999</v>
      </c>
      <c r="AE46" s="45">
        <f t="shared" si="21"/>
        <v>1638.7261677773427</v>
      </c>
      <c r="AF46" s="45">
        <f t="shared" si="22"/>
        <v>1681.9460112574161</v>
      </c>
      <c r="AG46" s="3"/>
      <c r="AI46" s="3">
        <f>AI30-AI32-AI36-AI31-AI43</f>
        <v>1571.7041322167745</v>
      </c>
      <c r="AJ46" s="3">
        <f>AJ30-AJ32-AJ36-AJ31</f>
        <v>1644.9470557811208</v>
      </c>
      <c r="AK46" s="3">
        <f>AK30-AK32-AK36-AK31</f>
        <v>1684.8968956203648</v>
      </c>
      <c r="AL46" s="3"/>
      <c r="AM46" s="184"/>
      <c r="AN46">
        <f>AJ46/AI46*AD46</f>
        <v>1671.143339466229</v>
      </c>
      <c r="AO46">
        <f>AK46/AI46*AD46</f>
        <v>1711.7293926923571</v>
      </c>
    </row>
    <row r="47" spans="1:41" s="171" customFormat="1" x14ac:dyDescent="0.35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29">H46/G46-1</f>
        <v>3.4867401440725754E-3</v>
      </c>
      <c r="I47" s="236">
        <f t="shared" si="29"/>
        <v>3.5163841628156334E-3</v>
      </c>
      <c r="J47" s="236">
        <f t="shared" si="29"/>
        <v>5.2735975988749129E-3</v>
      </c>
      <c r="K47" s="236">
        <f t="shared" si="29"/>
        <v>3.4509222105193249E-2</v>
      </c>
      <c r="L47" s="236">
        <f t="shared" si="29"/>
        <v>2.938781628264131E-2</v>
      </c>
      <c r="M47" s="199"/>
      <c r="N47" s="235"/>
      <c r="O47" s="235"/>
      <c r="P47" s="235"/>
      <c r="Q47" s="235"/>
      <c r="R47" s="235"/>
      <c r="S47" s="235"/>
      <c r="T47" s="235"/>
      <c r="U47" s="235"/>
      <c r="V47" s="235"/>
      <c r="W47" s="173"/>
      <c r="X47" s="175"/>
      <c r="Y47" s="175"/>
      <c r="Z47" s="175"/>
      <c r="AA47" s="175"/>
      <c r="AB47" s="175"/>
      <c r="AC47" s="175"/>
      <c r="AD47" s="174"/>
      <c r="AE47" s="174"/>
      <c r="AF47" s="174"/>
      <c r="AG47" s="175"/>
      <c r="AI47" s="175"/>
      <c r="AJ47" s="175"/>
      <c r="AK47" s="175"/>
      <c r="AL47" s="175"/>
      <c r="AM47" s="185"/>
    </row>
    <row r="48" spans="1:41" s="187" customFormat="1" x14ac:dyDescent="0.35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176">
        <v>-7.4999999999999997E-3</v>
      </c>
      <c r="O48" s="176">
        <v>-7.4999999999999997E-3</v>
      </c>
      <c r="P48" s="176">
        <v>-7.4999999999999997E-3</v>
      </c>
      <c r="Q48" s="176">
        <v>-7.4999999999999997E-3</v>
      </c>
      <c r="R48" s="176">
        <v>1.4999999999999999E-2</v>
      </c>
      <c r="S48" s="176">
        <v>1.4999999999999999E-2</v>
      </c>
      <c r="T48" s="176">
        <v>1.4999999999999999E-2</v>
      </c>
      <c r="U48" s="176">
        <v>1.4999999999999999E-2</v>
      </c>
      <c r="V48" s="176">
        <v>0.01</v>
      </c>
      <c r="W48" s="176"/>
      <c r="AD48" s="189">
        <f>AD31+AD32+AD36+AD43</f>
        <v>1673.3722500000001</v>
      </c>
      <c r="AI48" s="189">
        <f>AI31+AI32+AI36+AI43</f>
        <v>1749.068</v>
      </c>
      <c r="AM48" s="244"/>
      <c r="AN48" s="233">
        <v>-7.4999999999999997E-3</v>
      </c>
      <c r="AO48" s="233">
        <v>1.4999999999999999E-2</v>
      </c>
    </row>
    <row r="49" spans="1:39" s="35" customFormat="1" ht="14" customHeight="1" x14ac:dyDescent="0.35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"/>
      <c r="O49" s="3"/>
      <c r="P49" s="3"/>
      <c r="Q49" s="3"/>
      <c r="R49" s="3"/>
      <c r="S49" s="3"/>
      <c r="T49" s="3"/>
      <c r="U49" s="3"/>
      <c r="V49" s="3"/>
      <c r="W49" s="44"/>
      <c r="X49" s="44"/>
      <c r="Y49" s="44"/>
      <c r="Z49" s="44"/>
      <c r="AA49" s="44"/>
      <c r="AB49" s="44"/>
      <c r="AC49" s="44"/>
      <c r="AD49" s="45"/>
      <c r="AE49" s="45"/>
      <c r="AF49" s="45"/>
      <c r="AG49" s="44"/>
      <c r="AI49" s="44"/>
      <c r="AJ49" s="44"/>
      <c r="AK49" s="44"/>
      <c r="AL49" s="44"/>
      <c r="AM49" s="245"/>
    </row>
    <row r="50" spans="1:39" s="35" customFormat="1" x14ac:dyDescent="0.35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144">
        <f t="shared" ref="N50:Z50" si="30">N51+AVERAGE($H$50:$K$50)</f>
        <v>382932.00834658189</v>
      </c>
      <c r="O50" s="144">
        <f t="shared" si="30"/>
        <v>577416.91666666663</v>
      </c>
      <c r="P50" s="144">
        <f t="shared" si="30"/>
        <v>577416.91666666663</v>
      </c>
      <c r="Q50" s="144">
        <f t="shared" si="30"/>
        <v>577416.91666666663</v>
      </c>
      <c r="R50" s="144">
        <f t="shared" si="30"/>
        <v>122750.25</v>
      </c>
      <c r="S50" s="144">
        <f t="shared" si="30"/>
        <v>77330.25</v>
      </c>
      <c r="T50" s="144">
        <f t="shared" si="30"/>
        <v>77330.25</v>
      </c>
      <c r="U50" s="144">
        <f t="shared" si="30"/>
        <v>77330.25</v>
      </c>
      <c r="V50" s="144">
        <f t="shared" si="30"/>
        <v>77330.25</v>
      </c>
      <c r="W50" s="144">
        <f t="shared" si="30"/>
        <v>74830.25</v>
      </c>
      <c r="X50" s="144">
        <f t="shared" si="30"/>
        <v>74830.25</v>
      </c>
      <c r="Y50" s="144">
        <f t="shared" si="30"/>
        <v>74830.25</v>
      </c>
      <c r="Z50" s="144">
        <f t="shared" si="30"/>
        <v>74830.25</v>
      </c>
      <c r="AA50" s="44"/>
      <c r="AB50" s="44"/>
      <c r="AC50" s="44">
        <f>AVERAGE(F50:I50)/1000</f>
        <v>73.464250000000007</v>
      </c>
      <c r="AD50" s="44"/>
      <c r="AE50" s="44"/>
      <c r="AF50" s="44"/>
      <c r="AM50" s="243"/>
    </row>
    <row r="51" spans="1:39" s="35" customFormat="1" x14ac:dyDescent="0.35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N51" si="31">M53+M54+M59</f>
        <v>1093900</v>
      </c>
      <c r="N51" s="116">
        <f t="shared" si="31"/>
        <v>308101.75834658189</v>
      </c>
      <c r="O51" s="116">
        <f>O53+O54+SUM(O59:O62)</f>
        <v>502586.66666666663</v>
      </c>
      <c r="P51" s="116">
        <f t="shared" ref="P51:V51" si="32">P53+P54+SUM(P59:P62)</f>
        <v>502586.66666666663</v>
      </c>
      <c r="Q51" s="116">
        <f t="shared" si="32"/>
        <v>502586.66666666663</v>
      </c>
      <c r="R51" s="116">
        <f t="shared" si="32"/>
        <v>47920</v>
      </c>
      <c r="S51" s="116">
        <f t="shared" si="32"/>
        <v>2500</v>
      </c>
      <c r="T51" s="116">
        <f t="shared" si="32"/>
        <v>2500</v>
      </c>
      <c r="U51" s="116">
        <f t="shared" si="32"/>
        <v>2500</v>
      </c>
      <c r="V51" s="116">
        <f t="shared" si="32"/>
        <v>2500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x14ac:dyDescent="0.35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N52" s="116"/>
      <c r="O52" s="116"/>
      <c r="P52" s="116"/>
      <c r="Q52" s="116"/>
      <c r="R52" s="116"/>
      <c r="S52" s="116"/>
      <c r="T52" s="116"/>
      <c r="U52" s="116"/>
      <c r="V52" s="116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x14ac:dyDescent="0.35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116">
        <f>'[1]Revised Add Factors'!D$13*1000</f>
        <v>282681.75834658189</v>
      </c>
      <c r="O53" s="116"/>
      <c r="P53" s="116">
        <f>'[1]Revised Add Factors'!F$13*1000</f>
        <v>0</v>
      </c>
      <c r="Q53" s="116">
        <f>'[1]Revised Add Factors'!G$13*1000</f>
        <v>0</v>
      </c>
      <c r="R53" s="116">
        <f>'[1]Revised Add Factors'!H$13*1000</f>
        <v>0</v>
      </c>
      <c r="S53" s="116"/>
      <c r="T53" s="116">
        <f>'[1]Revised Add Factors'!J$13*1000</f>
        <v>0</v>
      </c>
      <c r="U53" s="116">
        <f>'[1]Revised Add Factors'!K$13*1000</f>
        <v>0</v>
      </c>
      <c r="V53" s="116">
        <f>'[1]Revised Add Factors'!L$13*1000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35" customFormat="1" ht="27.5" customHeight="1" x14ac:dyDescent="0.35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16">
        <v>25420</v>
      </c>
      <c r="O54" s="116">
        <v>25420</v>
      </c>
      <c r="P54" s="116">
        <v>25420</v>
      </c>
      <c r="Q54" s="116">
        <v>25420</v>
      </c>
      <c r="R54" s="116">
        <v>25420</v>
      </c>
      <c r="S54" s="116"/>
      <c r="T54" s="116">
        <f>'[1]Revised Add Factors'!J$14*1000</f>
        <v>0</v>
      </c>
      <c r="U54" s="116">
        <f>'[1]Revised Add Factors'!K$14*1000</f>
        <v>0</v>
      </c>
      <c r="V54" s="116">
        <f>'[1]Revised Add Factors'!L$14*1000</f>
        <v>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43"/>
    </row>
    <row r="55" spans="1:39" s="187" customFormat="1" x14ac:dyDescent="0.35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35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35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187" customFormat="1" x14ac:dyDescent="0.35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264"/>
      <c r="O58" s="264"/>
      <c r="P58" s="264"/>
      <c r="Q58" s="264"/>
      <c r="R58" s="264"/>
      <c r="S58" s="264"/>
      <c r="T58" s="264"/>
      <c r="U58" s="264"/>
      <c r="V58" s="264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M58" s="244"/>
    </row>
    <row r="59" spans="1:39" s="285" customFormat="1" x14ac:dyDescent="0.35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292"/>
      <c r="O59" s="292">
        <f>'Stimulus Round 2'!$C$2*4/3</f>
        <v>433333.33333333331</v>
      </c>
      <c r="P59" s="292">
        <f>'Stimulus Round 2'!$C$2*4/3</f>
        <v>433333.33333333331</v>
      </c>
      <c r="Q59" s="292">
        <f>'Stimulus Round 2'!$C$2*4/3</f>
        <v>433333.33333333331</v>
      </c>
      <c r="R59" s="292"/>
      <c r="S59" s="292"/>
      <c r="T59" s="292"/>
      <c r="U59" s="292"/>
      <c r="V59" s="292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M59" s="293"/>
    </row>
    <row r="60" spans="1:39" s="285" customFormat="1" x14ac:dyDescent="0.35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292"/>
      <c r="O60" s="292">
        <f>'Stimulus Round 2'!$C$12*4/3</f>
        <v>21333.333333333332</v>
      </c>
      <c r="P60" s="292">
        <f>'Stimulus Round 2'!$C$12*4/3</f>
        <v>21333.333333333332</v>
      </c>
      <c r="Q60" s="292">
        <f>'Stimulus Round 2'!$C$12*4/3</f>
        <v>21333.333333333332</v>
      </c>
      <c r="R60" s="292"/>
      <c r="S60" s="292"/>
      <c r="T60" s="292"/>
      <c r="U60" s="292"/>
      <c r="V60" s="292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M60" s="293"/>
    </row>
    <row r="61" spans="1:39" s="285" customFormat="1" x14ac:dyDescent="0.35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292"/>
      <c r="O61" s="292">
        <f>'Stimulus Round 2'!$C$18*4/4</f>
        <v>20000</v>
      </c>
      <c r="P61" s="292">
        <f>'Stimulus Round 2'!$C$18*4/4</f>
        <v>20000</v>
      </c>
      <c r="Q61" s="292">
        <f>'Stimulus Round 2'!$C$18*4/4</f>
        <v>20000</v>
      </c>
      <c r="R61" s="292">
        <f>'Stimulus Round 2'!$C$18*4/4</f>
        <v>20000</v>
      </c>
      <c r="S61" s="292"/>
      <c r="T61" s="292"/>
      <c r="U61" s="292"/>
      <c r="V61" s="292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M61" s="293"/>
    </row>
    <row r="62" spans="1:39" s="285" customFormat="1" x14ac:dyDescent="0.35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292"/>
      <c r="O62" s="292">
        <f>'Stimulus Round 2'!$C$20*4/8</f>
        <v>2500</v>
      </c>
      <c r="P62" s="292">
        <f>'Stimulus Round 2'!$C$20*4/8</f>
        <v>2500</v>
      </c>
      <c r="Q62" s="292">
        <f>'Stimulus Round 2'!$C$20*4/8</f>
        <v>2500</v>
      </c>
      <c r="R62" s="292">
        <f>'Stimulus Round 2'!$C$20*4/8</f>
        <v>2500</v>
      </c>
      <c r="S62" s="292">
        <f>'Stimulus Round 2'!$C$20*4/8</f>
        <v>2500</v>
      </c>
      <c r="T62" s="292">
        <f>'Stimulus Round 2'!$C$20*4/8</f>
        <v>2500</v>
      </c>
      <c r="U62" s="292">
        <f>'Stimulus Round 2'!$C$20*4/8</f>
        <v>2500</v>
      </c>
      <c r="V62" s="292">
        <f>'Stimulus Round 2'!$C$20*4/8</f>
        <v>2500</v>
      </c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M62" s="293"/>
    </row>
    <row r="63" spans="1:39" s="35" customFormat="1" x14ac:dyDescent="0.35">
      <c r="A63" s="134"/>
      <c r="F63" s="199"/>
      <c r="G63" s="199"/>
      <c r="H63" s="199"/>
      <c r="I63" s="204"/>
      <c r="J63" s="204"/>
      <c r="K63" s="204"/>
      <c r="L63" s="204"/>
      <c r="M63" s="199"/>
      <c r="N63" s="116"/>
      <c r="O63" s="116"/>
      <c r="P63" s="116"/>
      <c r="Q63" s="116"/>
      <c r="R63" s="1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M63" s="243"/>
    </row>
    <row r="64" spans="1:39" s="35" customFormat="1" x14ac:dyDescent="0.35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116">
        <f>N66+(SUM($M$68:$R$68))/4/6*4</f>
        <v>309706.21811040066</v>
      </c>
      <c r="O64" s="116">
        <f>O66+(SUM($M$68:$R$68))/4/6*4</f>
        <v>310474.32878097624</v>
      </c>
      <c r="P64" s="116">
        <f>P66+(SUM($M$68:$R$68))/4/6*4</f>
        <v>311355.76725540578</v>
      </c>
      <c r="Q64" s="116">
        <f>Q66+(SUM($M$68:$R$68))/4/6*4</f>
        <v>312388.30946831079</v>
      </c>
      <c r="R64" s="116">
        <f>R66+(SUM($M$68:$R$68))/4/6*4</f>
        <v>313877.71302658436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>
        <f>AVERAGE(F64:I64)/1000</f>
        <v>600.89149999999995</v>
      </c>
      <c r="AD64" s="44"/>
      <c r="AE64" s="44"/>
      <c r="AF64" s="44"/>
      <c r="AM64" s="243"/>
    </row>
    <row r="65" spans="1:39" s="35" customFormat="1" x14ac:dyDescent="0.35">
      <c r="A65" s="35" t="s">
        <v>229</v>
      </c>
      <c r="F65" s="205">
        <f t="shared" ref="F65:M65" si="33">F64-F87</f>
        <v>196851</v>
      </c>
      <c r="G65" s="205">
        <f t="shared" si="33"/>
        <v>189684</v>
      </c>
      <c r="H65" s="205">
        <f t="shared" si="33"/>
        <v>192875</v>
      </c>
      <c r="I65" s="205">
        <f t="shared" si="33"/>
        <v>191507</v>
      </c>
      <c r="J65" s="205">
        <f t="shared" si="33"/>
        <v>203997</v>
      </c>
      <c r="K65" s="205">
        <f t="shared" si="33"/>
        <v>204376</v>
      </c>
      <c r="L65" s="205">
        <f t="shared" si="33"/>
        <v>884250</v>
      </c>
      <c r="M65" s="199">
        <f t="shared" si="33"/>
        <v>242100</v>
      </c>
      <c r="N65" s="116"/>
      <c r="O65" s="116"/>
      <c r="P65" s="116"/>
      <c r="Q65" s="116"/>
      <c r="R65" s="1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M65" s="243"/>
    </row>
    <row r="66" spans="1:39" s="35" customFormat="1" x14ac:dyDescent="0.35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116">
        <f>M66*(1+N82)</f>
        <v>191372.88477706735</v>
      </c>
      <c r="O66" s="116">
        <f t="shared" ref="O66:R66" si="34">N66*(1+O82)</f>
        <v>192140.9954476429</v>
      </c>
      <c r="P66" s="116">
        <f t="shared" si="34"/>
        <v>193022.43392207247</v>
      </c>
      <c r="Q66" s="116">
        <f t="shared" si="34"/>
        <v>194054.97613497748</v>
      </c>
      <c r="R66" s="116">
        <f t="shared" si="34"/>
        <v>195544.37969325102</v>
      </c>
      <c r="S66" s="116">
        <f t="shared" ref="S66" si="35">R66*(1+S82)</f>
        <v>197240.80684971521</v>
      </c>
      <c r="T66" s="116">
        <f t="shared" ref="T66" si="36">S66*(1+T82)</f>
        <v>198958.57178194768</v>
      </c>
      <c r="U66" s="116">
        <f t="shared" ref="U66" si="37">T66*(1+U82)</f>
        <v>200866.80125051294</v>
      </c>
      <c r="V66" s="116">
        <f t="shared" ref="V66:X66" si="38">U66*(1+V82)</f>
        <v>202622.47677399646</v>
      </c>
      <c r="W66" s="116">
        <f t="shared" si="38"/>
        <v>204572.45802602731</v>
      </c>
      <c r="X66" s="116">
        <f t="shared" si="38"/>
        <v>206361.5615193437</v>
      </c>
      <c r="Y66" s="116">
        <f t="shared" ref="Y66" si="39">X66*(1+Y82)</f>
        <v>208346.79396445845</v>
      </c>
      <c r="Z66" s="116">
        <f t="shared" ref="Z66" si="40">Y66*(1+Z82)</f>
        <v>214810.11799163782</v>
      </c>
      <c r="AA66" s="44"/>
      <c r="AB66" s="44"/>
      <c r="AC66" s="44"/>
      <c r="AD66" s="44"/>
      <c r="AE66" s="44"/>
      <c r="AF66" s="44"/>
      <c r="AG66" s="44"/>
      <c r="AM66" s="243"/>
    </row>
    <row r="67" spans="1:39" s="138" customFormat="1" x14ac:dyDescent="0.35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139"/>
      <c r="O67" s="139"/>
      <c r="P67" s="139"/>
      <c r="Q67" s="139"/>
      <c r="R67" s="139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M67" s="246"/>
    </row>
    <row r="68" spans="1:39" s="35" customFormat="1" ht="29" x14ac:dyDescent="0.35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116">
        <f>SUM(N70:N72)+N73</f>
        <v>107000</v>
      </c>
      <c r="O68" s="116">
        <f>SUM(O70:O72)+O73</f>
        <v>149000</v>
      </c>
      <c r="P68" s="116">
        <f t="shared" ref="P68:Z68" si="41">SUM(P70:P72)+P73</f>
        <v>121000</v>
      </c>
      <c r="Q68" s="116">
        <f t="shared" si="41"/>
        <v>121000</v>
      </c>
      <c r="R68" s="116">
        <f t="shared" si="41"/>
        <v>115000</v>
      </c>
      <c r="S68" s="116">
        <f t="shared" si="41"/>
        <v>109000</v>
      </c>
      <c r="T68" s="116">
        <f t="shared" si="41"/>
        <v>109000</v>
      </c>
      <c r="U68" s="116">
        <f t="shared" si="41"/>
        <v>109000</v>
      </c>
      <c r="V68" s="116">
        <f t="shared" si="41"/>
        <v>109000</v>
      </c>
      <c r="W68" s="116">
        <f t="shared" si="41"/>
        <v>109000</v>
      </c>
      <c r="X68" s="116">
        <f t="shared" si="41"/>
        <v>59000</v>
      </c>
      <c r="Y68" s="116">
        <f t="shared" si="41"/>
        <v>59000</v>
      </c>
      <c r="Z68" s="116">
        <f t="shared" si="41"/>
        <v>59000</v>
      </c>
      <c r="AA68" s="116"/>
      <c r="AB68" s="116"/>
      <c r="AC68" s="44"/>
      <c r="AD68" s="44"/>
      <c r="AE68" s="44"/>
      <c r="AF68" s="44"/>
      <c r="AG68" s="44"/>
      <c r="AM68" s="243"/>
    </row>
    <row r="69" spans="1:39" s="35" customFormat="1" x14ac:dyDescent="0.35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35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116">
        <v>60000</v>
      </c>
      <c r="O70" s="116">
        <v>60000</v>
      </c>
      <c r="P70" s="116">
        <v>50000</v>
      </c>
      <c r="Q70" s="116">
        <v>50000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43"/>
    </row>
    <row r="71" spans="1:39" s="35" customFormat="1" x14ac:dyDescent="0.35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116">
        <v>12000</v>
      </c>
      <c r="O71" s="116">
        <v>12000</v>
      </c>
      <c r="P71" s="116">
        <v>12000</v>
      </c>
      <c r="Q71" s="116">
        <v>12000</v>
      </c>
      <c r="R71" s="116">
        <v>6000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43"/>
    </row>
    <row r="72" spans="1:39" s="35" customFormat="1" x14ac:dyDescent="0.35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116">
        <v>35000</v>
      </c>
      <c r="O72" s="116">
        <v>18000</v>
      </c>
      <c r="P72" s="116">
        <v>0</v>
      </c>
      <c r="Q72" s="116">
        <v>0</v>
      </c>
      <c r="R72" s="116">
        <v>0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43"/>
    </row>
    <row r="73" spans="1:39" s="35" customFormat="1" x14ac:dyDescent="0.35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116"/>
      <c r="O73" s="116">
        <f>SUM(O74:O77)</f>
        <v>59000</v>
      </c>
      <c r="P73" s="116">
        <f t="shared" ref="P73:Z73" si="42">SUM(P74:P77)</f>
        <v>59000</v>
      </c>
      <c r="Q73" s="116">
        <f t="shared" si="42"/>
        <v>59000</v>
      </c>
      <c r="R73" s="116">
        <f t="shared" si="42"/>
        <v>59000</v>
      </c>
      <c r="S73" s="116">
        <f t="shared" si="42"/>
        <v>59000</v>
      </c>
      <c r="T73" s="116">
        <f t="shared" si="42"/>
        <v>59000</v>
      </c>
      <c r="U73" s="116">
        <f t="shared" si="42"/>
        <v>59000</v>
      </c>
      <c r="V73" s="116">
        <f t="shared" si="42"/>
        <v>59000</v>
      </c>
      <c r="W73" s="116">
        <f t="shared" si="42"/>
        <v>59000</v>
      </c>
      <c r="X73" s="116">
        <f t="shared" si="42"/>
        <v>59000</v>
      </c>
      <c r="Y73" s="116">
        <f t="shared" si="42"/>
        <v>59000</v>
      </c>
      <c r="Z73" s="116">
        <f t="shared" si="42"/>
        <v>59000</v>
      </c>
      <c r="AA73" s="116"/>
      <c r="AB73" s="44"/>
      <c r="AC73" s="44"/>
      <c r="AD73" s="44"/>
      <c r="AE73" s="44"/>
      <c r="AF73" s="44"/>
      <c r="AG73" s="44"/>
      <c r="AM73" s="243"/>
    </row>
    <row r="74" spans="1:39" s="285" customFormat="1" x14ac:dyDescent="0.35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292"/>
      <c r="O74" s="292">
        <f>'Stimulus Round 2'!$C$13*4/12</f>
        <v>9666.6666666666661</v>
      </c>
      <c r="P74" s="292">
        <f>'Stimulus Round 2'!$C$13*4/12</f>
        <v>9666.6666666666661</v>
      </c>
      <c r="Q74" s="292">
        <f>'Stimulus Round 2'!$C$13*4/12</f>
        <v>9666.6666666666661</v>
      </c>
      <c r="R74" s="292">
        <f>'Stimulus Round 2'!$C$13*4/12</f>
        <v>9666.6666666666661</v>
      </c>
      <c r="S74" s="292">
        <f>'Stimulus Round 2'!$C$13*4/12</f>
        <v>9666.6666666666661</v>
      </c>
      <c r="T74" s="292">
        <f>'Stimulus Round 2'!$C$13*4/12</f>
        <v>9666.6666666666661</v>
      </c>
      <c r="U74" s="292">
        <f>'Stimulus Round 2'!$C$13*4/12</f>
        <v>9666.6666666666661</v>
      </c>
      <c r="V74" s="292">
        <f>'Stimulus Round 2'!$C$13*4/12</f>
        <v>9666.6666666666661</v>
      </c>
      <c r="W74" s="292">
        <f>'Stimulus Round 2'!$C$13*4/12</f>
        <v>9666.6666666666661</v>
      </c>
      <c r="X74" s="292">
        <f>'Stimulus Round 2'!$C$13*4/12</f>
        <v>9666.6666666666661</v>
      </c>
      <c r="Y74" s="292">
        <f>'Stimulus Round 2'!$C$13*4/12</f>
        <v>9666.6666666666661</v>
      </c>
      <c r="Z74" s="292">
        <f>'Stimulus Round 2'!$C$13*4/12</f>
        <v>9666.6666666666661</v>
      </c>
      <c r="AA74" s="289"/>
      <c r="AB74" s="289"/>
      <c r="AC74" s="289"/>
      <c r="AD74" s="289"/>
      <c r="AE74" s="289"/>
      <c r="AF74" s="289"/>
      <c r="AG74" s="289"/>
      <c r="AM74" s="293"/>
    </row>
    <row r="75" spans="1:39" s="285" customFormat="1" x14ac:dyDescent="0.35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292"/>
      <c r="O75" s="292">
        <f>'Stimulus Round 2'!$C$5*4/12</f>
        <v>27333.333333333332</v>
      </c>
      <c r="P75" s="292">
        <f>'Stimulus Round 2'!$C$5*4/12</f>
        <v>27333.333333333332</v>
      </c>
      <c r="Q75" s="292">
        <f>'Stimulus Round 2'!$C$5*4/12</f>
        <v>27333.333333333332</v>
      </c>
      <c r="R75" s="292">
        <f>'Stimulus Round 2'!$C$5*4/12</f>
        <v>27333.333333333332</v>
      </c>
      <c r="S75" s="292">
        <f>'Stimulus Round 2'!$C$5*4/12</f>
        <v>27333.333333333332</v>
      </c>
      <c r="T75" s="292">
        <f>'Stimulus Round 2'!$C$5*4/12</f>
        <v>27333.333333333332</v>
      </c>
      <c r="U75" s="292">
        <f>'Stimulus Round 2'!$C$5*4/12</f>
        <v>27333.333333333332</v>
      </c>
      <c r="V75" s="292">
        <f>'Stimulus Round 2'!$C$5*4/12</f>
        <v>27333.333333333332</v>
      </c>
      <c r="W75" s="292">
        <f>'Stimulus Round 2'!$C$5*4/12</f>
        <v>27333.333333333332</v>
      </c>
      <c r="X75" s="292">
        <f>'Stimulus Round 2'!$C$5*4/12</f>
        <v>27333.333333333332</v>
      </c>
      <c r="Y75" s="292">
        <f>'Stimulus Round 2'!$C$5*4/12</f>
        <v>27333.333333333332</v>
      </c>
      <c r="Z75" s="292">
        <f>'Stimulus Round 2'!$C$5*4/12</f>
        <v>27333.333333333332</v>
      </c>
      <c r="AA75" s="289"/>
      <c r="AB75" s="289"/>
      <c r="AC75" s="289"/>
      <c r="AD75" s="289"/>
      <c r="AE75" s="289"/>
      <c r="AF75" s="289"/>
      <c r="AG75" s="289"/>
      <c r="AM75" s="293"/>
    </row>
    <row r="76" spans="1:39" s="285" customFormat="1" x14ac:dyDescent="0.35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292"/>
      <c r="O76" s="292">
        <f>'Stimulus Round 2'!$C$10*4/12</f>
        <v>4000</v>
      </c>
      <c r="P76" s="292">
        <f>'Stimulus Round 2'!$C$10*4/12</f>
        <v>4000</v>
      </c>
      <c r="Q76" s="292">
        <f>'Stimulus Round 2'!$C$10*4/12</f>
        <v>4000</v>
      </c>
      <c r="R76" s="292">
        <f>'Stimulus Round 2'!$C$10*4/12</f>
        <v>4000</v>
      </c>
      <c r="S76" s="292">
        <f>'Stimulus Round 2'!$C$10*4/12</f>
        <v>4000</v>
      </c>
      <c r="T76" s="292">
        <f>'Stimulus Round 2'!$C$10*4/12</f>
        <v>4000</v>
      </c>
      <c r="U76" s="292">
        <f>'Stimulus Round 2'!$C$10*4/12</f>
        <v>4000</v>
      </c>
      <c r="V76" s="292">
        <f>'Stimulus Round 2'!$C$10*4/12</f>
        <v>4000</v>
      </c>
      <c r="W76" s="292">
        <f>'Stimulus Round 2'!$C$10*4/12</f>
        <v>4000</v>
      </c>
      <c r="X76" s="292">
        <f>'Stimulus Round 2'!$C$10*4/12</f>
        <v>4000</v>
      </c>
      <c r="Y76" s="292">
        <f>'Stimulus Round 2'!$C$10*4/12</f>
        <v>4000</v>
      </c>
      <c r="Z76" s="292">
        <f>'Stimulus Round 2'!$C$10*4/12</f>
        <v>4000</v>
      </c>
      <c r="AA76" s="289"/>
      <c r="AB76" s="289"/>
      <c r="AC76" s="289"/>
      <c r="AD76" s="289"/>
      <c r="AE76" s="289"/>
      <c r="AF76" s="289"/>
      <c r="AG76" s="289"/>
      <c r="AM76" s="293"/>
    </row>
    <row r="77" spans="1:39" s="285" customFormat="1" x14ac:dyDescent="0.35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292"/>
      <c r="O77" s="292">
        <f>'Stimulus Round 2'!$C$16*4/12</f>
        <v>18000</v>
      </c>
      <c r="P77" s="292">
        <f>'Stimulus Round 2'!$C$16*4/12</f>
        <v>18000</v>
      </c>
      <c r="Q77" s="292">
        <f>'Stimulus Round 2'!$C$16*4/12</f>
        <v>18000</v>
      </c>
      <c r="R77" s="292">
        <f>'Stimulus Round 2'!$C$16*4/12</f>
        <v>18000</v>
      </c>
      <c r="S77" s="292">
        <f>'Stimulus Round 2'!$C$16*4/12</f>
        <v>18000</v>
      </c>
      <c r="T77" s="292">
        <f>'Stimulus Round 2'!$C$16*4/12</f>
        <v>18000</v>
      </c>
      <c r="U77" s="292">
        <f>'Stimulus Round 2'!$C$16*4/12</f>
        <v>18000</v>
      </c>
      <c r="V77" s="292">
        <f>'Stimulus Round 2'!$C$16*4/12</f>
        <v>18000</v>
      </c>
      <c r="W77" s="292">
        <f>'Stimulus Round 2'!$C$16*4/12</f>
        <v>18000</v>
      </c>
      <c r="X77" s="292">
        <f>'Stimulus Round 2'!$C$16*4/12</f>
        <v>18000</v>
      </c>
      <c r="Y77" s="292">
        <f>'Stimulus Round 2'!$C$16*4/12</f>
        <v>18000</v>
      </c>
      <c r="Z77" s="292">
        <f>'Stimulus Round 2'!$C$16*4/12</f>
        <v>18000</v>
      </c>
      <c r="AA77" s="289"/>
      <c r="AB77" s="289"/>
      <c r="AC77" s="289"/>
      <c r="AD77" s="289"/>
      <c r="AE77" s="289"/>
      <c r="AF77" s="289"/>
      <c r="AG77" s="289"/>
      <c r="AM77" s="293"/>
    </row>
    <row r="78" spans="1:39" s="35" customFormat="1" x14ac:dyDescent="0.35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Z78" si="43">M66+M68</f>
        <v>286980.38194444444</v>
      </c>
      <c r="N78" s="144">
        <f t="shared" si="43"/>
        <v>298372.88477706735</v>
      </c>
      <c r="O78" s="144">
        <f t="shared" si="43"/>
        <v>341140.99544764287</v>
      </c>
      <c r="P78" s="144">
        <f t="shared" si="43"/>
        <v>314022.43392207247</v>
      </c>
      <c r="Q78" s="144">
        <f t="shared" si="43"/>
        <v>315054.97613497748</v>
      </c>
      <c r="R78" s="144">
        <f t="shared" si="43"/>
        <v>310544.37969325099</v>
      </c>
      <c r="S78" s="144">
        <f t="shared" si="43"/>
        <v>306240.80684971518</v>
      </c>
      <c r="T78" s="144">
        <f t="shared" si="43"/>
        <v>307958.57178194768</v>
      </c>
      <c r="U78" s="144">
        <f t="shared" si="43"/>
        <v>309866.80125051294</v>
      </c>
      <c r="V78" s="144">
        <f t="shared" si="43"/>
        <v>311622.47677399649</v>
      </c>
      <c r="W78" s="144">
        <f t="shared" si="43"/>
        <v>313572.45802602731</v>
      </c>
      <c r="X78" s="144">
        <f t="shared" si="43"/>
        <v>265361.5615193437</v>
      </c>
      <c r="Y78" s="144">
        <f t="shared" si="43"/>
        <v>267346.79396445845</v>
      </c>
      <c r="Z78" s="144">
        <f t="shared" si="43"/>
        <v>273810.11799163779</v>
      </c>
      <c r="AA78" s="44"/>
      <c r="AB78" s="44"/>
      <c r="AC78" s="44"/>
      <c r="AD78" s="44"/>
      <c r="AE78" s="44"/>
      <c r="AF78" s="44"/>
      <c r="AG78" s="44"/>
      <c r="AM78" s="243"/>
    </row>
    <row r="79" spans="1:39" s="35" customFormat="1" x14ac:dyDescent="0.35">
      <c r="F79" s="199"/>
      <c r="G79" s="199"/>
      <c r="H79" s="199"/>
      <c r="I79" s="199"/>
      <c r="J79" s="199"/>
      <c r="K79" s="199"/>
      <c r="L79" s="205"/>
      <c r="M79" s="199"/>
      <c r="N79" s="135"/>
      <c r="O79" s="135"/>
      <c r="P79" s="135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43"/>
    </row>
    <row r="80" spans="1:39" s="35" customFormat="1" x14ac:dyDescent="0.35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116"/>
      <c r="O80" s="116"/>
      <c r="P80" s="116"/>
      <c r="Q80" s="116"/>
      <c r="R80" s="116"/>
      <c r="S80" s="116"/>
      <c r="T80" s="116"/>
      <c r="U80" s="116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I80" s="44"/>
      <c r="AJ80" s="44"/>
      <c r="AK80" s="44"/>
      <c r="AL80" s="44"/>
      <c r="AM80" s="245"/>
    </row>
    <row r="81" spans="1:39" s="35" customFormat="1" x14ac:dyDescent="0.35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>
        <v>1497.93454882981</v>
      </c>
      <c r="O81">
        <v>1503.94678777432</v>
      </c>
      <c r="P81">
        <v>1510.84607836637</v>
      </c>
      <c r="Q81">
        <v>1518.9281044884999</v>
      </c>
      <c r="R81">
        <v>1530.5861251620499</v>
      </c>
      <c r="S81">
        <v>1543.8645833417499</v>
      </c>
      <c r="T81">
        <v>1557.3100588685299</v>
      </c>
      <c r="U81">
        <v>1572.24635902092</v>
      </c>
      <c r="V81">
        <v>1585.9885724291801</v>
      </c>
      <c r="W81">
        <v>1601.2516766583401</v>
      </c>
      <c r="X81">
        <v>1615.2555410887301</v>
      </c>
      <c r="Y81">
        <v>1630.7945672703099</v>
      </c>
      <c r="Z81">
        <v>1681.38499637876</v>
      </c>
      <c r="AA81"/>
      <c r="AB81"/>
      <c r="AE81" s="44"/>
      <c r="AF81" s="44"/>
      <c r="AG81" s="44"/>
      <c r="AI81" s="44"/>
      <c r="AJ81" s="44"/>
      <c r="AK81" s="44"/>
      <c r="AL81" s="44"/>
      <c r="AM81" s="245"/>
    </row>
    <row r="82" spans="1:39" s="187" customFormat="1" ht="12" x14ac:dyDescent="0.3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188">
        <f>N81/M81-1</f>
        <v>7.3297190918908406E-3</v>
      </c>
      <c r="O82" s="188">
        <f t="shared" ref="O82:V82" si="44">O81/N81-1</f>
        <v>4.0136860113193507E-3</v>
      </c>
      <c r="P82" s="188">
        <f t="shared" si="44"/>
        <v>4.5874565829953085E-3</v>
      </c>
      <c r="Q82" s="188">
        <f t="shared" si="44"/>
        <v>5.3493378563544969E-3</v>
      </c>
      <c r="R82" s="188">
        <f t="shared" si="44"/>
        <v>7.6751629251576858E-3</v>
      </c>
      <c r="S82" s="188">
        <f t="shared" si="44"/>
        <v>8.675407388979206E-3</v>
      </c>
      <c r="T82" s="188">
        <f t="shared" si="44"/>
        <v>8.7089733593581631E-3</v>
      </c>
      <c r="U82" s="188">
        <f t="shared" si="44"/>
        <v>9.5910894990571816E-3</v>
      </c>
      <c r="V82" s="188">
        <f t="shared" si="44"/>
        <v>8.7404962520107876E-3</v>
      </c>
      <c r="W82" s="188">
        <f t="shared" ref="W82" si="45">W81/V81-1</f>
        <v>9.6237163965073869E-3</v>
      </c>
      <c r="X82" s="188">
        <f t="shared" ref="X82" si="46">X81/W81-1</f>
        <v>8.7455736250123817E-3</v>
      </c>
      <c r="Y82" s="188">
        <f>Y81/X81-1</f>
        <v>9.6201658414407643E-3</v>
      </c>
      <c r="Z82" s="188">
        <f t="shared" ref="Z82" si="47">Z81/Y81-1</f>
        <v>3.1021950970274714E-2</v>
      </c>
      <c r="AA82" s="188"/>
      <c r="AB82" s="188"/>
      <c r="AE82" s="189"/>
      <c r="AF82" s="189"/>
      <c r="AG82" s="189"/>
      <c r="AI82" s="189"/>
      <c r="AJ82" s="189"/>
      <c r="AK82" s="189"/>
      <c r="AL82" s="189"/>
      <c r="AM82" s="247"/>
    </row>
    <row r="83" spans="1:39" s="187" customFormat="1" x14ac:dyDescent="0.35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188"/>
      <c r="O83" s="102">
        <f>SUM(O84:O86)</f>
        <v>71400</v>
      </c>
      <c r="P83" s="102">
        <f t="shared" ref="P83:R83" si="48">SUM(P84:P86)</f>
        <v>71400</v>
      </c>
      <c r="Q83" s="102">
        <f t="shared" si="48"/>
        <v>30600</v>
      </c>
      <c r="R83" s="102">
        <f t="shared" si="48"/>
        <v>30600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E83" s="189"/>
      <c r="AF83" s="189"/>
      <c r="AG83" s="189"/>
      <c r="AI83" s="189"/>
      <c r="AJ83" s="189"/>
      <c r="AK83" s="189"/>
      <c r="AL83" s="189"/>
      <c r="AM83" s="247"/>
    </row>
    <row r="84" spans="1:39" s="300" customFormat="1" x14ac:dyDescent="0.35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03"/>
      <c r="O84" s="292">
        <f>('Stimulus Round 2'!$C7*0.7*4)/2</f>
        <v>30799.999999999996</v>
      </c>
      <c r="P84" s="292">
        <f>('Stimulus Round 2'!$C7*0.7*4)/2</f>
        <v>30799.999999999996</v>
      </c>
      <c r="Q84" s="292">
        <f>('Stimulus Round 2'!$C7*0.3*4)/2</f>
        <v>13200</v>
      </c>
      <c r="R84" s="292">
        <f>('Stimulus Round 2'!$C7*0.3*4)/2</f>
        <v>13200</v>
      </c>
      <c r="S84" s="303"/>
      <c r="T84" s="303"/>
      <c r="U84" s="303"/>
      <c r="V84" s="303"/>
      <c r="W84" s="303"/>
      <c r="X84" s="303"/>
      <c r="Y84" s="303"/>
      <c r="Z84" s="303"/>
      <c r="AA84" s="303"/>
      <c r="AB84" s="303"/>
      <c r="AE84" s="304"/>
      <c r="AF84" s="304"/>
      <c r="AG84" s="304"/>
      <c r="AI84" s="304"/>
      <c r="AJ84" s="304"/>
      <c r="AK84" s="304"/>
      <c r="AL84" s="304"/>
      <c r="AM84" s="305"/>
    </row>
    <row r="85" spans="1:39" s="300" customFormat="1" x14ac:dyDescent="0.35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03"/>
      <c r="O85" s="292">
        <f>('Stimulus Round 2'!$C8*0.7*4)/2</f>
        <v>28000</v>
      </c>
      <c r="P85" s="292">
        <f>('Stimulus Round 2'!$C8*0.7*4)/2</f>
        <v>28000</v>
      </c>
      <c r="Q85" s="292">
        <f>('Stimulus Round 2'!$C8*0.3*4)/2</f>
        <v>12000</v>
      </c>
      <c r="R85" s="292">
        <f>('Stimulus Round 2'!$C8*0.3*4)/2</f>
        <v>12000</v>
      </c>
      <c r="S85" s="303"/>
      <c r="T85" s="303"/>
      <c r="U85" s="303"/>
      <c r="V85" s="303"/>
      <c r="W85" s="303"/>
      <c r="X85" s="303"/>
      <c r="Y85" s="303"/>
      <c r="Z85" s="303"/>
      <c r="AA85" s="303"/>
      <c r="AB85" s="303"/>
      <c r="AE85" s="304"/>
      <c r="AF85" s="304"/>
      <c r="AG85" s="304"/>
      <c r="AI85" s="304"/>
      <c r="AJ85" s="304"/>
      <c r="AK85" s="304"/>
      <c r="AL85" s="304"/>
      <c r="AM85" s="305"/>
    </row>
    <row r="86" spans="1:39" s="300" customFormat="1" x14ac:dyDescent="0.35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03"/>
      <c r="O86" s="292">
        <f>('Stimulus Round 2'!$C9*0.7*4)/2</f>
        <v>12600</v>
      </c>
      <c r="P86" s="292">
        <f>('Stimulus Round 2'!$C9*0.7*4)/2</f>
        <v>12600</v>
      </c>
      <c r="Q86" s="292">
        <f>('Stimulus Round 2'!$C9*0.3*4)/2</f>
        <v>5400</v>
      </c>
      <c r="R86" s="292">
        <f>('Stimulus Round 2'!$C9*0.3*4)/2</f>
        <v>5400</v>
      </c>
      <c r="S86" s="303"/>
      <c r="T86" s="303"/>
      <c r="U86" s="303"/>
      <c r="V86" s="303"/>
      <c r="W86" s="303"/>
      <c r="X86" s="303"/>
      <c r="Y86" s="303"/>
      <c r="Z86" s="303"/>
      <c r="AA86" s="303"/>
      <c r="AB86" s="303"/>
      <c r="AE86" s="304"/>
      <c r="AF86" s="304"/>
      <c r="AG86" s="304"/>
      <c r="AI86" s="304"/>
      <c r="AJ86" s="304"/>
      <c r="AK86" s="304"/>
      <c r="AL86" s="304"/>
      <c r="AM86" s="305"/>
    </row>
    <row r="87" spans="1:39" s="35" customFormat="1" x14ac:dyDescent="0.35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116">
        <f t="shared" ref="N87:S87" si="49">N94*0.74</f>
        <v>515064.18485195568</v>
      </c>
      <c r="O87" s="116">
        <f t="shared" si="49"/>
        <v>524352.6883812669</v>
      </c>
      <c r="P87" s="116">
        <f t="shared" si="49"/>
        <v>529585.15509524208</v>
      </c>
      <c r="Q87" s="116">
        <f t="shared" si="49"/>
        <v>529585.15509524208</v>
      </c>
      <c r="R87" s="116">
        <f t="shared" si="49"/>
        <v>529585.15509524208</v>
      </c>
      <c r="S87" s="116">
        <f t="shared" si="49"/>
        <v>529585.15509524208</v>
      </c>
      <c r="T87" s="116">
        <f>T94*0.68</f>
        <v>486645.81819562789</v>
      </c>
      <c r="U87" s="116">
        <f>U94*0.68</f>
        <v>486645.81819562789</v>
      </c>
      <c r="V87" s="116">
        <f>V94*0.68</f>
        <v>486645.81819562789</v>
      </c>
      <c r="W87" s="116"/>
      <c r="X87" s="116"/>
      <c r="Y87" s="116"/>
      <c r="Z87" s="116"/>
      <c r="AA87" s="116"/>
      <c r="AB87" s="116"/>
      <c r="AC87" s="44">
        <f>AVERAGE(F87:I87)/1000</f>
        <v>408.16224999999997</v>
      </c>
      <c r="AD87" s="45">
        <f>AVERAGE(J87:M87)</f>
        <v>458387.5</v>
      </c>
      <c r="AE87" s="45">
        <f>AVERAGE(N87:Q87)</f>
        <v>524646.7958559267</v>
      </c>
      <c r="AF87" s="45">
        <f>AVERAGE(R87:U87)</f>
        <v>508115.48664543498</v>
      </c>
      <c r="AH87" s="35">
        <v>409.42</v>
      </c>
      <c r="AI87" s="84">
        <f>'figuring out Medicaid'!G11</f>
        <v>466.24400000000003</v>
      </c>
      <c r="AJ87" s="84">
        <f>'figuring out Medicaid'!H11</f>
        <v>537.41499999999996</v>
      </c>
      <c r="AK87" s="84">
        <f>'figuring out Medicaid'!I11</f>
        <v>516.01800000000003</v>
      </c>
      <c r="AL87" s="84"/>
      <c r="AM87" s="243"/>
    </row>
    <row r="88" spans="1:39" s="35" customFormat="1" x14ac:dyDescent="0.35">
      <c r="A88" s="141" t="s">
        <v>161</v>
      </c>
      <c r="B88" s="141"/>
      <c r="E88" s="141"/>
      <c r="F88" s="203">
        <f t="shared" ref="F88:M88" si="50">F46+F43+F32+F38</f>
        <v>1440187</v>
      </c>
      <c r="G88" s="203">
        <f t="shared" si="50"/>
        <v>1503410</v>
      </c>
      <c r="H88" s="203">
        <f t="shared" si="50"/>
        <v>1508652</v>
      </c>
      <c r="I88" s="203">
        <f t="shared" si="50"/>
        <v>1513957</v>
      </c>
      <c r="J88" s="203">
        <f t="shared" si="50"/>
        <v>1521941</v>
      </c>
      <c r="K88" s="203">
        <f t="shared" si="50"/>
        <v>1574462</v>
      </c>
      <c r="L88" s="203">
        <f t="shared" si="50"/>
        <v>3713565.333333333</v>
      </c>
      <c r="M88" s="199">
        <f t="shared" si="50"/>
        <v>2509001</v>
      </c>
      <c r="N88" s="142">
        <f>N46+N43+N32+N38+N33+N34</f>
        <v>1966882.3341534182</v>
      </c>
      <c r="O88" s="142">
        <f t="shared" ref="O88:Z88" si="51">O46+O43+O32+O38+O33+O34+O35</f>
        <v>3089225.50685474</v>
      </c>
      <c r="P88" s="142">
        <f t="shared" si="51"/>
        <v>1856511.5519714532</v>
      </c>
      <c r="Q88" s="142">
        <f t="shared" si="51"/>
        <v>1668267.7153316673</v>
      </c>
      <c r="R88" s="142">
        <f t="shared" si="51"/>
        <v>1664571.7310616423</v>
      </c>
      <c r="S88" s="142">
        <f t="shared" si="51"/>
        <v>1669240.3070275667</v>
      </c>
      <c r="T88" s="142">
        <f t="shared" si="51"/>
        <v>1694278.91163298</v>
      </c>
      <c r="U88" s="142">
        <f t="shared" si="51"/>
        <v>1719693.0953074745</v>
      </c>
      <c r="V88" s="142">
        <f t="shared" si="51"/>
        <v>1736890.0262605492</v>
      </c>
      <c r="W88" s="142">
        <f t="shared" si="51"/>
        <v>0</v>
      </c>
      <c r="X88" s="142">
        <f t="shared" si="51"/>
        <v>0</v>
      </c>
      <c r="Y88" s="142">
        <f t="shared" si="51"/>
        <v>0</v>
      </c>
      <c r="Z88" s="142">
        <f t="shared" si="51"/>
        <v>0</v>
      </c>
      <c r="AM88" s="243"/>
    </row>
    <row r="89" spans="1:39" s="35" customFormat="1" x14ac:dyDescent="0.35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Z89" si="52">L87+L31</f>
        <v>1336698</v>
      </c>
      <c r="M89" s="199">
        <f t="shared" si="52"/>
        <v>1328805</v>
      </c>
      <c r="N89" s="143">
        <f t="shared" si="52"/>
        <v>1368117.3718507844</v>
      </c>
      <c r="O89" s="143">
        <f t="shared" si="52"/>
        <v>1387852.444352445</v>
      </c>
      <c r="P89" s="143">
        <f t="shared" si="52"/>
        <v>1403659.4096977371</v>
      </c>
      <c r="Q89" s="143">
        <f t="shared" si="52"/>
        <v>1414363.4046265692</v>
      </c>
      <c r="R89" s="143">
        <f t="shared" si="52"/>
        <v>1443295.2542161937</v>
      </c>
      <c r="S89" s="143">
        <f t="shared" si="52"/>
        <v>1473173.1622347184</v>
      </c>
      <c r="T89" s="143">
        <f t="shared" si="52"/>
        <v>1461088.7274663374</v>
      </c>
      <c r="U89" s="143">
        <f t="shared" si="52"/>
        <v>1492952.570976991</v>
      </c>
      <c r="V89" s="143">
        <f t="shared" si="52"/>
        <v>1503093.2163331951</v>
      </c>
      <c r="W89" s="143">
        <f t="shared" si="52"/>
        <v>1026690.2317062188</v>
      </c>
      <c r="X89" s="143">
        <f t="shared" si="52"/>
        <v>1037036.2832472979</v>
      </c>
      <c r="Y89" s="143">
        <f t="shared" si="52"/>
        <v>1047486.5928977706</v>
      </c>
      <c r="Z89" s="143">
        <f t="shared" si="52"/>
        <v>0</v>
      </c>
      <c r="AM89" s="243"/>
    </row>
    <row r="90" spans="1:39" s="35" customFormat="1" x14ac:dyDescent="0.35">
      <c r="F90" s="199"/>
      <c r="G90" s="199"/>
      <c r="H90" s="199"/>
      <c r="I90" s="199"/>
      <c r="J90" s="199"/>
      <c r="K90" s="199"/>
      <c r="L90" s="199"/>
      <c r="M90" s="199"/>
      <c r="AM90" s="243"/>
    </row>
    <row r="91" spans="1:39" s="35" customFormat="1" x14ac:dyDescent="0.35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133">
        <f t="shared" ref="N91:U91" si="53">N92+N94</f>
        <v>838999.96973237256</v>
      </c>
      <c r="O91" s="133">
        <f t="shared" si="53"/>
        <v>851909.41974748904</v>
      </c>
      <c r="P91" s="133">
        <f t="shared" si="53"/>
        <v>859338.63247661723</v>
      </c>
      <c r="Q91" s="133">
        <f t="shared" si="53"/>
        <v>860057.04756403249</v>
      </c>
      <c r="R91" s="133">
        <f t="shared" si="53"/>
        <v>861140.05830831092</v>
      </c>
      <c r="S91" s="133">
        <f t="shared" si="53"/>
        <v>862594.90274145827</v>
      </c>
      <c r="T91" s="133">
        <f t="shared" si="53"/>
        <v>864142.72686504154</v>
      </c>
      <c r="U91" s="133">
        <f t="shared" si="53"/>
        <v>865537.60394083988</v>
      </c>
      <c r="V91" s="133">
        <f t="shared" ref="V91" si="54">V92+V94</f>
        <v>866767.29820503015</v>
      </c>
      <c r="AM91" s="243"/>
    </row>
    <row r="92" spans="1:39" s="35" customFormat="1" x14ac:dyDescent="0.35">
      <c r="A92" s="35" t="s">
        <v>231</v>
      </c>
      <c r="F92" s="205">
        <f t="shared" ref="F92:K92" si="55">F91-F94</f>
        <v>139025</v>
      </c>
      <c r="G92" s="205">
        <f t="shared" si="55"/>
        <v>139342</v>
      </c>
      <c r="H92" s="205">
        <f t="shared" si="55"/>
        <v>140228</v>
      </c>
      <c r="I92" s="205">
        <f t="shared" si="55"/>
        <v>141105</v>
      </c>
      <c r="J92" s="205">
        <f t="shared" si="55"/>
        <v>141335</v>
      </c>
      <c r="K92" s="205">
        <f t="shared" si="55"/>
        <v>142991</v>
      </c>
      <c r="L92" s="205">
        <f>L91-L94</f>
        <v>143335</v>
      </c>
      <c r="M92" s="199">
        <f>M91-M94</f>
        <v>144777</v>
      </c>
      <c r="N92" s="133">
        <f>M92*(1+N103-0.015)</f>
        <v>142967.28749999998</v>
      </c>
      <c r="O92" s="133">
        <f t="shared" ref="O92:V92" si="56">N92*(1+O103)</f>
        <v>143324.70571874996</v>
      </c>
      <c r="P92" s="133">
        <f t="shared" si="56"/>
        <v>143683.01748304683</v>
      </c>
      <c r="Q92" s="133">
        <f t="shared" si="56"/>
        <v>144401.43257046206</v>
      </c>
      <c r="R92" s="133">
        <f t="shared" si="56"/>
        <v>145484.44331474052</v>
      </c>
      <c r="S92" s="133">
        <f t="shared" si="56"/>
        <v>146939.28774788792</v>
      </c>
      <c r="T92" s="133">
        <f t="shared" si="56"/>
        <v>148487.1118714711</v>
      </c>
      <c r="U92" s="133">
        <f t="shared" si="56"/>
        <v>149881.98894726948</v>
      </c>
      <c r="V92" s="133">
        <f t="shared" si="56"/>
        <v>151111.68321145975</v>
      </c>
      <c r="AM92" s="243"/>
    </row>
    <row r="93" spans="1:39" s="35" customFormat="1" x14ac:dyDescent="0.35">
      <c r="F93" s="205"/>
      <c r="G93" s="199"/>
      <c r="H93" s="199"/>
      <c r="I93" s="199"/>
      <c r="J93" s="199"/>
      <c r="K93" s="199"/>
      <c r="L93" s="199"/>
      <c r="M93" s="199"/>
      <c r="AM93" s="243"/>
    </row>
    <row r="94" spans="1:39" s="35" customFormat="1" x14ac:dyDescent="0.35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135">
        <f>M94*(($AJ$94/$AI$94)^0.18)</f>
        <v>696032.68223237258</v>
      </c>
      <c r="O94" s="135">
        <f>N94*(($AJ$94/$AI$94)^0.18)</f>
        <v>708584.71402873902</v>
      </c>
      <c r="P94" s="135">
        <f>O94*(($AJ$94/$AI$94)^0.1)</f>
        <v>715655.61499357037</v>
      </c>
      <c r="Q94" s="135">
        <f>P94*(1+Q95)</f>
        <v>715655.61499357037</v>
      </c>
      <c r="R94" s="135">
        <f t="shared" ref="R94:V94" si="57">Q94*(1+R95)</f>
        <v>715655.61499357037</v>
      </c>
      <c r="S94" s="135">
        <f t="shared" si="57"/>
        <v>715655.61499357037</v>
      </c>
      <c r="T94" s="135">
        <f t="shared" si="57"/>
        <v>715655.61499357037</v>
      </c>
      <c r="U94" s="135">
        <f t="shared" si="57"/>
        <v>715655.61499357037</v>
      </c>
      <c r="V94" s="135">
        <f t="shared" si="57"/>
        <v>715655.61499357037</v>
      </c>
      <c r="AD94" s="45">
        <f>AVERAGE(J94:M94)/1000</f>
        <v>649.06349999999998</v>
      </c>
      <c r="AE94" s="45">
        <f>AVERAGE(N94:Q94)/1000</f>
        <v>708.9821565620631</v>
      </c>
      <c r="AF94" s="45">
        <f>AVERAGE(R94:U94)/1000</f>
        <v>715.65561499357034</v>
      </c>
      <c r="AH94" s="84"/>
      <c r="AI94" s="84">
        <f>'figuring out Medicaid'!G13</f>
        <v>657.17435271149407</v>
      </c>
      <c r="AJ94" s="84">
        <f>'figuring out Medicaid'!H13</f>
        <v>725.7777402928042</v>
      </c>
      <c r="AK94" s="84">
        <f>'figuring out Medicaid'!I13</f>
        <v>727.33117238501666</v>
      </c>
      <c r="AL94" s="84"/>
      <c r="AM94" s="243"/>
    </row>
    <row r="95" spans="1:39" s="187" customFormat="1" x14ac:dyDescent="0.35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176"/>
      <c r="O95" s="176"/>
      <c r="P95" s="176"/>
      <c r="Q95" s="176">
        <v>0</v>
      </c>
      <c r="R95" s="176">
        <v>0</v>
      </c>
      <c r="S95" s="176">
        <v>0</v>
      </c>
      <c r="T95" s="176">
        <v>0</v>
      </c>
      <c r="U95" s="176">
        <v>0</v>
      </c>
      <c r="V95" s="176">
        <v>0</v>
      </c>
      <c r="W95" s="176"/>
      <c r="AM95" s="244"/>
    </row>
    <row r="96" spans="1:39" s="153" customFormat="1" x14ac:dyDescent="0.35">
      <c r="A96" s="153" t="s">
        <v>223</v>
      </c>
      <c r="F96" s="210">
        <f t="shared" ref="F96:K96" si="58">F87/F94</f>
        <v>0.66058231423538405</v>
      </c>
      <c r="G96" s="210">
        <f t="shared" si="58"/>
        <v>0.6749214177505789</v>
      </c>
      <c r="H96" s="210">
        <f t="shared" si="58"/>
        <v>0.68242012696430432</v>
      </c>
      <c r="I96" s="210">
        <f t="shared" si="58"/>
        <v>0.6730637268687778</v>
      </c>
      <c r="J96" s="210">
        <f t="shared" si="58"/>
        <v>0.66395699382859508</v>
      </c>
      <c r="K96" s="210">
        <f t="shared" si="58"/>
        <v>0.67846773573296415</v>
      </c>
      <c r="L96" s="211"/>
      <c r="M96" s="199"/>
      <c r="AD96" s="154"/>
      <c r="AE96" s="154"/>
      <c r="AF96" s="154"/>
      <c r="AH96" s="155"/>
      <c r="AI96" s="155"/>
      <c r="AJ96" s="155"/>
      <c r="AM96" s="248"/>
    </row>
    <row r="97" spans="1:39" s="35" customFormat="1" x14ac:dyDescent="0.35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5">
        <f>M97*(1+N99)</f>
        <v>2032.0348826405864</v>
      </c>
      <c r="O97" s="35">
        <f t="shared" ref="O97:V97" si="59">N97*(1+O99)</f>
        <v>2057.6710228553202</v>
      </c>
      <c r="P97" s="35">
        <f t="shared" si="59"/>
        <v>2080.1291291591365</v>
      </c>
      <c r="Q97" s="35">
        <f t="shared" si="59"/>
        <v>2094.9599540767508</v>
      </c>
      <c r="R97" s="35">
        <f t="shared" si="59"/>
        <v>2105.235597055384</v>
      </c>
      <c r="S97" s="35">
        <f t="shared" si="59"/>
        <v>2115.4053055703198</v>
      </c>
      <c r="T97" s="35">
        <f t="shared" si="59"/>
        <v>2122.8207180291274</v>
      </c>
      <c r="U97" s="35">
        <f t="shared" si="59"/>
        <v>2127.375899968109</v>
      </c>
      <c r="V97" s="35">
        <f t="shared" si="59"/>
        <v>2129.0708513872651</v>
      </c>
      <c r="AM97" s="243"/>
    </row>
    <row r="98" spans="1:39" s="187" customFormat="1" x14ac:dyDescent="0.35">
      <c r="A98" s="170" t="s">
        <v>287</v>
      </c>
      <c r="B98" s="35"/>
      <c r="C98" s="35"/>
      <c r="D98" s="35"/>
      <c r="F98" s="202"/>
      <c r="G98" s="202">
        <f t="shared" ref="G98:L98" si="60">(G97/F97)-1</f>
        <v>7.8113264233139468E-3</v>
      </c>
      <c r="H98" s="202">
        <f t="shared" si="60"/>
        <v>6.3596164356336526E-3</v>
      </c>
      <c r="I98" s="202">
        <f t="shared" si="60"/>
        <v>1.3823747222907468E-3</v>
      </c>
      <c r="J98" s="202">
        <f t="shared" si="60"/>
        <v>3.5990731154167399E-3</v>
      </c>
      <c r="K98" s="202">
        <f t="shared" si="60"/>
        <v>2.6527805069758159E-3</v>
      </c>
      <c r="L98" s="202">
        <f t="shared" si="60"/>
        <v>-1.36697697207252E-2</v>
      </c>
      <c r="M98" s="199">
        <f>(M97/L97)-1</f>
        <v>-9.9592668024439668E-3</v>
      </c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AM98" s="244"/>
    </row>
    <row r="99" spans="1:39" s="187" customFormat="1" x14ac:dyDescent="0.35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198">
        <v>1.95599022004889E-2</v>
      </c>
      <c r="O99" s="198">
        <v>1.26159941611927E-2</v>
      </c>
      <c r="P99" s="198">
        <v>1.0914332784184499E-2</v>
      </c>
      <c r="Q99" s="198">
        <v>7.1297616622529904E-3</v>
      </c>
      <c r="R99" s="198">
        <v>4.9049352750809598E-3</v>
      </c>
      <c r="S99" s="198">
        <v>4.8306747848840797E-3</v>
      </c>
      <c r="T99" s="198">
        <v>3.5054334218038701E-3</v>
      </c>
      <c r="U99" s="198">
        <v>2.14581565946403E-3</v>
      </c>
      <c r="V99" s="198">
        <v>7.9673339308827796E-4</v>
      </c>
      <c r="W99" s="198">
        <v>3.9804955716982198E-4</v>
      </c>
      <c r="X99" s="198">
        <v>1.1439371331942701E-3</v>
      </c>
      <c r="Y99" s="198">
        <v>8.9423220229512001E-4</v>
      </c>
      <c r="AM99" s="244"/>
    </row>
    <row r="100" spans="1:39" s="35" customFormat="1" x14ac:dyDescent="0.35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43"/>
    </row>
    <row r="101" spans="1:39" s="35" customFormat="1" x14ac:dyDescent="0.35">
      <c r="F101" s="199"/>
      <c r="G101" s="199"/>
      <c r="H101" s="199"/>
      <c r="I101" s="199"/>
      <c r="J101" s="199"/>
      <c r="K101" s="199"/>
      <c r="L101" s="199"/>
      <c r="M101" s="199"/>
      <c r="N101">
        <f>M100*(1+N103)</f>
        <v>2335.4290124999998</v>
      </c>
      <c r="O101">
        <f>N101*(1+O103)</f>
        <v>2341.2675850312498</v>
      </c>
      <c r="P101">
        <f t="shared" ref="P101:V101" si="61">O101*(1+P103)</f>
        <v>2347.1207539938277</v>
      </c>
      <c r="Q101">
        <f t="shared" si="61"/>
        <v>2358.8563577637965</v>
      </c>
      <c r="R101">
        <f t="shared" si="61"/>
        <v>2376.5477804470252</v>
      </c>
      <c r="S101">
        <f t="shared" si="61"/>
        <v>2400.3132582514954</v>
      </c>
      <c r="T101">
        <f t="shared" si="61"/>
        <v>2425.5975972613091</v>
      </c>
      <c r="U101">
        <f t="shared" si="61"/>
        <v>2448.3834837997988</v>
      </c>
      <c r="V101">
        <f t="shared" si="61"/>
        <v>2468.4710416692506</v>
      </c>
      <c r="W101"/>
      <c r="X101"/>
      <c r="Y101"/>
      <c r="AM101" s="243"/>
    </row>
    <row r="102" spans="1:39" s="187" customFormat="1" x14ac:dyDescent="0.35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2">(K100/J100)-1</f>
        <v>1.0265546788835067E-2</v>
      </c>
      <c r="L102" s="202">
        <f t="shared" ref="L102" si="63">(L100/K100)-1</f>
        <v>-1.9776620759153429E-2</v>
      </c>
      <c r="M102" s="202">
        <f>(((M100/L100))^4)-1</f>
        <v>-8.3608921686818549E-3</v>
      </c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AM102" s="244"/>
    </row>
    <row r="103" spans="1:39" s="187" customFormat="1" x14ac:dyDescent="0.35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176">
        <v>2.5000000000000001E-3</v>
      </c>
      <c r="O103" s="176">
        <v>2.5000000000000001E-3</v>
      </c>
      <c r="P103" s="176">
        <v>2.5000000000000001E-3</v>
      </c>
      <c r="Q103" s="176">
        <v>5.0000000000000001E-3</v>
      </c>
      <c r="R103" s="176">
        <v>7.4999999999999997E-3</v>
      </c>
      <c r="S103" s="176">
        <v>0.01</v>
      </c>
      <c r="T103" s="176">
        <f>T100/S100-1</f>
        <v>1.053376634191161E-2</v>
      </c>
      <c r="U103" s="176">
        <f>U100/T100-1</f>
        <v>9.3939269086582566E-3</v>
      </c>
      <c r="V103" s="176">
        <f>V100/U100-1</f>
        <v>8.2044165067951536E-3</v>
      </c>
      <c r="AM103" s="244"/>
    </row>
    <row r="104" spans="1:39" s="187" customFormat="1" x14ac:dyDescent="0.35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176"/>
      <c r="O104" s="176"/>
      <c r="P104" s="176"/>
      <c r="Q104" s="176"/>
      <c r="R104" s="176"/>
      <c r="S104" s="176"/>
      <c r="T104" s="176"/>
      <c r="U104" s="176"/>
      <c r="V104" s="176"/>
      <c r="AM104" s="244"/>
    </row>
    <row r="105" spans="1:39" s="35" customFormat="1" x14ac:dyDescent="0.35">
      <c r="A105" s="35" t="s">
        <v>164</v>
      </c>
      <c r="F105" s="203">
        <f t="shared" ref="F105:Y105" si="64">F91+F42-F87</f>
        <v>339220</v>
      </c>
      <c r="G105" s="203">
        <f t="shared" si="64"/>
        <v>334185</v>
      </c>
      <c r="H105" s="203">
        <f t="shared" si="64"/>
        <v>335532</v>
      </c>
      <c r="I105" s="203">
        <f t="shared" si="64"/>
        <v>344546</v>
      </c>
      <c r="J105" s="203">
        <f t="shared" si="64"/>
        <v>349558</v>
      </c>
      <c r="K105" s="203">
        <f t="shared" si="64"/>
        <v>343658</v>
      </c>
      <c r="L105" s="203">
        <f t="shared" si="64"/>
        <v>577118</v>
      </c>
      <c r="M105" s="199">
        <f t="shared" si="64"/>
        <v>482408</v>
      </c>
      <c r="N105" s="223">
        <f t="shared" si="64"/>
        <v>403935.78488041688</v>
      </c>
      <c r="O105" s="223">
        <f t="shared" si="64"/>
        <v>387556.73136622214</v>
      </c>
      <c r="P105" s="223">
        <f t="shared" si="64"/>
        <v>373753.47738137515</v>
      </c>
      <c r="Q105" s="223">
        <f t="shared" si="64"/>
        <v>374471.89246879041</v>
      </c>
      <c r="R105" s="223">
        <f t="shared" si="64"/>
        <v>375554.90321306884</v>
      </c>
      <c r="S105" s="223">
        <f t="shared" si="64"/>
        <v>377009.74764621619</v>
      </c>
      <c r="T105" s="223">
        <f t="shared" si="64"/>
        <v>421496.90866941365</v>
      </c>
      <c r="U105" s="223">
        <f t="shared" si="64"/>
        <v>422891.78574521199</v>
      </c>
      <c r="V105" s="223">
        <f t="shared" si="64"/>
        <v>424121.48000940226</v>
      </c>
      <c r="W105" s="223">
        <f t="shared" si="64"/>
        <v>0</v>
      </c>
      <c r="X105" s="223">
        <f t="shared" si="64"/>
        <v>0</v>
      </c>
      <c r="Y105" s="223">
        <f t="shared" si="64"/>
        <v>0</v>
      </c>
      <c r="AM105" s="243"/>
    </row>
    <row r="106" spans="1:39" s="35" customFormat="1" x14ac:dyDescent="0.35">
      <c r="A106" s="141" t="s">
        <v>214</v>
      </c>
      <c r="B106" s="141"/>
      <c r="E106" s="141"/>
      <c r="F106" s="203"/>
      <c r="G106" s="203"/>
      <c r="H106" s="203"/>
      <c r="I106" s="203"/>
      <c r="J106" s="203"/>
      <c r="K106" s="203"/>
      <c r="L106" s="203">
        <f t="shared" ref="L106:Y106" si="65">L94-L87</f>
        <v>156183</v>
      </c>
      <c r="M106" s="199">
        <f t="shared" si="65"/>
        <v>197631</v>
      </c>
      <c r="N106" s="142">
        <f t="shared" si="65"/>
        <v>180968.4973804169</v>
      </c>
      <c r="O106" s="142">
        <f t="shared" si="65"/>
        <v>184232.02564747212</v>
      </c>
      <c r="P106" s="142">
        <f t="shared" si="65"/>
        <v>186070.45989832829</v>
      </c>
      <c r="Q106" s="142">
        <f t="shared" si="65"/>
        <v>186070.45989832829</v>
      </c>
      <c r="R106" s="142">
        <f t="shared" si="65"/>
        <v>186070.45989832829</v>
      </c>
      <c r="S106" s="142">
        <f t="shared" si="65"/>
        <v>186070.45989832829</v>
      </c>
      <c r="T106" s="142">
        <f t="shared" si="65"/>
        <v>229009.79679794249</v>
      </c>
      <c r="U106" s="142">
        <f t="shared" si="65"/>
        <v>229009.79679794249</v>
      </c>
      <c r="V106" s="142">
        <f t="shared" si="65"/>
        <v>229009.79679794249</v>
      </c>
      <c r="W106" s="142">
        <f t="shared" si="65"/>
        <v>0</v>
      </c>
      <c r="X106" s="142">
        <f t="shared" si="65"/>
        <v>0</v>
      </c>
      <c r="Y106" s="142">
        <f t="shared" si="65"/>
        <v>0</v>
      </c>
      <c r="AM106" s="243"/>
    </row>
    <row r="107" spans="1:39" s="141" customFormat="1" x14ac:dyDescent="0.35">
      <c r="A107" s="141" t="s">
        <v>232</v>
      </c>
      <c r="C107" s="35"/>
      <c r="D107" s="35"/>
      <c r="F107" s="203">
        <f t="shared" ref="F107:Y107" si="66">F105-(F94-F87)</f>
        <v>139025</v>
      </c>
      <c r="G107" s="203">
        <f t="shared" si="66"/>
        <v>139342</v>
      </c>
      <c r="H107" s="203">
        <f t="shared" si="66"/>
        <v>140228</v>
      </c>
      <c r="I107" s="203">
        <f t="shared" si="66"/>
        <v>141105</v>
      </c>
      <c r="J107" s="203">
        <f t="shared" si="66"/>
        <v>141335</v>
      </c>
      <c r="K107" s="203">
        <f t="shared" si="66"/>
        <v>142991</v>
      </c>
      <c r="L107" s="203">
        <f t="shared" si="66"/>
        <v>420935</v>
      </c>
      <c r="M107" s="199">
        <f t="shared" si="66"/>
        <v>284777</v>
      </c>
      <c r="N107" s="143">
        <f t="shared" si="66"/>
        <v>222967.28749999998</v>
      </c>
      <c r="O107" s="143">
        <f t="shared" si="66"/>
        <v>203324.70571875002</v>
      </c>
      <c r="P107" s="143">
        <f t="shared" si="66"/>
        <v>187683.01748304686</v>
      </c>
      <c r="Q107" s="143">
        <f t="shared" si="66"/>
        <v>188401.43257046212</v>
      </c>
      <c r="R107" s="143">
        <f t="shared" si="66"/>
        <v>189484.44331474055</v>
      </c>
      <c r="S107" s="143">
        <f t="shared" si="66"/>
        <v>190939.28774788789</v>
      </c>
      <c r="T107" s="143">
        <f t="shared" si="66"/>
        <v>192487.11187147116</v>
      </c>
      <c r="U107" s="143">
        <f t="shared" si="66"/>
        <v>193881.98894726951</v>
      </c>
      <c r="V107" s="143">
        <f t="shared" si="66"/>
        <v>195111.68321145978</v>
      </c>
      <c r="W107" s="143">
        <f t="shared" si="66"/>
        <v>0</v>
      </c>
      <c r="X107" s="143">
        <f t="shared" si="66"/>
        <v>0</v>
      </c>
      <c r="Y107" s="143">
        <f t="shared" si="66"/>
        <v>0</v>
      </c>
      <c r="AM107" s="267"/>
    </row>
    <row r="108" spans="1:39" s="35" customFormat="1" x14ac:dyDescent="0.35">
      <c r="A108"/>
      <c r="F108" s="220"/>
      <c r="G108" s="220"/>
      <c r="H108" s="220"/>
      <c r="I108" s="220"/>
      <c r="J108" s="220"/>
      <c r="K108" s="220"/>
      <c r="L108" s="220"/>
      <c r="M108" s="135"/>
      <c r="N108" s="94"/>
      <c r="O108" s="94"/>
      <c r="P108" s="94"/>
      <c r="Q108" s="94"/>
      <c r="R108" s="94"/>
      <c r="S108" s="94"/>
      <c r="T108" s="94"/>
      <c r="U108" s="94"/>
      <c r="V108"/>
      <c r="AM108" s="243"/>
    </row>
    <row r="109" spans="1:39" s="187" customFormat="1" x14ac:dyDescent="0.35">
      <c r="A109" s="170"/>
      <c r="F109" s="195"/>
      <c r="G109" s="195"/>
      <c r="H109" s="195"/>
      <c r="I109" s="195"/>
      <c r="J109" s="195"/>
      <c r="K109" s="195"/>
      <c r="L109" s="195"/>
      <c r="M109" s="221"/>
      <c r="N109" s="195"/>
      <c r="O109" s="195"/>
      <c r="P109" s="195"/>
      <c r="Q109" s="195"/>
      <c r="R109" s="195"/>
      <c r="S109" s="195"/>
      <c r="T109" s="195"/>
      <c r="U109" s="195"/>
      <c r="AM109" s="244"/>
    </row>
    <row r="110" spans="1:39" x14ac:dyDescent="0.35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9" x14ac:dyDescent="0.35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9" x14ac:dyDescent="0.35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2:35" x14ac:dyDescent="0.35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2:35" x14ac:dyDescent="0.35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2:35" x14ac:dyDescent="0.35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G19" sqref="G19"/>
    </sheetView>
  </sheetViews>
  <sheetFormatPr defaultRowHeight="14.5" x14ac:dyDescent="0.35"/>
  <cols>
    <col min="1" max="1" width="25.453125" bestFit="1" customWidth="1"/>
    <col min="2" max="2" width="8" bestFit="1" customWidth="1"/>
    <col min="3" max="3" width="11.08984375" bestFit="1" customWidth="1"/>
  </cols>
  <sheetData>
    <row r="1" spans="1:3" x14ac:dyDescent="0.35">
      <c r="A1" s="97" t="s">
        <v>358</v>
      </c>
      <c r="B1" s="97" t="s">
        <v>360</v>
      </c>
      <c r="C1" s="97" t="s">
        <v>361</v>
      </c>
    </row>
    <row r="2" spans="1:3" x14ac:dyDescent="0.35">
      <c r="A2" s="306" t="s">
        <v>363</v>
      </c>
      <c r="B2" s="306">
        <v>325</v>
      </c>
      <c r="C2" s="307">
        <f>B2*1000</f>
        <v>325000</v>
      </c>
    </row>
    <row r="3" spans="1:3" x14ac:dyDescent="0.35">
      <c r="A3" s="306" t="s">
        <v>364</v>
      </c>
      <c r="B3" s="306">
        <v>120</v>
      </c>
      <c r="C3" s="307">
        <f t="shared" ref="C3:C20" si="0">B3*1000</f>
        <v>120000</v>
      </c>
    </row>
    <row r="4" spans="1:3" x14ac:dyDescent="0.35">
      <c r="A4" s="306" t="s">
        <v>20</v>
      </c>
      <c r="B4" s="306">
        <v>166</v>
      </c>
      <c r="C4" s="307">
        <f t="shared" si="0"/>
        <v>166000</v>
      </c>
    </row>
    <row r="5" spans="1:3" x14ac:dyDescent="0.35">
      <c r="A5" s="306" t="s">
        <v>199</v>
      </c>
      <c r="B5" s="306">
        <v>82</v>
      </c>
      <c r="C5" s="307">
        <f t="shared" si="0"/>
        <v>82000</v>
      </c>
    </row>
    <row r="6" spans="1:3" x14ac:dyDescent="0.35">
      <c r="A6" s="306" t="s">
        <v>365</v>
      </c>
      <c r="B6" s="306">
        <v>63</v>
      </c>
      <c r="C6" s="307">
        <f t="shared" si="0"/>
        <v>63000</v>
      </c>
    </row>
    <row r="7" spans="1:3" x14ac:dyDescent="0.35">
      <c r="A7" s="308" t="s">
        <v>355</v>
      </c>
      <c r="B7">
        <v>22</v>
      </c>
      <c r="C7" s="307">
        <f>B7*1000</f>
        <v>22000</v>
      </c>
    </row>
    <row r="8" spans="1:3" x14ac:dyDescent="0.35">
      <c r="A8" s="177" t="s">
        <v>356</v>
      </c>
      <c r="B8">
        <v>20</v>
      </c>
      <c r="C8" s="307">
        <f>B8*1000</f>
        <v>20000</v>
      </c>
    </row>
    <row r="9" spans="1:3" x14ac:dyDescent="0.35">
      <c r="A9" s="177" t="s">
        <v>357</v>
      </c>
      <c r="B9">
        <v>9</v>
      </c>
      <c r="C9" s="307">
        <f>B9*1000</f>
        <v>9000</v>
      </c>
    </row>
    <row r="10" spans="1:3" x14ac:dyDescent="0.35">
      <c r="A10" s="308" t="s">
        <v>58</v>
      </c>
      <c r="B10" s="306">
        <f>B6-SUM(B7:B9)</f>
        <v>12</v>
      </c>
      <c r="C10" s="307">
        <f t="shared" si="0"/>
        <v>12000</v>
      </c>
    </row>
    <row r="11" spans="1:3" x14ac:dyDescent="0.35">
      <c r="A11" s="309" t="s">
        <v>366</v>
      </c>
      <c r="B11" s="306">
        <v>45</v>
      </c>
      <c r="C11" s="307">
        <f t="shared" si="0"/>
        <v>45000</v>
      </c>
    </row>
    <row r="12" spans="1:3" x14ac:dyDescent="0.35">
      <c r="A12" s="308" t="s">
        <v>367</v>
      </c>
      <c r="B12" s="306">
        <v>16</v>
      </c>
      <c r="C12" s="307">
        <f t="shared" si="0"/>
        <v>16000</v>
      </c>
    </row>
    <row r="13" spans="1:3" x14ac:dyDescent="0.35">
      <c r="A13" s="308" t="s">
        <v>58</v>
      </c>
      <c r="B13" s="306">
        <f>B11-B12</f>
        <v>29</v>
      </c>
      <c r="C13" s="307">
        <f t="shared" si="0"/>
        <v>29000</v>
      </c>
    </row>
    <row r="14" spans="1:3" x14ac:dyDescent="0.35">
      <c r="A14" s="309" t="s">
        <v>368</v>
      </c>
      <c r="B14" s="306">
        <v>80</v>
      </c>
      <c r="C14" s="307">
        <f t="shared" si="0"/>
        <v>80000</v>
      </c>
    </row>
    <row r="15" spans="1:3" x14ac:dyDescent="0.35">
      <c r="A15" s="308" t="s">
        <v>349</v>
      </c>
      <c r="B15" s="306">
        <v>26</v>
      </c>
      <c r="C15" s="307">
        <f t="shared" si="0"/>
        <v>26000</v>
      </c>
    </row>
    <row r="16" spans="1:3" x14ac:dyDescent="0.35">
      <c r="A16" s="308" t="s">
        <v>58</v>
      </c>
      <c r="B16">
        <f>B14-B15</f>
        <v>54</v>
      </c>
      <c r="C16" s="307">
        <f t="shared" si="0"/>
        <v>54000</v>
      </c>
    </row>
    <row r="17" spans="1:3" x14ac:dyDescent="0.35">
      <c r="A17" s="309" t="s">
        <v>369</v>
      </c>
      <c r="B17">
        <v>30</v>
      </c>
      <c r="C17" s="307">
        <f t="shared" si="0"/>
        <v>30000</v>
      </c>
    </row>
    <row r="18" spans="1:3" x14ac:dyDescent="0.35">
      <c r="A18" s="308" t="s">
        <v>370</v>
      </c>
      <c r="B18">
        <v>20</v>
      </c>
      <c r="C18" s="307">
        <f t="shared" si="0"/>
        <v>20000</v>
      </c>
    </row>
    <row r="19" spans="1:3" x14ac:dyDescent="0.35">
      <c r="A19" s="308" t="s">
        <v>371</v>
      </c>
      <c r="B19">
        <v>5</v>
      </c>
      <c r="C19" s="307">
        <f t="shared" si="0"/>
        <v>5000</v>
      </c>
    </row>
    <row r="20" spans="1:3" ht="15" thickBot="1" x14ac:dyDescent="0.4">
      <c r="A20" s="310" t="s">
        <v>372</v>
      </c>
      <c r="B20" s="311">
        <v>5</v>
      </c>
      <c r="C20" s="312">
        <f t="shared" si="0"/>
        <v>5000</v>
      </c>
    </row>
    <row r="21" spans="1:3" x14ac:dyDescent="0.35">
      <c r="A21" s="309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I55" activePane="bottomRight" state="frozen"/>
      <selection pane="topRight" activeCell="C1" sqref="C1"/>
      <selection pane="bottomLeft" activeCell="A9" sqref="A9"/>
      <selection pane="bottomRight" activeCell="S64" sqref="S64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319" t="s">
        <v>208</v>
      </c>
      <c r="B1" s="320"/>
      <c r="C1" s="35"/>
      <c r="H1"/>
      <c r="I1" s="250"/>
      <c r="J1" s="327" t="s">
        <v>282</v>
      </c>
      <c r="V1" s="314"/>
      <c r="W1" s="314"/>
      <c r="X1" s="314"/>
      <c r="Y1" s="314"/>
    </row>
    <row r="2" spans="1:27" x14ac:dyDescent="0.35">
      <c r="A2" s="321" t="s">
        <v>192</v>
      </c>
      <c r="B2" s="126"/>
      <c r="C2" t="s">
        <v>193</v>
      </c>
      <c r="I2" s="251"/>
      <c r="J2" s="327"/>
    </row>
    <row r="3" spans="1:27" x14ac:dyDescent="0.35">
      <c r="A3" s="322"/>
      <c r="B3" s="127"/>
      <c r="C3" t="s">
        <v>194</v>
      </c>
      <c r="I3" s="251"/>
      <c r="J3" s="327"/>
    </row>
    <row r="4" spans="1:27" x14ac:dyDescent="0.35">
      <c r="A4" s="322"/>
      <c r="B4" s="128"/>
      <c r="C4" t="s">
        <v>195</v>
      </c>
    </row>
    <row r="5" spans="1:27" x14ac:dyDescent="0.35">
      <c r="A5" s="323"/>
      <c r="B5" s="129"/>
      <c r="C5" t="s">
        <v>182</v>
      </c>
    </row>
    <row r="7" spans="1:27" x14ac:dyDescent="0.35">
      <c r="C7" s="324" t="s">
        <v>160</v>
      </c>
      <c r="D7" s="325"/>
      <c r="E7" s="325"/>
      <c r="F7" s="326"/>
      <c r="G7" s="324" t="s">
        <v>166</v>
      </c>
      <c r="H7" s="325"/>
      <c r="I7" s="325"/>
      <c r="J7" s="326"/>
      <c r="K7" s="324" t="s">
        <v>177</v>
      </c>
      <c r="L7" s="325"/>
      <c r="M7" s="325"/>
      <c r="N7" s="325"/>
      <c r="O7" s="324" t="s">
        <v>272</v>
      </c>
      <c r="P7" s="325"/>
      <c r="Q7" s="325"/>
      <c r="R7" s="325"/>
      <c r="S7" s="324" t="s">
        <v>276</v>
      </c>
      <c r="T7" s="325"/>
      <c r="U7" s="325"/>
      <c r="V7" s="325"/>
      <c r="W7" s="324" t="s">
        <v>277</v>
      </c>
      <c r="X7" s="325"/>
      <c r="Y7" s="325"/>
      <c r="Z7" s="325"/>
      <c r="AA7" s="231" t="s">
        <v>278</v>
      </c>
    </row>
    <row r="8" spans="1:27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>
        <v>200.67100000000011</v>
      </c>
      <c r="E10">
        <v>156.16</v>
      </c>
      <c r="F10">
        <v>205.22800000000001</v>
      </c>
      <c r="G10">
        <v>213.05988737442189</v>
      </c>
      <c r="H10">
        <v>220.89177474884389</v>
      </c>
      <c r="I10">
        <v>228.723662123266</v>
      </c>
      <c r="J10">
        <v>236.55554949768791</v>
      </c>
      <c r="K10">
        <v>234.20095430933171</v>
      </c>
      <c r="L10">
        <v>231.84635912097539</v>
      </c>
      <c r="M10">
        <v>229.49176393261911</v>
      </c>
      <c r="N10">
        <v>227.13716874426279</v>
      </c>
      <c r="O10">
        <v>224.80568263613071</v>
      </c>
      <c r="P10">
        <v>222.4741965279984</v>
      </c>
      <c r="Q10">
        <v>220.14271041986621</v>
      </c>
      <c r="R10">
        <v>217.81122431173389</v>
      </c>
      <c r="S10">
        <v>220.26562871801039</v>
      </c>
      <c r="T10">
        <v>222.7200331242868</v>
      </c>
      <c r="U10">
        <v>225.17443753056341</v>
      </c>
      <c r="V10">
        <v>227.62884193683999</v>
      </c>
      <c r="W10">
        <v>230.7380036161324</v>
      </c>
      <c r="X10">
        <v>233.8471652954247</v>
      </c>
      <c r="Y10">
        <v>236.9563269747172</v>
      </c>
      <c r="Z10">
        <v>240.0654886540095</v>
      </c>
      <c r="AA10">
        <v>243.3008699286211</v>
      </c>
    </row>
    <row r="11" spans="1:27" x14ac:dyDescent="0.35">
      <c r="B11" s="86" t="s">
        <v>172</v>
      </c>
      <c r="D11">
        <v>186.02099999999999</v>
      </c>
      <c r="E11">
        <v>436.94400000000019</v>
      </c>
      <c r="F11">
        <v>875.8370000000001</v>
      </c>
      <c r="G11">
        <v>853.37353126596815</v>
      </c>
      <c r="H11">
        <v>830.91985713818588</v>
      </c>
      <c r="I11">
        <v>808.47600210316944</v>
      </c>
      <c r="J11">
        <v>789.98929054816381</v>
      </c>
      <c r="K11">
        <v>809.82173278252503</v>
      </c>
      <c r="L11">
        <v>833.74022244575849</v>
      </c>
      <c r="M11">
        <v>858.68045768077434</v>
      </c>
      <c r="N11">
        <v>881.93997137262988</v>
      </c>
      <c r="O11">
        <v>903.30646404548429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x14ac:dyDescent="0.35">
      <c r="B12" s="86" t="s">
        <v>173</v>
      </c>
      <c r="D12">
        <v>1862.4</v>
      </c>
      <c r="E12">
        <v>1779.8</v>
      </c>
      <c r="F12">
        <v>1836.9</v>
      </c>
      <c r="G12">
        <v>1874.0452162092181</v>
      </c>
      <c r="H12">
        <v>1905.1260939927499</v>
      </c>
      <c r="I12">
        <v>1935.420345675816</v>
      </c>
      <c r="J12">
        <v>1967.800071206628</v>
      </c>
      <c r="K12">
        <v>1989.487169860176</v>
      </c>
      <c r="L12">
        <v>2009.335758674262</v>
      </c>
      <c r="M12">
        <v>2028.983117555671</v>
      </c>
      <c r="N12">
        <v>2049.5268643190061</v>
      </c>
      <c r="O12">
        <v>2070.3724559813568</v>
      </c>
      <c r="P12">
        <v>2091.3278094251682</v>
      </c>
      <c r="Q12">
        <v>2111.4142154324181</v>
      </c>
      <c r="R12">
        <v>2132.9366714137759</v>
      </c>
      <c r="S12">
        <v>2155.68480062144</v>
      </c>
      <c r="T12">
        <v>2179.5945753495598</v>
      </c>
      <c r="U12">
        <v>2203.083596582082</v>
      </c>
      <c r="V12">
        <v>2226.3713878819258</v>
      </c>
      <c r="W12">
        <v>2250.0890794924908</v>
      </c>
      <c r="X12">
        <v>2274.950122993268</v>
      </c>
      <c r="Y12">
        <v>2300.103864577939</v>
      </c>
      <c r="Z12">
        <v>2325.5045701708959</v>
      </c>
      <c r="AA12">
        <v>2351.124799326773</v>
      </c>
    </row>
    <row r="13" spans="1:27" x14ac:dyDescent="0.35">
      <c r="B13" s="86" t="s">
        <v>174</v>
      </c>
      <c r="D13">
        <v>62.7</v>
      </c>
      <c r="E13">
        <v>54.2</v>
      </c>
      <c r="F13">
        <v>79.099999999999994</v>
      </c>
      <c r="G13">
        <v>80.69953541409393</v>
      </c>
      <c r="H13">
        <v>82.037930227462851</v>
      </c>
      <c r="I13">
        <v>83.342451599410424</v>
      </c>
      <c r="J13">
        <v>84.736776978847132</v>
      </c>
      <c r="K13">
        <v>85.670659881289055</v>
      </c>
      <c r="L13">
        <v>86.525373461339257</v>
      </c>
      <c r="M13">
        <v>87.371421742421205</v>
      </c>
      <c r="N13">
        <v>88.256069991634433</v>
      </c>
      <c r="O13">
        <v>89.15371618930007</v>
      </c>
      <c r="P13">
        <v>90.056088913675637</v>
      </c>
      <c r="Q13">
        <v>90.921043301597379</v>
      </c>
      <c r="R13">
        <v>91.847836413974392</v>
      </c>
      <c r="S13">
        <v>92.827409074612547</v>
      </c>
      <c r="T13">
        <v>93.857004142931061</v>
      </c>
      <c r="U13">
        <v>94.868480858861446</v>
      </c>
      <c r="V13">
        <v>95.871292275823549</v>
      </c>
      <c r="W13">
        <v>96.892615922399656</v>
      </c>
      <c r="X13">
        <v>97.963174222204472</v>
      </c>
      <c r="Y13">
        <v>99.046336593235807</v>
      </c>
      <c r="Z13">
        <v>100.1401336493646</v>
      </c>
      <c r="AA13">
        <v>101.2433837589132</v>
      </c>
    </row>
    <row r="14" spans="1:27" x14ac:dyDescent="0.35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x14ac:dyDescent="0.35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1626.2298482587289</v>
      </c>
      <c r="Y15">
        <v>1663.2977921201521</v>
      </c>
      <c r="Z15">
        <v>1700.365735981575</v>
      </c>
      <c r="AA15">
        <v>1728.0518698642729</v>
      </c>
    </row>
    <row r="16" spans="1:27" x14ac:dyDescent="0.35">
      <c r="B16" s="86" t="s">
        <v>167</v>
      </c>
      <c r="D16">
        <v>1574.779</v>
      </c>
      <c r="E16">
        <v>3697.6560000000009</v>
      </c>
      <c r="F16">
        <v>1914.2629999999999</v>
      </c>
      <c r="G16">
        <v>1652.519124685555</v>
      </c>
      <c r="H16">
        <v>1447.016042358189</v>
      </c>
      <c r="I16">
        <v>1282.003150290248</v>
      </c>
      <c r="J16">
        <v>1167.646687976573</v>
      </c>
      <c r="K16">
        <v>1195.5066238196489</v>
      </c>
      <c r="L16">
        <v>1200.816625555186</v>
      </c>
      <c r="M16">
        <v>1191.784739361826</v>
      </c>
      <c r="N16">
        <v>1162.893938837019</v>
      </c>
      <c r="O16">
        <v>1162.3330694430681</v>
      </c>
      <c r="P16">
        <v>1162.3330694430681</v>
      </c>
      <c r="Q16">
        <v>1162.3330694430681</v>
      </c>
      <c r="R16">
        <v>1162.3330694430681</v>
      </c>
      <c r="S16">
        <v>1162.3330694430681</v>
      </c>
      <c r="T16">
        <v>1162.3330694430681</v>
      </c>
      <c r="U16">
        <v>1162.3330694430681</v>
      </c>
      <c r="V16">
        <v>1162.3330694430681</v>
      </c>
      <c r="W16">
        <v>1162.3330694430681</v>
      </c>
      <c r="X16">
        <v>1162.3330694430681</v>
      </c>
      <c r="Y16">
        <v>1162.3330694430681</v>
      </c>
      <c r="Z16">
        <v>1162.3330694430681</v>
      </c>
      <c r="AA16">
        <v>1162.3330694430681</v>
      </c>
    </row>
    <row r="17" spans="1:28" x14ac:dyDescent="0.35">
      <c r="B17" s="86" t="s">
        <v>168</v>
      </c>
      <c r="D17">
        <v>3376.8</v>
      </c>
      <c r="E17">
        <v>3105.7</v>
      </c>
      <c r="F17">
        <v>3266.7</v>
      </c>
      <c r="G17">
        <v>3295.9886094398548</v>
      </c>
      <c r="H17">
        <v>3325.2772188797112</v>
      </c>
      <c r="I17">
        <v>3354.5658283195671</v>
      </c>
      <c r="J17">
        <v>3383.854437759423</v>
      </c>
      <c r="K17">
        <v>3432.4099094471171</v>
      </c>
      <c r="L17">
        <v>3480.965381134813</v>
      </c>
      <c r="M17">
        <v>3529.5208528225089</v>
      </c>
      <c r="N17">
        <v>3578.076324510203</v>
      </c>
      <c r="O17">
        <v>3625.0763484493041</v>
      </c>
      <c r="P17">
        <v>3672.0763723884052</v>
      </c>
      <c r="Q17">
        <v>3719.0763963275049</v>
      </c>
      <c r="R17">
        <v>3766.0764202666069</v>
      </c>
      <c r="S17">
        <v>3801.6062968575611</v>
      </c>
      <c r="T17">
        <v>3837.1361734485149</v>
      </c>
      <c r="U17">
        <v>3872.6660500394692</v>
      </c>
      <c r="V17">
        <v>3908.1959266304229</v>
      </c>
      <c r="W17">
        <v>3947.8055767507321</v>
      </c>
      <c r="X17">
        <v>3987.4152268710432</v>
      </c>
      <c r="Y17">
        <v>4027.0248769913519</v>
      </c>
      <c r="Z17">
        <v>4066.6345271116629</v>
      </c>
      <c r="AA17">
        <v>4112.6452877858992</v>
      </c>
    </row>
    <row r="18" spans="1:28" x14ac:dyDescent="0.35">
      <c r="B18" s="86" t="s">
        <v>169</v>
      </c>
      <c r="D18">
        <v>180.5</v>
      </c>
      <c r="E18">
        <v>171.5</v>
      </c>
      <c r="F18">
        <v>205.3</v>
      </c>
      <c r="G18">
        <v>215.4316552197742</v>
      </c>
      <c r="H18">
        <v>225.5633104395485</v>
      </c>
      <c r="I18">
        <v>235.69496565932261</v>
      </c>
      <c r="J18">
        <v>245.82662087909691</v>
      </c>
      <c r="K18">
        <v>288.77645688803358</v>
      </c>
      <c r="L18">
        <v>331.72629289697022</v>
      </c>
      <c r="M18">
        <v>374.67612890590692</v>
      </c>
      <c r="N18">
        <v>417.62596491484362</v>
      </c>
      <c r="O18">
        <v>442.24719184641708</v>
      </c>
      <c r="P18">
        <v>466.86841877799071</v>
      </c>
      <c r="Q18">
        <v>491.48964570956429</v>
      </c>
      <c r="R18">
        <v>516.1108726411378</v>
      </c>
      <c r="S18">
        <v>529.32381837971764</v>
      </c>
      <c r="T18">
        <v>542.53676411829747</v>
      </c>
      <c r="U18">
        <v>555.7497098568773</v>
      </c>
      <c r="V18">
        <v>568.96265559545702</v>
      </c>
      <c r="W18">
        <v>581.64347953735432</v>
      </c>
      <c r="X18">
        <v>594.32430347925151</v>
      </c>
      <c r="Y18">
        <v>607.0051274211487</v>
      </c>
      <c r="Z18">
        <v>619.68595136304589</v>
      </c>
      <c r="AA18">
        <v>621.89294105808938</v>
      </c>
    </row>
    <row r="19" spans="1:28" x14ac:dyDescent="0.35">
      <c r="B19" s="86" t="s">
        <v>170</v>
      </c>
      <c r="D19">
        <v>74.5</v>
      </c>
      <c r="E19">
        <v>1085.9000000000001</v>
      </c>
      <c r="F19">
        <v>1212.7</v>
      </c>
      <c r="G19">
        <v>1216.671484401355</v>
      </c>
      <c r="H19">
        <v>1220.7940236769309</v>
      </c>
      <c r="I19">
        <v>1225.20608479476</v>
      </c>
      <c r="J19">
        <v>1229.970607285768</v>
      </c>
      <c r="K19">
        <v>1235.106473009233</v>
      </c>
      <c r="L19">
        <v>1240.437451278565</v>
      </c>
      <c r="M19">
        <v>1245.8565448911911</v>
      </c>
      <c r="N19">
        <v>1251.3448719878349</v>
      </c>
      <c r="O19">
        <v>1256.902432568495</v>
      </c>
      <c r="P19">
        <v>1262.5418145393589</v>
      </c>
      <c r="Q19">
        <v>1268.206372322592</v>
      </c>
      <c r="R19">
        <v>1273.9527514960271</v>
      </c>
      <c r="S19">
        <v>1279.7809520596641</v>
      </c>
      <c r="T19">
        <v>1285.6720921542269</v>
      </c>
      <c r="U19">
        <v>1291.5758201549741</v>
      </c>
      <c r="V19">
        <v>1297.511017921184</v>
      </c>
      <c r="W19">
        <v>1303.4776854528559</v>
      </c>
      <c r="X19">
        <v>1309.456940890713</v>
      </c>
      <c r="Y19">
        <v>1315.4047265631079</v>
      </c>
      <c r="Z19">
        <v>1321.3588061885951</v>
      </c>
      <c r="AA19">
        <v>1327.3128858140831</v>
      </c>
    </row>
    <row r="20" spans="1:28" x14ac:dyDescent="0.35">
      <c r="B20" t="s">
        <v>196</v>
      </c>
      <c r="D20">
        <v>204.37100000000001</v>
      </c>
      <c r="E20">
        <v>884.2600000000001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244.4440181553536</v>
      </c>
      <c r="P20">
        <v>257.44254207870313</v>
      </c>
      <c r="Q20">
        <v>269.82423671275291</v>
      </c>
      <c r="R20">
        <v>282.9579189609679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main!N106/1000</f>
        <v>180.96849738041689</v>
      </c>
      <c r="G24" s="149">
        <f>main!O106/1000</f>
        <v>184.23202564747211</v>
      </c>
      <c r="H24" s="104">
        <f>main!P106/1000</f>
        <v>186.07045989832829</v>
      </c>
      <c r="I24" s="104">
        <f>main!Q106/1000</f>
        <v>186.07045989832829</v>
      </c>
      <c r="J24" s="104">
        <f>main!R106/1000</f>
        <v>186.07045989832829</v>
      </c>
      <c r="K24" s="149">
        <f>main!S106/1000</f>
        <v>186.07045989832829</v>
      </c>
      <c r="L24" s="104">
        <f>main!T106/1000</f>
        <v>229.0097967979425</v>
      </c>
      <c r="M24" s="232">
        <f>main!U106/1000</f>
        <v>229.0097967979425</v>
      </c>
      <c r="N24" s="104">
        <f>M24*(1+N26)</f>
        <v>226.66014661273928</v>
      </c>
      <c r="O24" s="149">
        <f t="shared" ref="O24:AA24" si="0">N24*(1+O26)</f>
        <v>224.33355697522481</v>
      </c>
      <c r="P24" s="104">
        <f t="shared" si="0"/>
        <v>222.00696733771008</v>
      </c>
      <c r="Q24" s="104">
        <f t="shared" si="0"/>
        <v>219.68037770019546</v>
      </c>
      <c r="R24" s="104">
        <f t="shared" si="0"/>
        <v>217.35378806268074</v>
      </c>
      <c r="S24" s="149">
        <f t="shared" si="0"/>
        <v>219.80303785147223</v>
      </c>
      <c r="T24" s="104">
        <f t="shared" si="0"/>
        <v>222.25228764026366</v>
      </c>
      <c r="U24" s="104">
        <f t="shared" si="0"/>
        <v>224.70153742905526</v>
      </c>
      <c r="V24" s="104">
        <f t="shared" si="0"/>
        <v>227.15078721784687</v>
      </c>
      <c r="W24" s="149">
        <f t="shared" si="0"/>
        <v>230.2534191911484</v>
      </c>
      <c r="X24" s="104">
        <f t="shared" si="0"/>
        <v>233.35605116444981</v>
      </c>
      <c r="Y24" s="104">
        <f t="shared" si="0"/>
        <v>236.45868313775139</v>
      </c>
      <c r="Z24" s="104">
        <f t="shared" si="0"/>
        <v>239.56131511105278</v>
      </c>
      <c r="AA24" s="149">
        <f t="shared" si="0"/>
        <v>242.78990159958667</v>
      </c>
      <c r="AB24" s="95"/>
    </row>
    <row r="25" spans="1:28" x14ac:dyDescent="0.35">
      <c r="B25" t="s">
        <v>178</v>
      </c>
      <c r="D25" s="102">
        <f t="shared" ref="D25:AA25" si="1">D10</f>
        <v>200.67100000000011</v>
      </c>
      <c r="E25" s="104">
        <f t="shared" si="1"/>
        <v>156.16</v>
      </c>
      <c r="F25" s="104">
        <f t="shared" si="1"/>
        <v>205.22800000000001</v>
      </c>
      <c r="G25" s="149">
        <f t="shared" si="1"/>
        <v>213.05988737442189</v>
      </c>
      <c r="H25" s="104">
        <f t="shared" si="1"/>
        <v>220.89177474884389</v>
      </c>
      <c r="I25" s="104">
        <f t="shared" si="1"/>
        <v>228.723662123266</v>
      </c>
      <c r="J25" s="104">
        <f t="shared" si="1"/>
        <v>236.55554949768791</v>
      </c>
      <c r="K25" s="149">
        <f t="shared" si="1"/>
        <v>234.20095430933171</v>
      </c>
      <c r="L25" s="104">
        <f t="shared" si="1"/>
        <v>231.84635912097539</v>
      </c>
      <c r="M25" s="232">
        <f t="shared" si="1"/>
        <v>229.49176393261911</v>
      </c>
      <c r="N25" s="104">
        <f t="shared" si="1"/>
        <v>227.13716874426279</v>
      </c>
      <c r="O25" s="149">
        <f t="shared" si="1"/>
        <v>224.80568263613071</v>
      </c>
      <c r="P25" s="104">
        <f t="shared" si="1"/>
        <v>222.4741965279984</v>
      </c>
      <c r="Q25" s="104">
        <f t="shared" si="1"/>
        <v>220.14271041986621</v>
      </c>
      <c r="R25" s="104">
        <f t="shared" si="1"/>
        <v>217.81122431173389</v>
      </c>
      <c r="S25" s="149">
        <f t="shared" si="1"/>
        <v>220.26562871801039</v>
      </c>
      <c r="T25" s="104">
        <f t="shared" si="1"/>
        <v>222.7200331242868</v>
      </c>
      <c r="U25" s="104">
        <f t="shared" si="1"/>
        <v>225.17443753056341</v>
      </c>
      <c r="V25" s="104">
        <f t="shared" si="1"/>
        <v>227.62884193683999</v>
      </c>
      <c r="W25" s="149">
        <f t="shared" si="1"/>
        <v>230.7380036161324</v>
      </c>
      <c r="X25" s="104">
        <f t="shared" si="1"/>
        <v>233.8471652954247</v>
      </c>
      <c r="Y25" s="104">
        <f t="shared" si="1"/>
        <v>236.9563269747172</v>
      </c>
      <c r="Z25" s="104">
        <f t="shared" si="1"/>
        <v>240.0654886540095</v>
      </c>
      <c r="AA25" s="149">
        <f t="shared" si="1"/>
        <v>243.3008699286211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-1.0260042225513799E-2</v>
      </c>
      <c r="O26" s="256">
        <f t="shared" ref="O26" si="3">(O25/N25)-1</f>
        <v>-1.0264661310263712E-2</v>
      </c>
      <c r="P26" s="239">
        <f t="shared" ref="P26" si="4">(P25/O25)-1</f>
        <v>-1.0371117316932077E-2</v>
      </c>
      <c r="Q26" s="239">
        <f t="shared" ref="Q26" si="5">(Q25/P25)-1</f>
        <v>-1.0479804599895615E-2</v>
      </c>
      <c r="R26" s="239">
        <f t="shared" ref="R26" si="6">(R25/Q25)-1</f>
        <v>-1.0590794052120045E-2</v>
      </c>
      <c r="S26" s="256">
        <f t="shared" ref="S26" si="7">(S25/R25)-1</f>
        <v>1.126849368774363E-2</v>
      </c>
      <c r="T26" s="239">
        <f t="shared" ref="T26" si="8">(T25/S25)-1</f>
        <v>1.1142929655260092E-2</v>
      </c>
      <c r="U26" s="239">
        <f t="shared" ref="U26" si="9">(U25/T25)-1</f>
        <v>1.1020133087475514E-2</v>
      </c>
      <c r="V26" s="239">
        <f t="shared" ref="V26" si="10">(V25/U25)-1</f>
        <v>1.0900013488180482E-2</v>
      </c>
      <c r="W26" s="256">
        <f t="shared" ref="W26" si="11">(W25/V25)-1</f>
        <v>1.3658909182322043E-2</v>
      </c>
      <c r="X26" s="239">
        <f t="shared" ref="X26" si="12">(X25/W25)-1</f>
        <v>1.3474857329808909E-2</v>
      </c>
      <c r="Y26" s="239">
        <f t="shared" ref="Y26" si="13">(Y25/X25)-1</f>
        <v>1.3295699673607775E-2</v>
      </c>
      <c r="Z26" s="239">
        <f t="shared" ref="Z26" si="14">(Z25/Y25)-1</f>
        <v>1.3121243559890416E-2</v>
      </c>
      <c r="AA26" s="256">
        <f t="shared" ref="AA26" si="15">(AA25/Z25)-1</f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" si="16">F24-F25</f>
        <v>-24.259502619583117</v>
      </c>
      <c r="G27" s="150">
        <f t="shared" ref="G27" si="17">G24-G25</f>
        <v>-28.827861726949777</v>
      </c>
      <c r="H27" s="225">
        <f t="shared" ref="H27" si="18">H24-H25</f>
        <v>-34.821314850515591</v>
      </c>
      <c r="I27" s="225">
        <f t="shared" ref="I27" si="19">I24-I25</f>
        <v>-42.653202224937701</v>
      </c>
      <c r="J27" s="225">
        <f t="shared" ref="J27" si="20">J24-J25</f>
        <v>-50.485089599359611</v>
      </c>
      <c r="K27" s="150">
        <f t="shared" ref="K27:AA27" si="21">K24-K25</f>
        <v>-48.130494411003411</v>
      </c>
      <c r="L27" s="225">
        <f t="shared" si="21"/>
        <v>-2.8365623230328936</v>
      </c>
      <c r="M27" s="249">
        <f t="shared" si="21"/>
        <v>-0.48196713467660857</v>
      </c>
      <c r="N27" s="225">
        <f t="shared" si="21"/>
        <v>-0.47702213152351192</v>
      </c>
      <c r="O27" s="150">
        <f t="shared" si="21"/>
        <v>-0.47212566090590258</v>
      </c>
      <c r="P27" s="225">
        <f t="shared" si="21"/>
        <v>-0.46722919028832166</v>
      </c>
      <c r="Q27" s="225">
        <f t="shared" si="21"/>
        <v>-0.46233271967074074</v>
      </c>
      <c r="R27" s="225">
        <f t="shared" si="21"/>
        <v>-0.45743624905315983</v>
      </c>
      <c r="S27" s="150">
        <f t="shared" si="21"/>
        <v>-0.46259086653816439</v>
      </c>
      <c r="T27" s="225">
        <f t="shared" si="21"/>
        <v>-0.46774548402314053</v>
      </c>
      <c r="U27" s="225">
        <f t="shared" si="21"/>
        <v>-0.4729001015081451</v>
      </c>
      <c r="V27" s="225">
        <f t="shared" si="21"/>
        <v>-0.47805471899312124</v>
      </c>
      <c r="W27" s="150">
        <f t="shared" si="21"/>
        <v>-0.484584424984007</v>
      </c>
      <c r="X27" s="225">
        <f t="shared" si="21"/>
        <v>-0.49111413097489276</v>
      </c>
      <c r="Y27" s="225">
        <f t="shared" si="21"/>
        <v>-0.49764383696580694</v>
      </c>
      <c r="Z27" s="225">
        <f t="shared" si="21"/>
        <v>-0.50417354295672112</v>
      </c>
      <c r="AA27" s="150">
        <f t="shared" si="21"/>
        <v>-0.51096832903442646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main!L107/1000</f>
        <v>420.935</v>
      </c>
      <c r="F31" s="104">
        <f>main!M107/1000</f>
        <v>284.77699999999999</v>
      </c>
      <c r="G31" s="104">
        <f>main!N107/1000</f>
        <v>222.96728749999997</v>
      </c>
      <c r="H31" s="104">
        <f>main!O107/1000</f>
        <v>203.32470571875001</v>
      </c>
      <c r="I31" s="104">
        <f>main!P107/1000</f>
        <v>187.68301748304685</v>
      </c>
      <c r="J31" s="104">
        <f>main!Q107/1000</f>
        <v>188.40143257046211</v>
      </c>
      <c r="K31" s="104">
        <f>main!R107/1000</f>
        <v>189.48444331474056</v>
      </c>
      <c r="L31" s="104">
        <f>main!S107/1000</f>
        <v>190.9392877478879</v>
      </c>
      <c r="M31" s="104">
        <f>L31*(1 + M33)</f>
        <v>196.65098381800107</v>
      </c>
      <c r="N31" s="104">
        <f t="shared" ref="N31:AA31" si="22">M31*(1 + N33)</f>
        <v>201.97776889819923</v>
      </c>
      <c r="O31" s="104">
        <f t="shared" si="22"/>
        <v>206.87102315509182</v>
      </c>
      <c r="P31" s="104">
        <f t="shared" si="22"/>
        <v>242.86745193625453</v>
      </c>
      <c r="Q31" s="104">
        <f t="shared" si="22"/>
        <v>248.29908348315789</v>
      </c>
      <c r="R31" s="104">
        <f t="shared" si="22"/>
        <v>253.69726106343799</v>
      </c>
      <c r="S31" s="104">
        <f t="shared" si="22"/>
        <v>255.39580771558369</v>
      </c>
      <c r="T31" s="104">
        <f t="shared" si="22"/>
        <v>257.29507816747167</v>
      </c>
      <c r="U31" s="104">
        <f t="shared" si="22"/>
        <v>259.37834543578697</v>
      </c>
      <c r="V31" s="104">
        <f t="shared" si="22"/>
        <v>261.72924443708905</v>
      </c>
      <c r="W31" s="104">
        <f t="shared" si="22"/>
        <v>263.61960136232727</v>
      </c>
      <c r="X31" s="104">
        <f t="shared" si="22"/>
        <v>265.47650432094213</v>
      </c>
      <c r="Y31" s="104">
        <f t="shared" si="22"/>
        <v>267.46722314604807</v>
      </c>
      <c r="Z31" s="104">
        <f t="shared" si="22"/>
        <v>269.60848482096026</v>
      </c>
      <c r="AA31" s="104">
        <f t="shared" si="22"/>
        <v>271.78510869668298</v>
      </c>
      <c r="AB31" s="95"/>
    </row>
    <row r="32" spans="1:28" x14ac:dyDescent="0.35">
      <c r="B32" t="s">
        <v>178</v>
      </c>
      <c r="D32" s="102">
        <f t="shared" ref="D32:AA32" si="23">D11</f>
        <v>186.02099999999999</v>
      </c>
      <c r="E32" s="104">
        <f t="shared" si="23"/>
        <v>436.94400000000019</v>
      </c>
      <c r="F32" s="104">
        <f t="shared" si="23"/>
        <v>875.8370000000001</v>
      </c>
      <c r="G32" s="149">
        <f t="shared" si="23"/>
        <v>853.37353126596815</v>
      </c>
      <c r="H32" s="104">
        <f t="shared" si="23"/>
        <v>830.91985713818588</v>
      </c>
      <c r="I32" s="104">
        <f t="shared" si="23"/>
        <v>808.47600210316944</v>
      </c>
      <c r="J32" s="104">
        <f t="shared" si="23"/>
        <v>789.98929054816381</v>
      </c>
      <c r="K32" s="149">
        <f t="shared" si="23"/>
        <v>809.82173278252503</v>
      </c>
      <c r="L32" s="232">
        <f t="shared" si="23"/>
        <v>833.74022244575849</v>
      </c>
      <c r="M32" s="104">
        <f t="shared" si="23"/>
        <v>858.68045768077434</v>
      </c>
      <c r="N32" s="104">
        <f t="shared" si="23"/>
        <v>881.93997137262988</v>
      </c>
      <c r="O32" s="149">
        <f t="shared" si="23"/>
        <v>903.30646404548429</v>
      </c>
      <c r="P32" s="104">
        <f t="shared" si="23"/>
        <v>1060.4855909462101</v>
      </c>
      <c r="Q32" s="104">
        <f t="shared" si="23"/>
        <v>1084.2029188339</v>
      </c>
      <c r="R32" s="104">
        <f t="shared" si="23"/>
        <v>1107.7741693066</v>
      </c>
      <c r="S32" s="149">
        <f t="shared" si="23"/>
        <v>1115.1909072671201</v>
      </c>
      <c r="T32" s="104">
        <f t="shared" si="23"/>
        <v>1123.4841097175899</v>
      </c>
      <c r="U32" s="104">
        <f t="shared" si="23"/>
        <v>1132.5807379505</v>
      </c>
      <c r="V32" s="104">
        <f t="shared" si="23"/>
        <v>1142.84598550333</v>
      </c>
      <c r="W32" s="149">
        <f t="shared" si="23"/>
        <v>1151.10026686124</v>
      </c>
      <c r="X32" s="104">
        <f t="shared" si="23"/>
        <v>1159.20847080416</v>
      </c>
      <c r="Y32" s="104">
        <f t="shared" si="23"/>
        <v>1167.9009844070299</v>
      </c>
      <c r="Z32" s="104">
        <f t="shared" si="23"/>
        <v>1177.2508463773599</v>
      </c>
      <c r="AA32" s="149">
        <f t="shared" si="23"/>
        <v>1186.75511810546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2.9913676422920199E-2</v>
      </c>
      <c r="N33" s="239">
        <f t="shared" ref="N33" si="25">(N32/M32)-1</f>
        <v>2.7087507912638031E-2</v>
      </c>
      <c r="O33" s="256">
        <f t="shared" ref="O33" si="26">(O32/N32)-1</f>
        <v>2.4226697242897499E-2</v>
      </c>
      <c r="P33" s="239">
        <f t="shared" ref="P33" si="27">(P32/O32)-1</f>
        <v>0.17400420915488035</v>
      </c>
      <c r="Q33" s="239">
        <f t="shared" ref="Q33" si="28">(Q32/P32)-1</f>
        <v>2.2364592305802233E-2</v>
      </c>
      <c r="R33" s="239">
        <f t="shared" ref="R33" si="29">(R32/Q32)-1</f>
        <v>2.1740626282441555E-2</v>
      </c>
      <c r="S33" s="256">
        <f t="shared" ref="S33" si="30">(S32/R32)-1</f>
        <v>6.6951714221343828E-3</v>
      </c>
      <c r="T33" s="239">
        <f t="shared" ref="T33" si="31">(T32/S32)-1</f>
        <v>7.4365764609694018E-3</v>
      </c>
      <c r="U33" s="239">
        <f t="shared" ref="U33" si="32">(U32/T32)-1</f>
        <v>8.0968018632650018E-3</v>
      </c>
      <c r="V33" s="239">
        <f t="shared" ref="V33" si="33">(V32/U32)-1</f>
        <v>9.0635900901916422E-3</v>
      </c>
      <c r="W33" s="256">
        <f t="shared" ref="W33" si="34">(W32/V32)-1</f>
        <v>7.2225666998118054E-3</v>
      </c>
      <c r="X33" s="239">
        <f t="shared" ref="X33" si="35">(X32/W32)-1</f>
        <v>7.0438728721946564E-3</v>
      </c>
      <c r="Y33" s="239">
        <f t="shared" ref="Y33" si="36">(Y32/X32)-1</f>
        <v>7.4986629426885276E-3</v>
      </c>
      <c r="Z33" s="239">
        <f t="shared" ref="Z33" si="37">(Z32/Y32)-1</f>
        <v>8.0056974822031446E-3</v>
      </c>
      <c r="AA33" s="256">
        <f t="shared" ref="AA33" si="38">(AA32/Z32)-1</f>
        <v>8.0732766150448665E-3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" si="39">F31-F32</f>
        <v>-591.06000000000017</v>
      </c>
      <c r="G34" s="150">
        <f t="shared" ref="G34" si="40">G31-G32</f>
        <v>-630.40624376596816</v>
      </c>
      <c r="H34" s="225">
        <f t="shared" ref="H34" si="41">H31-H32</f>
        <v>-627.59515141943587</v>
      </c>
      <c r="I34" s="225">
        <f t="shared" ref="I34" si="42">I31-I32</f>
        <v>-620.79298462012252</v>
      </c>
      <c r="J34" s="225">
        <f t="shared" ref="J34" si="43">J31-J32</f>
        <v>-601.58785797770167</v>
      </c>
      <c r="K34" s="150">
        <f t="shared" ref="K34:N34" si="44">K31-K32</f>
        <v>-620.33728946778444</v>
      </c>
      <c r="L34" s="249">
        <f t="shared" si="44"/>
        <v>-642.80093469787062</v>
      </c>
      <c r="M34" s="225">
        <f t="shared" si="44"/>
        <v>-662.02947386277333</v>
      </c>
      <c r="N34" s="225">
        <f t="shared" si="44"/>
        <v>-679.96220247443068</v>
      </c>
      <c r="O34" s="150">
        <f t="shared" ref="O34:AA34" si="45">O31-O32</f>
        <v>-696.43544089039244</v>
      </c>
      <c r="P34" s="150">
        <f t="shared" si="45"/>
        <v>-817.6181390099556</v>
      </c>
      <c r="Q34" s="150">
        <f t="shared" si="45"/>
        <v>-835.90383535074204</v>
      </c>
      <c r="R34" s="150">
        <f t="shared" si="45"/>
        <v>-854.07690824316205</v>
      </c>
      <c r="S34" s="150">
        <f t="shared" si="45"/>
        <v>-859.7950995515364</v>
      </c>
      <c r="T34" s="150">
        <f t="shared" si="45"/>
        <v>-866.18903155011822</v>
      </c>
      <c r="U34" s="150">
        <f t="shared" si="45"/>
        <v>-873.20239251471298</v>
      </c>
      <c r="V34" s="150">
        <f t="shared" si="45"/>
        <v>-881.11674106624093</v>
      </c>
      <c r="W34" s="150">
        <f t="shared" si="45"/>
        <v>-887.48066549891269</v>
      </c>
      <c r="X34" s="150">
        <f t="shared" si="45"/>
        <v>-893.73196648321789</v>
      </c>
      <c r="Y34" s="150">
        <f t="shared" si="45"/>
        <v>-900.43376126098178</v>
      </c>
      <c r="Z34" s="150">
        <f t="shared" si="45"/>
        <v>-907.64236155639969</v>
      </c>
      <c r="AA34" s="150">
        <f t="shared" si="45"/>
        <v>-914.97000940877706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main!N22</f>
        <v>1908.0455151906833</v>
      </c>
      <c r="H38" s="104">
        <f>main!O22</f>
        <v>1939.6902849913897</v>
      </c>
      <c r="I38" s="104">
        <f>main!P22</f>
        <v>1970.5341571455765</v>
      </c>
      <c r="J38" s="104">
        <f>main!Q22</f>
        <v>2003.5013393393667</v>
      </c>
      <c r="K38" s="149">
        <f>main!R22</f>
        <v>2025.581901198547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1836.9</v>
      </c>
      <c r="G39" s="149">
        <f t="shared" si="46"/>
        <v>1874.0452162092181</v>
      </c>
      <c r="H39" s="104">
        <f t="shared" si="46"/>
        <v>1905.1260939927499</v>
      </c>
      <c r="I39" s="104">
        <f t="shared" si="46"/>
        <v>1935.420345675816</v>
      </c>
      <c r="J39" s="104">
        <f t="shared" si="46"/>
        <v>1967.800071206628</v>
      </c>
      <c r="K39" s="149">
        <f t="shared" si="46"/>
        <v>1989.487169860176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179</v>
      </c>
      <c r="D40" s="103"/>
      <c r="E40" s="225"/>
      <c r="F40" s="225">
        <f>F38-F39</f>
        <v>34.448999999999842</v>
      </c>
      <c r="G40" s="150">
        <f t="shared" ref="G40:K40" si="47">G38-G39</f>
        <v>34.000298981465221</v>
      </c>
      <c r="H40" s="225">
        <f t="shared" si="47"/>
        <v>34.564190998639788</v>
      </c>
      <c r="I40" s="225">
        <f t="shared" si="47"/>
        <v>35.113811469760549</v>
      </c>
      <c r="J40" s="225">
        <f t="shared" si="47"/>
        <v>35.701268132738733</v>
      </c>
      <c r="K40" s="150">
        <f t="shared" si="47"/>
        <v>36.094731338371048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main!N26</f>
        <v>91.968791214359072</v>
      </c>
      <c r="H44" s="104">
        <f>main!O26</f>
        <v>93.494085660250093</v>
      </c>
      <c r="I44" s="104">
        <f>main!P26</f>
        <v>94.980776420930042</v>
      </c>
      <c r="J44" s="104">
        <f>main!Q26</f>
        <v>96.569811835425071</v>
      </c>
      <c r="K44" s="149">
        <f>main!R26</f>
        <v>97.634106459088585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79.099999999999994</v>
      </c>
      <c r="G45" s="149">
        <f t="shared" si="48"/>
        <v>80.69953541409393</v>
      </c>
      <c r="H45" s="104">
        <f t="shared" si="48"/>
        <v>82.037930227462851</v>
      </c>
      <c r="I45" s="104">
        <f t="shared" si="48"/>
        <v>83.342451599410424</v>
      </c>
      <c r="J45" s="104">
        <f t="shared" si="48"/>
        <v>84.736776978847132</v>
      </c>
      <c r="K45" s="149">
        <f t="shared" si="48"/>
        <v>85.670659881289055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179</v>
      </c>
      <c r="D46" s="103"/>
      <c r="E46" s="225"/>
      <c r="F46" s="225">
        <f>F44-F45</f>
        <v>11.100000000000009</v>
      </c>
      <c r="G46" s="150">
        <f t="shared" ref="G46:K46" si="49">G44-G45</f>
        <v>11.269255800265142</v>
      </c>
      <c r="H46" s="225">
        <f t="shared" si="49"/>
        <v>11.456155432787241</v>
      </c>
      <c r="I46" s="225">
        <f t="shared" si="49"/>
        <v>11.638324821519618</v>
      </c>
      <c r="J46" s="225">
        <f t="shared" si="49"/>
        <v>11.833034856577939</v>
      </c>
      <c r="K46" s="150">
        <f t="shared" si="49"/>
        <v>11.96344657779953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main!N89/1000</f>
        <v>1368.1173718507844</v>
      </c>
      <c r="H50" s="104">
        <f>main!O89/1000</f>
        <v>1387.852444352445</v>
      </c>
      <c r="I50" s="104">
        <f>main!P89/1000</f>
        <v>1403.6594096977371</v>
      </c>
      <c r="J50" s="232">
        <f>main!Q89/1000</f>
        <v>1414.3634046265693</v>
      </c>
      <c r="K50" s="149">
        <f>J50*(1+K52)</f>
        <v>1450.3441808569951</v>
      </c>
      <c r="L50" s="104">
        <f t="shared" ref="L50:AA50" si="50">K50*(1+L52)</f>
        <v>1486.3249570874207</v>
      </c>
      <c r="M50" s="104">
        <f t="shared" si="50"/>
        <v>1522.3057333178465</v>
      </c>
      <c r="N50" s="104">
        <f t="shared" si="50"/>
        <v>1558.2865095482723</v>
      </c>
      <c r="O50" s="149">
        <f t="shared" si="50"/>
        <v>1562.6926721108387</v>
      </c>
      <c r="P50" s="104">
        <f t="shared" si="50"/>
        <v>1567.0988346734046</v>
      </c>
      <c r="Q50" s="104">
        <f t="shared" si="50"/>
        <v>1571.5049972359707</v>
      </c>
      <c r="R50" s="104">
        <f t="shared" si="50"/>
        <v>1575.911159798537</v>
      </c>
      <c r="S50" s="149">
        <f t="shared" si="50"/>
        <v>1587.9120363908539</v>
      </c>
      <c r="T50" s="104">
        <f t="shared" si="50"/>
        <v>1599.9129129831708</v>
      </c>
      <c r="U50" s="104">
        <f t="shared" si="50"/>
        <v>1611.9137895754868</v>
      </c>
      <c r="V50" s="104">
        <f t="shared" si="50"/>
        <v>1623.9146661678049</v>
      </c>
      <c r="W50" s="149">
        <f t="shared" si="50"/>
        <v>1662.6978708008971</v>
      </c>
      <c r="X50" s="104">
        <f t="shared" si="50"/>
        <v>1701.4810754339903</v>
      </c>
      <c r="Y50" s="104">
        <f t="shared" si="50"/>
        <v>1740.2642800670826</v>
      </c>
      <c r="Z50" s="104">
        <f t="shared" si="50"/>
        <v>1779.0474847001749</v>
      </c>
      <c r="AA50" s="149">
        <f t="shared" si="50"/>
        <v>1808.0147508610942</v>
      </c>
      <c r="AB50" s="95"/>
    </row>
    <row r="51" spans="1:28" x14ac:dyDescent="0.35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1626.2298482587289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3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2.3325467190507654E-2</v>
      </c>
      <c r="Y52" s="239">
        <f t="shared" ref="Y52" si="66">(Y51/X51)-1</f>
        <v>2.2793791358037829E-2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35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47.561193892373922</v>
      </c>
      <c r="I53" s="225">
        <f t="shared" ref="I53" si="72">I50-I51</f>
        <v>57.608534007630169</v>
      </c>
      <c r="J53" s="249">
        <f t="shared" ref="J53" si="73">J50-J51</f>
        <v>62.552903706427287</v>
      </c>
      <c r="K53" s="150">
        <f t="shared" ref="K53:AA53" si="74">K50-K51</f>
        <v>64.144221767586032</v>
      </c>
      <c r="L53" s="225">
        <f t="shared" si="74"/>
        <v>65.735539828744777</v>
      </c>
      <c r="M53" s="225">
        <f t="shared" si="74"/>
        <v>67.326857889903522</v>
      </c>
      <c r="N53" s="225">
        <f t="shared" si="74"/>
        <v>68.918175951062267</v>
      </c>
      <c r="O53" s="150">
        <f t="shared" si="74"/>
        <v>69.113046846045563</v>
      </c>
      <c r="P53" s="225">
        <f t="shared" si="74"/>
        <v>69.307917741028632</v>
      </c>
      <c r="Q53" s="225">
        <f t="shared" si="74"/>
        <v>69.502788636011701</v>
      </c>
      <c r="R53" s="225">
        <f t="shared" si="74"/>
        <v>69.697659530994997</v>
      </c>
      <c r="S53" s="150">
        <f t="shared" si="74"/>
        <v>70.228421056227035</v>
      </c>
      <c r="T53" s="225">
        <f t="shared" si="74"/>
        <v>70.759182581458845</v>
      </c>
      <c r="U53" s="225">
        <f t="shared" si="74"/>
        <v>71.289944106690882</v>
      </c>
      <c r="V53" s="225">
        <f t="shared" si="74"/>
        <v>71.82070563192292</v>
      </c>
      <c r="W53" s="150">
        <f t="shared" si="74"/>
        <v>73.535966403592056</v>
      </c>
      <c r="X53" s="225">
        <f t="shared" si="74"/>
        <v>75.25122717526142</v>
      </c>
      <c r="Y53" s="225">
        <f t="shared" si="74"/>
        <v>76.966487946930556</v>
      </c>
      <c r="Z53" s="225">
        <f t="shared" si="74"/>
        <v>78.68174871859992</v>
      </c>
      <c r="AA53" s="150">
        <f t="shared" si="74"/>
        <v>79.962880996821241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190</v>
      </c>
      <c r="D57" s="102">
        <f>main!K88/1000</f>
        <v>1574.462</v>
      </c>
      <c r="E57" s="104">
        <f>main!L88/1000</f>
        <v>3713.565333333333</v>
      </c>
      <c r="F57" s="104">
        <f>main!M88/1000</f>
        <v>2509.0010000000002</v>
      </c>
      <c r="G57" s="149">
        <f>main!N88/1000</f>
        <v>1966.8823341534182</v>
      </c>
      <c r="H57" s="104">
        <f>main!O88/1000</f>
        <v>3089.2255068547402</v>
      </c>
      <c r="I57" s="104">
        <f>main!P88/1000</f>
        <v>1856.5115519714532</v>
      </c>
      <c r="J57" s="104">
        <f>main!Q88/1000</f>
        <v>1668.2677153316674</v>
      </c>
      <c r="K57" s="274">
        <f>main!R88/1000</f>
        <v>1664.5717310616424</v>
      </c>
      <c r="L57" s="104">
        <f>K57*(1+L59)</f>
        <v>1671.9651478815533</v>
      </c>
      <c r="M57" s="104">
        <f t="shared" ref="M57:AA57" si="75">L57*(1+M59)</f>
        <v>1659.3895400713695</v>
      </c>
      <c r="N57" s="104">
        <f t="shared" si="75"/>
        <v>1619.1632386162723</v>
      </c>
      <c r="O57" s="104">
        <f t="shared" si="75"/>
        <v>1618.3823083233012</v>
      </c>
      <c r="P57" s="104">
        <f t="shared" si="75"/>
        <v>1618.3823083233012</v>
      </c>
      <c r="Q57" s="104">
        <f t="shared" si="75"/>
        <v>1618.3823083233012</v>
      </c>
      <c r="R57" s="104">
        <f t="shared" si="75"/>
        <v>1618.3823083233012</v>
      </c>
      <c r="S57" s="104">
        <f t="shared" si="75"/>
        <v>1618.3823083233012</v>
      </c>
      <c r="T57" s="104">
        <f t="shared" si="75"/>
        <v>1618.3823083233012</v>
      </c>
      <c r="U57" s="104">
        <f t="shared" si="75"/>
        <v>1618.3823083233012</v>
      </c>
      <c r="V57" s="104">
        <f t="shared" si="75"/>
        <v>1618.3823083233012</v>
      </c>
      <c r="W57" s="104">
        <f t="shared" si="75"/>
        <v>1618.3823083233012</v>
      </c>
      <c r="X57" s="104">
        <f t="shared" si="75"/>
        <v>1618.3823083233012</v>
      </c>
      <c r="Y57" s="104">
        <f t="shared" si="75"/>
        <v>1618.3823083233012</v>
      </c>
      <c r="Z57" s="104">
        <f t="shared" si="75"/>
        <v>1618.3823083233012</v>
      </c>
      <c r="AA57" s="104">
        <f t="shared" si="75"/>
        <v>1618.3823083233012</v>
      </c>
      <c r="AB57" s="95"/>
    </row>
    <row r="58" spans="1:28" x14ac:dyDescent="0.35">
      <c r="B58" t="s">
        <v>178</v>
      </c>
      <c r="D58" s="102">
        <f t="shared" ref="D58:AA58" si="76">D16</f>
        <v>1574.779</v>
      </c>
      <c r="E58" s="104">
        <f t="shared" si="76"/>
        <v>3697.6560000000009</v>
      </c>
      <c r="F58" s="104">
        <f t="shared" si="76"/>
        <v>1914.2629999999999</v>
      </c>
      <c r="G58" s="149">
        <f t="shared" si="76"/>
        <v>1652.519124685555</v>
      </c>
      <c r="H58" s="104">
        <f t="shared" si="76"/>
        <v>1447.016042358189</v>
      </c>
      <c r="I58" s="104">
        <f t="shared" si="76"/>
        <v>1282.003150290248</v>
      </c>
      <c r="J58" s="104">
        <f t="shared" si="76"/>
        <v>1167.646687976573</v>
      </c>
      <c r="K58" s="274">
        <f t="shared" si="76"/>
        <v>1195.5066238196489</v>
      </c>
      <c r="L58" s="104">
        <f t="shared" si="76"/>
        <v>1200.816625555186</v>
      </c>
      <c r="M58" s="104">
        <f t="shared" si="76"/>
        <v>1191.784739361826</v>
      </c>
      <c r="N58" s="104">
        <f t="shared" si="76"/>
        <v>1162.893938837019</v>
      </c>
      <c r="O58" s="149">
        <f t="shared" si="76"/>
        <v>1162.3330694430681</v>
      </c>
      <c r="P58" s="104">
        <f t="shared" si="76"/>
        <v>1162.3330694430681</v>
      </c>
      <c r="Q58" s="104">
        <f t="shared" si="76"/>
        <v>1162.3330694430681</v>
      </c>
      <c r="R58" s="104">
        <f t="shared" si="76"/>
        <v>1162.3330694430681</v>
      </c>
      <c r="S58" s="149">
        <f t="shared" si="76"/>
        <v>1162.3330694430681</v>
      </c>
      <c r="T58" s="104">
        <f t="shared" si="76"/>
        <v>1162.3330694430681</v>
      </c>
      <c r="U58" s="104">
        <f t="shared" si="76"/>
        <v>1162.3330694430681</v>
      </c>
      <c r="V58" s="104">
        <f t="shared" si="76"/>
        <v>1162.3330694430681</v>
      </c>
      <c r="W58" s="149">
        <f t="shared" si="76"/>
        <v>1162.3330694430681</v>
      </c>
      <c r="X58" s="104">
        <f t="shared" si="76"/>
        <v>1162.3330694430681</v>
      </c>
      <c r="Y58" s="104">
        <f t="shared" si="76"/>
        <v>1162.3330694430681</v>
      </c>
      <c r="Z58" s="104">
        <f t="shared" si="76"/>
        <v>1162.3330694430681</v>
      </c>
      <c r="AA58" s="149">
        <f t="shared" si="76"/>
        <v>1162.3330694430681</v>
      </c>
      <c r="AB58" s="95"/>
    </row>
    <row r="59" spans="1:28" s="171" customFormat="1" ht="12" x14ac:dyDescent="0.3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4.4416330530829828E-3</v>
      </c>
      <c r="M59" s="239">
        <f t="shared" ref="M59" si="78">(M58/L58)-1</f>
        <v>-7.521453318639848E-3</v>
      </c>
      <c r="N59" s="239">
        <f t="shared" ref="N59" si="79">(N58/M58)-1</f>
        <v>-2.4241626504025726E-2</v>
      </c>
      <c r="O59" s="256">
        <f t="shared" ref="O59" si="80">(O58/N58)-1</f>
        <v>-4.82304856203708E-4</v>
      </c>
      <c r="P59" s="239">
        <f t="shared" ref="P59" si="81">(P58/O58)-1</f>
        <v>0</v>
      </c>
      <c r="Q59" s="239">
        <f t="shared" ref="Q59" si="82">(Q58/P58)-1</f>
        <v>0</v>
      </c>
      <c r="R59" s="239">
        <f t="shared" ref="R59" si="83">(R58/Q58)-1</f>
        <v>0</v>
      </c>
      <c r="S59" s="256">
        <f t="shared" ref="S59" si="84">(S58/R58)-1</f>
        <v>0</v>
      </c>
      <c r="T59" s="239">
        <f t="shared" ref="T59" si="85">(T58/S58)-1</f>
        <v>0</v>
      </c>
      <c r="U59" s="239">
        <f t="shared" ref="U59" si="86">(U58/T58)-1</f>
        <v>0</v>
      </c>
      <c r="V59" s="239">
        <f t="shared" ref="V59" si="87">(V58/U58)-1</f>
        <v>0</v>
      </c>
      <c r="W59" s="256">
        <f t="shared" ref="W59" si="88">(W58/V58)-1</f>
        <v>0</v>
      </c>
      <c r="X59" s="239">
        <f t="shared" ref="X59" si="89">(X58/W58)-1</f>
        <v>0</v>
      </c>
      <c r="Y59" s="239">
        <f t="shared" ref="Y59" si="90">(Y58/X58)-1</f>
        <v>0</v>
      </c>
      <c r="Z59" s="239">
        <f t="shared" ref="Z59" si="91">(Z58/Y58)-1</f>
        <v>0</v>
      </c>
      <c r="AA59" s="256">
        <f t="shared" ref="AA59" si="92">(AA58/Z58)-1</f>
        <v>0</v>
      </c>
      <c r="AB59" s="253"/>
    </row>
    <row r="60" spans="1:28" s="97" customFormat="1" x14ac:dyDescent="0.35">
      <c r="B60" s="99" t="s">
        <v>179</v>
      </c>
      <c r="D60" s="103"/>
      <c r="E60" s="225"/>
      <c r="F60" s="225">
        <f t="shared" ref="F60" si="93">F57-F58</f>
        <v>594.73800000000028</v>
      </c>
      <c r="G60" s="150">
        <f t="shared" ref="G60" si="94">G57-G58</f>
        <v>314.36320946786327</v>
      </c>
      <c r="H60" s="225">
        <f t="shared" ref="H60" si="95">H57-H58</f>
        <v>1642.2094644965512</v>
      </c>
      <c r="I60" s="225">
        <f t="shared" ref="I60" si="96">I57-I58</f>
        <v>574.50840168120521</v>
      </c>
      <c r="J60" s="225">
        <f t="shared" ref="J60" si="97">J57-J58</f>
        <v>500.62102735509438</v>
      </c>
      <c r="K60" s="275">
        <f t="shared" ref="K60" si="98">K57-K58</f>
        <v>469.06510724199347</v>
      </c>
      <c r="L60" s="225">
        <f t="shared" ref="L60:AA60" si="99">L57-L58</f>
        <v>471.14852232636736</v>
      </c>
      <c r="M60" s="225">
        <f t="shared" si="99"/>
        <v>467.6048007095435</v>
      </c>
      <c r="N60" s="225">
        <f t="shared" si="99"/>
        <v>456.26929977925329</v>
      </c>
      <c r="O60" s="150">
        <f t="shared" si="99"/>
        <v>456.04923888023313</v>
      </c>
      <c r="P60" s="225">
        <f t="shared" si="99"/>
        <v>456.04923888023313</v>
      </c>
      <c r="Q60" s="225">
        <f t="shared" si="99"/>
        <v>456.04923888023313</v>
      </c>
      <c r="R60" s="225">
        <f t="shared" si="99"/>
        <v>456.04923888023313</v>
      </c>
      <c r="S60" s="150">
        <f t="shared" si="99"/>
        <v>456.04923888023313</v>
      </c>
      <c r="T60" s="225">
        <f t="shared" si="99"/>
        <v>456.04923888023313</v>
      </c>
      <c r="U60" s="225">
        <f t="shared" si="99"/>
        <v>456.04923888023313</v>
      </c>
      <c r="V60" s="225">
        <f t="shared" si="99"/>
        <v>456.04923888023313</v>
      </c>
      <c r="W60" s="150">
        <f t="shared" si="99"/>
        <v>456.04923888023313</v>
      </c>
      <c r="X60" s="225">
        <f t="shared" si="99"/>
        <v>456.04923888023313</v>
      </c>
      <c r="Y60" s="225">
        <f t="shared" si="99"/>
        <v>456.04923888023313</v>
      </c>
      <c r="Z60" s="225">
        <f t="shared" si="99"/>
        <v>456.04923888023313</v>
      </c>
      <c r="AA60" s="150">
        <f t="shared" si="99"/>
        <v>456.04923888023313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main!N50/1000</f>
        <v>382.93200834658188</v>
      </c>
      <c r="H64" s="104">
        <f>main!O50/1000</f>
        <v>577.41691666666668</v>
      </c>
      <c r="I64" s="104">
        <f>main!P50/1000</f>
        <v>577.41691666666668</v>
      </c>
      <c r="J64" s="104">
        <f>main!Q50/1000</f>
        <v>577.41691666666668</v>
      </c>
      <c r="K64" s="149">
        <f>main!R50/1000</f>
        <v>122.75024999999999</v>
      </c>
      <c r="L64" s="232">
        <f>main!S50/1000</f>
        <v>77.330250000000007</v>
      </c>
      <c r="M64" s="240">
        <f>L64*(1+M66)</f>
        <v>77.668082321497423</v>
      </c>
      <c r="N64" s="240">
        <f>M64*(1+N66)</f>
        <v>78.010230735371735</v>
      </c>
      <c r="O64" s="257">
        <f>N64*(1+O66)</f>
        <v>78.35669524162283</v>
      </c>
      <c r="P64" s="240">
        <f>O64*(1+P66)</f>
        <v>78.708260584319405</v>
      </c>
      <c r="Q64" s="240">
        <f t="shared" ref="Q64:AA64" si="100">P64*(1+Q66)</f>
        <v>79.061395415152958</v>
      </c>
      <c r="R64" s="240">
        <f t="shared" si="100"/>
        <v>79.419631082431877</v>
      </c>
      <c r="S64" s="257">
        <f t="shared" si="100"/>
        <v>79.782967586156133</v>
      </c>
      <c r="T64" s="240">
        <f t="shared" si="100"/>
        <v>80.150227810223058</v>
      </c>
      <c r="U64" s="240">
        <f t="shared" si="100"/>
        <v>80.518272778358451</v>
      </c>
      <c r="V64" s="240">
        <f t="shared" si="100"/>
        <v>80.888279606665179</v>
      </c>
      <c r="W64" s="257">
        <f t="shared" si="100"/>
        <v>81.260248295143171</v>
      </c>
      <c r="X64" s="240">
        <f t="shared" si="100"/>
        <v>81.633001727689688</v>
      </c>
      <c r="Y64" s="240">
        <f t="shared" si="100"/>
        <v>82.003793300064928</v>
      </c>
      <c r="Z64" s="240">
        <f t="shared" si="100"/>
        <v>82.374977244474408</v>
      </c>
      <c r="AA64" s="257">
        <f t="shared" si="100"/>
        <v>82.746161188883946</v>
      </c>
      <c r="AB64" s="95"/>
    </row>
    <row r="65" spans="1:32" x14ac:dyDescent="0.35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1212.7</v>
      </c>
      <c r="G65" s="149">
        <f t="shared" si="101"/>
        <v>1216.671484401355</v>
      </c>
      <c r="H65" s="104">
        <f t="shared" si="101"/>
        <v>1220.7940236769309</v>
      </c>
      <c r="I65" s="104">
        <f t="shared" si="101"/>
        <v>1225.20608479476</v>
      </c>
      <c r="J65" s="104">
        <f t="shared" si="101"/>
        <v>1229.970607285768</v>
      </c>
      <c r="K65" s="149">
        <f t="shared" si="101"/>
        <v>1235.106473009233</v>
      </c>
      <c r="L65" s="232">
        <f t="shared" si="101"/>
        <v>1240.437451278565</v>
      </c>
      <c r="M65" s="104">
        <f t="shared" si="101"/>
        <v>1245.8565448911911</v>
      </c>
      <c r="N65" s="104">
        <f t="shared" si="101"/>
        <v>1251.3448719878349</v>
      </c>
      <c r="O65" s="149">
        <f t="shared" si="101"/>
        <v>1256.902432568495</v>
      </c>
      <c r="P65" s="104">
        <f t="shared" si="101"/>
        <v>1262.5418145393589</v>
      </c>
      <c r="Q65" s="104">
        <f t="shared" si="101"/>
        <v>1268.206372322592</v>
      </c>
      <c r="R65" s="104">
        <f t="shared" si="101"/>
        <v>1273.9527514960271</v>
      </c>
      <c r="S65" s="149">
        <f t="shared" si="101"/>
        <v>1279.7809520596641</v>
      </c>
      <c r="T65" s="104">
        <f t="shared" si="101"/>
        <v>1285.6720921542269</v>
      </c>
      <c r="U65" s="104">
        <f t="shared" si="101"/>
        <v>1291.5758201549741</v>
      </c>
      <c r="V65" s="104">
        <f t="shared" si="101"/>
        <v>1297.511017921184</v>
      </c>
      <c r="W65" s="149">
        <f t="shared" si="101"/>
        <v>1303.4776854528559</v>
      </c>
      <c r="X65" s="104">
        <f t="shared" si="101"/>
        <v>1309.456940890713</v>
      </c>
      <c r="Y65" s="104">
        <f t="shared" si="101"/>
        <v>1315.4047265631079</v>
      </c>
      <c r="Z65" s="104">
        <f t="shared" si="101"/>
        <v>1321.3588061885951</v>
      </c>
      <c r="AA65" s="149">
        <f t="shared" si="101"/>
        <v>1327.3128858140831</v>
      </c>
      <c r="AB65" s="95"/>
    </row>
    <row r="66" spans="1:32" s="171" customFormat="1" ht="12" x14ac:dyDescent="0.3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4.3686955815791517E-3</v>
      </c>
      <c r="N66" s="239">
        <f t="shared" si="102"/>
        <v>4.4052640885097194E-3</v>
      </c>
      <c r="O66" s="256">
        <f t="shared" si="102"/>
        <v>4.4412701127161114E-3</v>
      </c>
      <c r="P66" s="239">
        <f t="shared" si="102"/>
        <v>4.486730095143443E-3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4.5748953850861529E-3</v>
      </c>
      <c r="T66" s="239">
        <f t="shared" si="102"/>
        <v>4.6032409570417876E-3</v>
      </c>
      <c r="U66" s="239">
        <f t="shared" si="102"/>
        <v>4.591939139672041E-3</v>
      </c>
      <c r="V66" s="239">
        <f t="shared" si="102"/>
        <v>4.595315020296642E-3</v>
      </c>
      <c r="W66" s="256">
        <f t="shared" si="102"/>
        <v>4.5985486437190026E-3</v>
      </c>
      <c r="X66" s="239">
        <f t="shared" si="102"/>
        <v>4.5871559633026138E-3</v>
      </c>
      <c r="Y66" s="239">
        <f t="shared" si="102"/>
        <v>4.5421773612113192E-3</v>
      </c>
      <c r="Z66" s="239">
        <f t="shared" si="102"/>
        <v>4.5264240771309971E-3</v>
      </c>
      <c r="AA66" s="256">
        <f t="shared" si="102"/>
        <v>4.5060278840252099E-3</v>
      </c>
      <c r="AB66" s="253"/>
    </row>
    <row r="67" spans="1:32" s="97" customFormat="1" x14ac:dyDescent="0.35">
      <c r="B67" s="99" t="s">
        <v>179</v>
      </c>
      <c r="D67" s="103"/>
      <c r="E67" s="225"/>
      <c r="F67" s="225">
        <f>F64-F65</f>
        <v>0.77999999999997272</v>
      </c>
      <c r="G67" s="150">
        <f t="shared" ref="G67:AA67" si="103">G64-G65</f>
        <v>-833.73947605477315</v>
      </c>
      <c r="H67" s="225">
        <f t="shared" si="103"/>
        <v>-643.37710701026424</v>
      </c>
      <c r="I67" s="225">
        <f t="shared" si="103"/>
        <v>-647.78916812809337</v>
      </c>
      <c r="J67" s="225">
        <f t="shared" si="103"/>
        <v>-652.5536906191013</v>
      </c>
      <c r="K67" s="150">
        <f t="shared" si="103"/>
        <v>-1112.356223009233</v>
      </c>
      <c r="L67" s="225">
        <f t="shared" si="103"/>
        <v>-1163.1072012785651</v>
      </c>
      <c r="M67" s="225">
        <f t="shared" si="103"/>
        <v>-1168.1884625696937</v>
      </c>
      <c r="N67" s="225">
        <f t="shared" si="103"/>
        <v>-1173.3346412524631</v>
      </c>
      <c r="O67" s="150">
        <f t="shared" si="103"/>
        <v>-1178.5457373268721</v>
      </c>
      <c r="P67" s="225">
        <f t="shared" si="103"/>
        <v>-1183.8335539550396</v>
      </c>
      <c r="Q67" s="225">
        <f t="shared" si="103"/>
        <v>-1189.1449769074391</v>
      </c>
      <c r="R67" s="225">
        <f t="shared" si="103"/>
        <v>-1194.5331204135953</v>
      </c>
      <c r="S67" s="150">
        <f t="shared" si="103"/>
        <v>-1199.997984473508</v>
      </c>
      <c r="T67" s="225">
        <f t="shared" si="103"/>
        <v>-1205.5218643440039</v>
      </c>
      <c r="U67" s="225">
        <f t="shared" si="103"/>
        <v>-1211.0575473766155</v>
      </c>
      <c r="V67" s="225">
        <f t="shared" si="103"/>
        <v>-1216.6227383145188</v>
      </c>
      <c r="W67" s="150">
        <f t="shared" si="103"/>
        <v>-1222.2174371577128</v>
      </c>
      <c r="X67" s="225">
        <f t="shared" si="103"/>
        <v>-1227.8239391630234</v>
      </c>
      <c r="Y67" s="225">
        <f t="shared" si="103"/>
        <v>-1233.400933263043</v>
      </c>
      <c r="Z67" s="225">
        <f t="shared" si="103"/>
        <v>-1238.9838289441207</v>
      </c>
      <c r="AA67" s="150">
        <f t="shared" si="103"/>
        <v>-1244.5667246251992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main!N78/1000</f>
        <v>298.37288477706733</v>
      </c>
      <c r="H71" s="226">
        <f>main!O78/1000</f>
        <v>341.14099544764287</v>
      </c>
      <c r="I71" s="226">
        <f>main!P78/1000</f>
        <v>314.02243392207248</v>
      </c>
      <c r="J71" s="226">
        <f>main!Q78/1000</f>
        <v>315.05497613497749</v>
      </c>
      <c r="K71" s="151">
        <f>main!R78/1000</f>
        <v>310.54437969325096</v>
      </c>
      <c r="L71" s="226">
        <f>main!S78/1000</f>
        <v>306.24080684971517</v>
      </c>
      <c r="M71" s="226">
        <f>main!T78/1000</f>
        <v>307.95857178194768</v>
      </c>
      <c r="N71" s="226">
        <f>main!U78/1000</f>
        <v>309.86680125051294</v>
      </c>
      <c r="O71" s="151">
        <f>main!V78/1000</f>
        <v>311.62247677399648</v>
      </c>
      <c r="P71" s="258">
        <f>main!W78/1000</f>
        <v>313.57245802602733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35">
      <c r="B72" t="s">
        <v>178</v>
      </c>
      <c r="D72" s="102">
        <f t="shared" ref="D72:O72" si="105">D20</f>
        <v>204.37100000000001</v>
      </c>
      <c r="E72" s="104">
        <f t="shared" si="105"/>
        <v>884.2600000000001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244.4440181553536</v>
      </c>
      <c r="P72" s="240">
        <f t="shared" ref="P72:AA72" si="106">P20</f>
        <v>257.44254207870313</v>
      </c>
      <c r="Q72" s="240">
        <f t="shared" si="106"/>
        <v>269.82423671275291</v>
      </c>
      <c r="R72" s="240">
        <f t="shared" si="106"/>
        <v>282.9579189609679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3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4.8094982803054132E-2</v>
      </c>
      <c r="R73" s="239">
        <f t="shared" ref="R73" si="108">(R72/Q72)-1</f>
        <v>4.867495377072717E-2</v>
      </c>
      <c r="S73" s="256">
        <f t="shared" ref="S73" si="109">(S72/R72)-1</f>
        <v>6.6658920658149157E-3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35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69.242163837897039</v>
      </c>
      <c r="H74" s="225">
        <f t="shared" si="118"/>
        <v>127.61464764872966</v>
      </c>
      <c r="I74" s="225">
        <f t="shared" si="118"/>
        <v>115.66594358351179</v>
      </c>
      <c r="J74" s="225">
        <f t="shared" si="118"/>
        <v>131.28898901689669</v>
      </c>
      <c r="K74" s="150">
        <f t="shared" si="118"/>
        <v>115.49105945954116</v>
      </c>
      <c r="L74" s="225">
        <f t="shared" ref="L74:N74" si="119">L71-L72</f>
        <v>99.106394189216473</v>
      </c>
      <c r="M74" s="225">
        <f t="shared" si="119"/>
        <v>88.661254484149993</v>
      </c>
      <c r="N74" s="225">
        <f t="shared" si="119"/>
        <v>77.676309913851043</v>
      </c>
      <c r="O74" s="150">
        <f t="shared" ref="O74:AA74" si="120">O71-O72</f>
        <v>67.178458618642878</v>
      </c>
      <c r="P74" s="260">
        <f t="shared" si="120"/>
        <v>56.129915947324207</v>
      </c>
      <c r="Q74" s="260">
        <f t="shared" si="120"/>
        <v>60.68122131327442</v>
      </c>
      <c r="R74" s="260">
        <f t="shared" si="120"/>
        <v>47.547539065059425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O24"/>
  <sheetViews>
    <sheetView zoomScale="120" zoomScaleNormal="120" workbookViewId="0">
      <pane xSplit="1" topLeftCell="M1" activePane="topRight" state="frozen"/>
      <selection pane="topRight" activeCell="O20" sqref="O20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5" x14ac:dyDescent="0.35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</row>
    <row r="2" spans="1:15" x14ac:dyDescent="0.35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TRANSPOSE(main!L38:P38)/1000</f>
        <v>834.93333333333328</v>
      </c>
      <c r="M2" cm="1">
        <f t="array" ref="M2:M12">TRANSPOSE(main!L42:V42)/1000</f>
        <v>277.60000000000002</v>
      </c>
      <c r="N2">
        <f t="array" ref="N2:N16">TRANSPOSE(main!L73:Z73/1000)</f>
        <v>0</v>
      </c>
      <c r="O2">
        <f t="array" ref="O2:O16">TRANSPOSE(main!L83:Z83/1000)</f>
        <v>0</v>
      </c>
    </row>
    <row r="3" spans="1:15" x14ac:dyDescent="0.35">
      <c r="A3" s="190">
        <v>44104</v>
      </c>
      <c r="B3" s="102">
        <f t="array" ref="B3:B24">TRANSPOSE('add-ons calculations'!F27:AA27)</f>
        <v>-24.259502619583117</v>
      </c>
      <c r="C3">
        <f t="array" ref="C3:C24">TRANSPOSE('add-ons calculations'!F34:AA34)</f>
        <v>-591.06000000000017</v>
      </c>
      <c r="D3">
        <f t="array" ref="D3:D24">TRANSPOSE('add-ons calculations'!F40:AA40)</f>
        <v>34.448999999999842</v>
      </c>
      <c r="E3">
        <f t="array" ref="E3:E24">TRANSPOSE('add-ons calculations'!F46:AA46)</f>
        <v>11.100000000000009</v>
      </c>
      <c r="F3">
        <f t="array" ref="F3:F24">TRANSPOSE('add-ons calculations'!F53:AA53)</f>
        <v>3.3000000000129148E-2</v>
      </c>
      <c r="G3">
        <f t="array" ref="G3:G24">TRANSPOSE('add-ons calculations'!F60:AA60)</f>
        <v>594.73800000000028</v>
      </c>
      <c r="H3">
        <f t="array" ref="H3:H24">TRANSPOSE('add-ons calculations'!F67:AA67)</f>
        <v>0.77999999999997272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TRANSPOSE(main!M36:V36)/1000</f>
        <v>881.35400000000004</v>
      </c>
      <c r="L3">
        <v>738.2</v>
      </c>
      <c r="M3">
        <v>140</v>
      </c>
      <c r="N3">
        <v>0</v>
      </c>
      <c r="O3">
        <v>0</v>
      </c>
    </row>
    <row r="4" spans="1:15" x14ac:dyDescent="0.35">
      <c r="A4" s="190">
        <v>44196</v>
      </c>
      <c r="B4">
        <v>-28.827861726949777</v>
      </c>
      <c r="C4">
        <v>-630.40624376596816</v>
      </c>
      <c r="D4">
        <v>34.000298981465221</v>
      </c>
      <c r="E4">
        <v>11.269255800265142</v>
      </c>
      <c r="F4">
        <v>33.585746620749433</v>
      </c>
      <c r="G4">
        <v>314.36320946786327</v>
      </c>
      <c r="H4">
        <v>-833.73947605477315</v>
      </c>
      <c r="I4">
        <v>69.242163837897039</v>
      </c>
      <c r="J4" s="102"/>
      <c r="K4" s="102">
        <v>337.8</v>
      </c>
      <c r="L4">
        <v>257.8</v>
      </c>
      <c r="M4">
        <v>80</v>
      </c>
      <c r="N4">
        <v>0</v>
      </c>
      <c r="O4">
        <v>0</v>
      </c>
    </row>
    <row r="5" spans="1:15" x14ac:dyDescent="0.35">
      <c r="A5" s="190">
        <v>44286</v>
      </c>
      <c r="B5">
        <v>-34.821314850515591</v>
      </c>
      <c r="C5">
        <v>-627.59515141943587</v>
      </c>
      <c r="D5">
        <v>34.564190998639788</v>
      </c>
      <c r="E5">
        <v>11.456155432787241</v>
      </c>
      <c r="F5">
        <v>47.561193892373922</v>
      </c>
      <c r="G5">
        <v>1642.2094644965512</v>
      </c>
      <c r="H5">
        <v>-643.37710701026424</v>
      </c>
      <c r="I5">
        <v>127.61464764872966</v>
      </c>
      <c r="K5">
        <v>724</v>
      </c>
      <c r="L5">
        <v>664</v>
      </c>
      <c r="M5">
        <v>60</v>
      </c>
      <c r="N5">
        <v>59</v>
      </c>
      <c r="O5">
        <v>71.400000000000006</v>
      </c>
    </row>
    <row r="6" spans="1:15" x14ac:dyDescent="0.35">
      <c r="A6" s="190">
        <v>44377</v>
      </c>
      <c r="B6">
        <v>-42.653202224937701</v>
      </c>
      <c r="C6">
        <v>-620.79298462012252</v>
      </c>
      <c r="D6">
        <v>35.113811469760549</v>
      </c>
      <c r="E6">
        <v>11.638324821519618</v>
      </c>
      <c r="F6">
        <v>57.608534007630169</v>
      </c>
      <c r="G6">
        <v>574.50840168120521</v>
      </c>
      <c r="H6">
        <v>-647.78916812809337</v>
      </c>
      <c r="I6">
        <v>115.66594358351179</v>
      </c>
      <c r="K6">
        <v>152</v>
      </c>
      <c r="L6">
        <v>108</v>
      </c>
      <c r="M6">
        <v>44</v>
      </c>
      <c r="N6">
        <v>59</v>
      </c>
      <c r="O6">
        <v>71.400000000000006</v>
      </c>
    </row>
    <row r="7" spans="1:15" x14ac:dyDescent="0.35">
      <c r="A7" s="190">
        <v>44469</v>
      </c>
      <c r="B7">
        <v>-50.485089599359611</v>
      </c>
      <c r="C7">
        <v>-601.58785797770167</v>
      </c>
      <c r="D7">
        <v>35.701268132738733</v>
      </c>
      <c r="E7">
        <v>11.833034856577939</v>
      </c>
      <c r="F7">
        <v>62.552903706427287</v>
      </c>
      <c r="G7">
        <v>500.62102735509438</v>
      </c>
      <c r="H7">
        <v>-652.5536906191013</v>
      </c>
      <c r="I7">
        <v>131.28898901689669</v>
      </c>
      <c r="K7">
        <v>44</v>
      </c>
      <c r="L7">
        <v>0</v>
      </c>
      <c r="M7">
        <v>44</v>
      </c>
      <c r="N7">
        <v>59</v>
      </c>
      <c r="O7">
        <v>30.6</v>
      </c>
    </row>
    <row r="8" spans="1:15" x14ac:dyDescent="0.35">
      <c r="A8" s="190">
        <v>44561</v>
      </c>
      <c r="B8">
        <v>-48.130494411003411</v>
      </c>
      <c r="C8">
        <v>-620.33728946778444</v>
      </c>
      <c r="D8">
        <v>36.094731338371048</v>
      </c>
      <c r="E8">
        <v>11.96344657779953</v>
      </c>
      <c r="F8">
        <v>64.144221767586032</v>
      </c>
      <c r="G8">
        <v>469.06510724199347</v>
      </c>
      <c r="H8">
        <v>-1112.356223009233</v>
      </c>
      <c r="I8">
        <v>115.49105945954116</v>
      </c>
      <c r="K8">
        <v>44</v>
      </c>
      <c r="L8">
        <v>0</v>
      </c>
      <c r="M8">
        <v>44</v>
      </c>
      <c r="N8">
        <v>59</v>
      </c>
      <c r="O8">
        <v>30.6</v>
      </c>
    </row>
    <row r="9" spans="1:15" x14ac:dyDescent="0.35">
      <c r="A9" s="190">
        <v>44651</v>
      </c>
      <c r="B9">
        <v>-2.8365623230328936</v>
      </c>
      <c r="C9">
        <v>-642.80093469787062</v>
      </c>
      <c r="D9">
        <v>0</v>
      </c>
      <c r="E9">
        <v>0</v>
      </c>
      <c r="F9">
        <v>65.735539828744777</v>
      </c>
      <c r="G9">
        <v>471.14852232636736</v>
      </c>
      <c r="H9">
        <v>-1163.1072012785651</v>
      </c>
      <c r="I9">
        <v>99.106394189216473</v>
      </c>
      <c r="K9">
        <v>44</v>
      </c>
      <c r="L9">
        <v>0</v>
      </c>
      <c r="M9">
        <v>44</v>
      </c>
      <c r="N9">
        <v>59</v>
      </c>
      <c r="O9">
        <v>0</v>
      </c>
    </row>
    <row r="10" spans="1:15" x14ac:dyDescent="0.35">
      <c r="A10" s="190">
        <v>44742</v>
      </c>
      <c r="B10">
        <v>-0.48196713467660857</v>
      </c>
      <c r="C10">
        <v>-662.02947386277333</v>
      </c>
      <c r="D10">
        <v>0</v>
      </c>
      <c r="E10">
        <v>0</v>
      </c>
      <c r="F10">
        <v>67.326857889903522</v>
      </c>
      <c r="G10">
        <v>467.6048007095435</v>
      </c>
      <c r="H10">
        <v>-1168.1884625696937</v>
      </c>
      <c r="I10">
        <v>88.661254484149993</v>
      </c>
      <c r="K10">
        <v>44</v>
      </c>
      <c r="L10">
        <v>0</v>
      </c>
      <c r="M10">
        <v>44</v>
      </c>
      <c r="N10">
        <v>59</v>
      </c>
      <c r="O10">
        <v>0</v>
      </c>
    </row>
    <row r="11" spans="1:15" x14ac:dyDescent="0.35">
      <c r="A11" s="190">
        <v>44834</v>
      </c>
      <c r="B11">
        <v>-0.47702213152351192</v>
      </c>
      <c r="C11">
        <v>-679.96220247443068</v>
      </c>
      <c r="D11">
        <v>0</v>
      </c>
      <c r="E11">
        <v>0</v>
      </c>
      <c r="F11">
        <v>68.918175951062267</v>
      </c>
      <c r="G11">
        <v>456.26929977925329</v>
      </c>
      <c r="H11">
        <v>-1173.3346412524631</v>
      </c>
      <c r="I11">
        <v>77.676309913851043</v>
      </c>
      <c r="K11">
        <v>44</v>
      </c>
      <c r="L11">
        <v>0</v>
      </c>
      <c r="M11">
        <v>44</v>
      </c>
      <c r="N11">
        <v>59</v>
      </c>
      <c r="O11">
        <v>0</v>
      </c>
    </row>
    <row r="12" spans="1:15" x14ac:dyDescent="0.35">
      <c r="A12" s="190">
        <v>44926</v>
      </c>
      <c r="B12">
        <v>-0.47212566090590258</v>
      </c>
      <c r="C12">
        <v>-696.43544089039244</v>
      </c>
      <c r="D12">
        <v>0</v>
      </c>
      <c r="E12">
        <v>0</v>
      </c>
      <c r="F12">
        <v>69.113046846045563</v>
      </c>
      <c r="G12">
        <v>456.04923888023313</v>
      </c>
      <c r="H12">
        <v>-1178.5457373268721</v>
      </c>
      <c r="I12">
        <v>67.178458618642878</v>
      </c>
      <c r="K12">
        <v>44</v>
      </c>
      <c r="M12">
        <v>44</v>
      </c>
      <c r="N12">
        <v>59</v>
      </c>
      <c r="O12">
        <v>0</v>
      </c>
    </row>
    <row r="13" spans="1:15" x14ac:dyDescent="0.35">
      <c r="A13" s="190">
        <v>45016</v>
      </c>
      <c r="B13">
        <v>-0.46722919028832166</v>
      </c>
      <c r="C13">
        <v>-817.6181390099556</v>
      </c>
      <c r="D13">
        <v>0</v>
      </c>
      <c r="E13">
        <v>0</v>
      </c>
      <c r="F13">
        <v>69.307917741028632</v>
      </c>
      <c r="G13">
        <v>456.04923888023313</v>
      </c>
      <c r="H13">
        <v>-1183.8335539550396</v>
      </c>
      <c r="I13">
        <v>56.129915947324207</v>
      </c>
      <c r="N13">
        <v>59</v>
      </c>
      <c r="O13">
        <v>0</v>
      </c>
    </row>
    <row r="14" spans="1:15" x14ac:dyDescent="0.35">
      <c r="A14" s="190">
        <v>45107</v>
      </c>
      <c r="B14">
        <v>-0.46233271967074074</v>
      </c>
      <c r="C14">
        <v>-835.90383535074204</v>
      </c>
      <c r="D14">
        <v>0</v>
      </c>
      <c r="E14">
        <v>0</v>
      </c>
      <c r="F14">
        <v>69.502788636011701</v>
      </c>
      <c r="G14">
        <v>456.04923888023313</v>
      </c>
      <c r="H14">
        <v>-1189.1449769074391</v>
      </c>
      <c r="I14">
        <v>60.68122131327442</v>
      </c>
      <c r="N14">
        <v>59</v>
      </c>
      <c r="O14">
        <v>0</v>
      </c>
    </row>
    <row r="15" spans="1:15" x14ac:dyDescent="0.35">
      <c r="A15" s="190">
        <v>45199</v>
      </c>
      <c r="B15">
        <v>-0.45743624905315983</v>
      </c>
      <c r="C15">
        <v>-854.07690824316205</v>
      </c>
      <c r="D15">
        <v>0</v>
      </c>
      <c r="E15">
        <v>0</v>
      </c>
      <c r="F15">
        <v>69.697659530994997</v>
      </c>
      <c r="G15">
        <v>456.04923888023313</v>
      </c>
      <c r="H15">
        <v>-1194.5331204135953</v>
      </c>
      <c r="I15">
        <v>47.547539065059425</v>
      </c>
      <c r="N15">
        <v>59</v>
      </c>
      <c r="O15">
        <v>0</v>
      </c>
    </row>
    <row r="16" spans="1:15" x14ac:dyDescent="0.35">
      <c r="A16" s="190">
        <v>45291</v>
      </c>
      <c r="B16">
        <v>-0.46259086653816439</v>
      </c>
      <c r="C16">
        <v>-859.7950995515364</v>
      </c>
      <c r="D16">
        <v>0</v>
      </c>
      <c r="E16">
        <v>0</v>
      </c>
      <c r="F16">
        <v>70.228421056227035</v>
      </c>
      <c r="G16">
        <v>456.04923888023313</v>
      </c>
      <c r="H16">
        <v>-1199.997984473508</v>
      </c>
      <c r="I16">
        <v>45.661372118098029</v>
      </c>
      <c r="N16">
        <v>59</v>
      </c>
      <c r="O16">
        <v>0</v>
      </c>
    </row>
    <row r="17" spans="1:9" x14ac:dyDescent="0.35">
      <c r="A17" s="190">
        <v>45382</v>
      </c>
      <c r="B17">
        <v>-0.46774548402314053</v>
      </c>
      <c r="C17">
        <v>-866.18903155011822</v>
      </c>
      <c r="D17">
        <v>0</v>
      </c>
      <c r="E17">
        <v>0</v>
      </c>
      <c r="F17">
        <v>70.759182581458845</v>
      </c>
      <c r="G17">
        <v>456.04923888023313</v>
      </c>
      <c r="H17">
        <v>-1205.5218643440039</v>
      </c>
      <c r="I17">
        <v>45.975992958117956</v>
      </c>
    </row>
    <row r="18" spans="1:9" x14ac:dyDescent="0.35">
      <c r="A18" s="190">
        <v>45473</v>
      </c>
      <c r="B18">
        <v>-0.4729001015081451</v>
      </c>
      <c r="C18">
        <v>-873.20239251471298</v>
      </c>
      <c r="D18">
        <v>0</v>
      </c>
      <c r="E18">
        <v>0</v>
      </c>
      <c r="F18">
        <v>71.289944106690882</v>
      </c>
      <c r="G18">
        <v>456.04923888023313</v>
      </c>
      <c r="H18">
        <v>-1211.0575473766155</v>
      </c>
      <c r="I18">
        <v>46.297859579612521</v>
      </c>
    </row>
    <row r="19" spans="1:9" x14ac:dyDescent="0.35">
      <c r="A19" s="190">
        <v>45565</v>
      </c>
      <c r="B19">
        <v>-0.47805471899312124</v>
      </c>
      <c r="C19">
        <v>-881.11674106624093</v>
      </c>
      <c r="D19">
        <v>0</v>
      </c>
      <c r="E19">
        <v>0</v>
      </c>
      <c r="F19">
        <v>71.82070563192292</v>
      </c>
      <c r="G19">
        <v>456.04923888023313</v>
      </c>
      <c r="H19">
        <v>-1216.6227383145188</v>
      </c>
      <c r="I19">
        <v>46.628917748543074</v>
      </c>
    </row>
    <row r="20" spans="1:9" x14ac:dyDescent="0.35">
      <c r="A20" s="190">
        <v>45657</v>
      </c>
      <c r="B20">
        <v>-0.484584424984007</v>
      </c>
      <c r="C20">
        <v>-887.48066549891269</v>
      </c>
      <c r="D20">
        <v>0</v>
      </c>
      <c r="E20">
        <v>0</v>
      </c>
      <c r="F20">
        <v>73.535966403592056</v>
      </c>
      <c r="G20">
        <v>456.04923888023313</v>
      </c>
      <c r="H20">
        <v>-1222.2174371577128</v>
      </c>
      <c r="I20">
        <v>46.720623828499299</v>
      </c>
    </row>
    <row r="21" spans="1:9" x14ac:dyDescent="0.35">
      <c r="A21" s="190">
        <v>45747</v>
      </c>
      <c r="B21">
        <v>-0.49111413097489276</v>
      </c>
      <c r="C21">
        <v>-893.73196648321789</v>
      </c>
      <c r="D21">
        <v>0</v>
      </c>
      <c r="E21">
        <v>0</v>
      </c>
      <c r="F21">
        <v>75.25122717526142</v>
      </c>
      <c r="G21">
        <v>456.04923888023313</v>
      </c>
      <c r="H21">
        <v>-1227.8239391630234</v>
      </c>
      <c r="I21">
        <v>46.930226557055903</v>
      </c>
    </row>
    <row r="22" spans="1:9" x14ac:dyDescent="0.35">
      <c r="A22" s="190">
        <v>45838</v>
      </c>
      <c r="B22">
        <v>-0.49764383696580694</v>
      </c>
      <c r="C22">
        <v>-900.43376126098178</v>
      </c>
      <c r="D22">
        <v>0</v>
      </c>
      <c r="E22">
        <v>0</v>
      </c>
      <c r="F22">
        <v>76.966487946930556</v>
      </c>
      <c r="G22">
        <v>456.04923888023313</v>
      </c>
      <c r="H22">
        <v>-1233.400933263043</v>
      </c>
      <c r="I22">
        <v>47.032571404843281</v>
      </c>
    </row>
    <row r="23" spans="1:9" x14ac:dyDescent="0.35">
      <c r="A23" s="190">
        <v>45930</v>
      </c>
      <c r="B23">
        <v>-0.50417354295672112</v>
      </c>
      <c r="C23">
        <v>-907.64236155639969</v>
      </c>
      <c r="D23">
        <v>0</v>
      </c>
      <c r="E23">
        <v>0</v>
      </c>
      <c r="F23">
        <v>78.68174871859992</v>
      </c>
      <c r="G23">
        <v>456.04923888023313</v>
      </c>
      <c r="H23">
        <v>-1238.9838289441207</v>
      </c>
      <c r="I23">
        <v>47.141596715840137</v>
      </c>
    </row>
    <row r="24" spans="1:9" x14ac:dyDescent="0.35">
      <c r="A24" s="190">
        <v>46022</v>
      </c>
      <c r="B24">
        <v>-0.51096832903442646</v>
      </c>
      <c r="C24">
        <v>-914.97000940877706</v>
      </c>
      <c r="D24">
        <v>0</v>
      </c>
      <c r="E24">
        <v>0</v>
      </c>
      <c r="F24">
        <v>79.962880996821241</v>
      </c>
      <c r="G24">
        <v>456.04923888023313</v>
      </c>
      <c r="H24">
        <v>-1244.5667246251992</v>
      </c>
      <c r="I24">
        <v>47.208731610573466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14" t="s">
        <v>21</v>
      </c>
      <c r="E1" s="314"/>
      <c r="F1" s="314"/>
      <c r="G1" s="314"/>
      <c r="H1" s="314" t="s">
        <v>9</v>
      </c>
      <c r="I1" s="314"/>
      <c r="J1" s="314"/>
      <c r="K1" s="314"/>
      <c r="L1" s="314" t="s">
        <v>10</v>
      </c>
      <c r="M1" s="314"/>
      <c r="N1" s="314"/>
      <c r="O1" s="314"/>
      <c r="P1" s="314" t="s">
        <v>11</v>
      </c>
      <c r="Q1" s="314"/>
      <c r="R1" s="314"/>
      <c r="S1" s="314"/>
      <c r="T1" s="314" t="s">
        <v>268</v>
      </c>
      <c r="U1" s="314"/>
      <c r="V1" s="314"/>
      <c r="W1" s="314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main!N30</f>
        <v>2848130.6794988289</v>
      </c>
      <c r="M3" s="266">
        <f>main!O30</f>
        <v>3232347.6672774283</v>
      </c>
      <c r="N3" s="266">
        <f>main!P30</f>
        <v>2658585.8065739484</v>
      </c>
      <c r="O3" s="266">
        <f>main!Q30</f>
        <v>2549045.9648629948</v>
      </c>
      <c r="P3" s="266">
        <f>main!R30</f>
        <v>2602281.8301825942</v>
      </c>
      <c r="Q3" s="266">
        <f>main!S30</f>
        <v>2656828.3141670432</v>
      </c>
      <c r="R3" s="266">
        <f>main!T30</f>
        <v>2712721.8209036896</v>
      </c>
      <c r="S3" s="266">
        <f>main!U30</f>
        <v>2769999.8480888377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35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35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main!N91</f>
        <v>838999.96973237256</v>
      </c>
      <c r="M5" s="273">
        <f>main!O91</f>
        <v>851909.41974748904</v>
      </c>
      <c r="N5" s="273">
        <f>main!P91</f>
        <v>859338.63247661723</v>
      </c>
      <c r="O5" s="273">
        <f>main!Q91</f>
        <v>860057.04756403249</v>
      </c>
      <c r="P5" s="273">
        <f>main!R91</f>
        <v>861140.05830831092</v>
      </c>
      <c r="Q5" s="273">
        <f>main!S91</f>
        <v>862594.90274145827</v>
      </c>
      <c r="R5" s="273">
        <f>main!T91</f>
        <v>864142.72686504154</v>
      </c>
      <c r="S5" s="273">
        <f>main!U91</f>
        <v>865537.60394083988</v>
      </c>
      <c r="T5" s="273">
        <f>main!V91</f>
        <v>866767.29820503015</v>
      </c>
      <c r="U5" s="273"/>
      <c r="V5" s="273"/>
      <c r="W5" s="273"/>
      <c r="AJ5" s="269"/>
    </row>
    <row r="6" spans="1:36" s="35" customFormat="1" x14ac:dyDescent="0.35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main!N94</f>
        <v>696032.68223237258</v>
      </c>
      <c r="M6" s="35">
        <f>main!O94</f>
        <v>708584.71402873902</v>
      </c>
      <c r="N6" s="35">
        <f>main!P94</f>
        <v>715655.61499357037</v>
      </c>
      <c r="O6" s="35">
        <f>main!Q94</f>
        <v>715655.61499357037</v>
      </c>
      <c r="P6" s="35">
        <f>main!R94</f>
        <v>715655.61499357037</v>
      </c>
      <c r="Q6" s="35">
        <f>main!S94</f>
        <v>715655.61499357037</v>
      </c>
      <c r="R6" s="35">
        <f>main!T94</f>
        <v>715655.61499357037</v>
      </c>
      <c r="S6" s="35">
        <f>main!U94</f>
        <v>715655.61499357037</v>
      </c>
      <c r="T6" s="35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19" t="s">
        <v>208</v>
      </c>
      <c r="B1" s="320"/>
      <c r="C1" s="35"/>
      <c r="I1" s="250"/>
      <c r="J1" s="327" t="s">
        <v>282</v>
      </c>
      <c r="V1" s="314"/>
      <c r="W1" s="314"/>
      <c r="X1" s="314"/>
      <c r="Y1" s="314"/>
    </row>
    <row r="2" spans="1:27" x14ac:dyDescent="0.35">
      <c r="A2" s="321" t="s">
        <v>192</v>
      </c>
      <c r="B2" s="126"/>
      <c r="C2" t="s">
        <v>193</v>
      </c>
      <c r="H2" s="95"/>
      <c r="I2" s="251"/>
      <c r="J2" s="327"/>
    </row>
    <row r="3" spans="1:27" x14ac:dyDescent="0.35">
      <c r="A3" s="322"/>
      <c r="B3" s="127"/>
      <c r="C3" t="s">
        <v>194</v>
      </c>
      <c r="H3" s="95"/>
      <c r="I3" s="251"/>
      <c r="J3" s="327"/>
    </row>
    <row r="4" spans="1:27" x14ac:dyDescent="0.35">
      <c r="A4" s="322"/>
      <c r="B4" s="128"/>
      <c r="C4" t="s">
        <v>195</v>
      </c>
      <c r="H4" s="95"/>
      <c r="I4" s="95"/>
      <c r="J4" s="95"/>
    </row>
    <row r="5" spans="1:27" x14ac:dyDescent="0.35">
      <c r="A5" s="323"/>
      <c r="B5" s="129"/>
      <c r="C5" t="s">
        <v>182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24" t="s">
        <v>160</v>
      </c>
      <c r="D7" s="325"/>
      <c r="E7" s="325"/>
      <c r="F7" s="326"/>
      <c r="G7" s="324" t="s">
        <v>166</v>
      </c>
      <c r="H7" s="325"/>
      <c r="I7" s="325"/>
      <c r="J7" s="326"/>
      <c r="K7" s="324" t="s">
        <v>177</v>
      </c>
      <c r="L7" s="325"/>
      <c r="M7" s="325"/>
      <c r="N7" s="325"/>
      <c r="O7" s="324" t="s">
        <v>272</v>
      </c>
      <c r="P7" s="325"/>
      <c r="Q7" s="325"/>
      <c r="R7" s="325"/>
      <c r="S7" s="324" t="s">
        <v>276</v>
      </c>
      <c r="T7" s="325"/>
      <c r="U7" s="325"/>
      <c r="V7" s="325"/>
      <c r="W7" s="324" t="s">
        <v>277</v>
      </c>
      <c r="X7" s="325"/>
      <c r="Y7" s="325"/>
      <c r="Z7" s="325"/>
      <c r="AA7" s="231" t="s">
        <v>278</v>
      </c>
    </row>
    <row r="8" spans="1:27" s="268" customFormat="1" x14ac:dyDescent="0.35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x14ac:dyDescent="0.35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x14ac:dyDescent="0.35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x14ac:dyDescent="0.35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x14ac:dyDescent="0.35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x14ac:dyDescent="0.35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x14ac:dyDescent="0.35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x14ac:dyDescent="0.35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x14ac:dyDescent="0.35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x14ac:dyDescent="0.35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35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35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35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35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2848.1306794988291</v>
      </c>
      <c r="H45" s="102">
        <f>main_nipas!M3/1000</f>
        <v>3232.3476672774282</v>
      </c>
      <c r="I45" s="102">
        <f>main_nipas!N3/1000</f>
        <v>2658.5858065739485</v>
      </c>
      <c r="J45" s="102">
        <f>main_nipas!O3/1000</f>
        <v>2549.0459648629949</v>
      </c>
      <c r="K45" s="274">
        <f>main_nipas!P3/1000</f>
        <v>2602.2818301825941</v>
      </c>
      <c r="L45" s="104">
        <f>K45*(1+L47)</f>
        <v>2628.6307714562777</v>
      </c>
      <c r="M45" s="104">
        <f t="shared" ref="M45:AA45" si="12">L45*(1+M47)</f>
        <v>2627.8289028040999</v>
      </c>
      <c r="N45" s="104">
        <f t="shared" si="12"/>
        <v>2589.4318715749832</v>
      </c>
      <c r="O45" s="104">
        <f t="shared" si="12"/>
        <v>2592.3389058662974</v>
      </c>
      <c r="P45" s="104">
        <f t="shared" si="12"/>
        <v>2596.8154125076976</v>
      </c>
      <c r="Q45" s="104">
        <f t="shared" si="12"/>
        <v>2602.3652799197644</v>
      </c>
      <c r="R45" s="104">
        <f t="shared" si="12"/>
        <v>2610.9905437602506</v>
      </c>
      <c r="S45" s="104">
        <f t="shared" si="12"/>
        <v>2637.3824113238675</v>
      </c>
      <c r="T45" s="104">
        <f t="shared" si="12"/>
        <v>2662.7417802481054</v>
      </c>
      <c r="U45" s="104">
        <f t="shared" si="12"/>
        <v>2683.2870076045861</v>
      </c>
      <c r="V45" s="104">
        <f t="shared" si="12"/>
        <v>2700.8813138437936</v>
      </c>
      <c r="W45" s="104">
        <f t="shared" si="12"/>
        <v>2763.2169971869871</v>
      </c>
      <c r="X45" s="104">
        <f t="shared" si="12"/>
        <v>2815.8394359955578</v>
      </c>
      <c r="Y45" s="104">
        <f t="shared" si="12"/>
        <v>2859.8572502781167</v>
      </c>
      <c r="Z45" s="104">
        <f t="shared" si="12"/>
        <v>2894.3444579861093</v>
      </c>
      <c r="AA45" s="104">
        <f t="shared" si="12"/>
        <v>2912.9242589190353</v>
      </c>
      <c r="AB45" s="95"/>
    </row>
    <row r="46" spans="1:28" x14ac:dyDescent="0.35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514.13909259879028</v>
      </c>
      <c r="H48" s="225">
        <f t="shared" si="30"/>
        <v>1163.784569445726</v>
      </c>
      <c r="I48" s="225">
        <f t="shared" si="30"/>
        <v>803.84570635728141</v>
      </c>
      <c r="J48" s="225">
        <f t="shared" si="30"/>
        <v>843.56631177717691</v>
      </c>
      <c r="K48" s="275">
        <f t="shared" si="30"/>
        <v>850.32272176924016</v>
      </c>
      <c r="L48" s="225">
        <f t="shared" si="30"/>
        <v>858.93251306844172</v>
      </c>
      <c r="M48" s="225">
        <f t="shared" si="30"/>
        <v>858.67049412533083</v>
      </c>
      <c r="N48" s="225">
        <f t="shared" si="30"/>
        <v>846.12386380884823</v>
      </c>
      <c r="O48" s="150">
        <f t="shared" si="30"/>
        <v>847.07376757491852</v>
      </c>
      <c r="P48" s="225">
        <f t="shared" si="30"/>
        <v>848.53651279612563</v>
      </c>
      <c r="Q48" s="225">
        <f t="shared" si="30"/>
        <v>850.34998984098343</v>
      </c>
      <c r="R48" s="225">
        <f t="shared" si="30"/>
        <v>853.1683847357076</v>
      </c>
      <c r="S48" s="150">
        <f t="shared" si="30"/>
        <v>861.79220264773357</v>
      </c>
      <c r="T48" s="225">
        <f t="shared" si="30"/>
        <v>870.07864086357245</v>
      </c>
      <c r="U48" s="225">
        <f t="shared" si="30"/>
        <v>876.79200812552813</v>
      </c>
      <c r="V48" s="225">
        <f t="shared" si="30"/>
        <v>882.54113114342749</v>
      </c>
      <c r="W48" s="150">
        <f t="shared" si="30"/>
        <v>902.90996564434317</v>
      </c>
      <c r="X48" s="225">
        <f t="shared" si="30"/>
        <v>920.10489621444981</v>
      </c>
      <c r="Y48" s="225">
        <f t="shared" si="30"/>
        <v>934.48817600104076</v>
      </c>
      <c r="Z48" s="225">
        <f t="shared" si="30"/>
        <v>945.75723071462039</v>
      </c>
      <c r="AA48" s="150">
        <f t="shared" si="30"/>
        <v>951.82837439935633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35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34.448999999999842</v>
      </c>
      <c r="E2" s="270">
        <f t="array" ref="E2:E23">TRANSPOSE('add-ons calculations'!F46:AA46)</f>
        <v>11.100000000000009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0.77999999999997272</v>
      </c>
      <c r="I2" s="270">
        <f t="array" ref="I2:I23">TRANSPOSE('add-ons calculations'!F74:AA74)</f>
        <v>44.85238194444446</v>
      </c>
    </row>
    <row r="3" spans="1:9" x14ac:dyDescent="0.35">
      <c r="A3" s="271">
        <v>44196</v>
      </c>
      <c r="B3" s="270">
        <v>-29.642475517646631</v>
      </c>
      <c r="C3" s="270">
        <v>718.96612748239181</v>
      </c>
      <c r="D3" s="270">
        <v>34.000298981465221</v>
      </c>
      <c r="E3" s="270">
        <v>11.269255800265142</v>
      </c>
      <c r="F3" s="270">
        <v>23.142985628403267</v>
      </c>
      <c r="G3" s="270">
        <v>514.13909259879028</v>
      </c>
      <c r="H3" s="270">
        <v>-833.73947605477315</v>
      </c>
      <c r="I3" s="270">
        <v>69.242163837897039</v>
      </c>
    </row>
    <row r="4" spans="1:9" x14ac:dyDescent="0.35">
      <c r="A4" s="271">
        <v>44286</v>
      </c>
      <c r="B4" s="270">
        <v>-43.765601471299647</v>
      </c>
      <c r="C4" s="270">
        <v>756.43646274752768</v>
      </c>
      <c r="D4" s="270">
        <v>34.564190998639788</v>
      </c>
      <c r="E4" s="270">
        <v>11.456155432787241</v>
      </c>
      <c r="F4" s="270">
        <v>46.379353230327069</v>
      </c>
      <c r="G4" s="270">
        <v>1163.784569445726</v>
      </c>
      <c r="H4" s="270">
        <v>-643.37710701026424</v>
      </c>
      <c r="I4" s="270">
        <v>127.61464764872966</v>
      </c>
    </row>
    <row r="5" spans="1:9" x14ac:dyDescent="0.35">
      <c r="A5" s="271">
        <v>44377</v>
      </c>
      <c r="B5" s="270">
        <v>-63.369858256487646</v>
      </c>
      <c r="C5" s="270">
        <v>788.42127504542532</v>
      </c>
      <c r="D5" s="270">
        <v>35.113811469760549</v>
      </c>
      <c r="E5" s="270">
        <v>11.638324821519618</v>
      </c>
      <c r="F5" s="270">
        <v>69.743650491218432</v>
      </c>
      <c r="G5" s="270">
        <v>803.84570635728141</v>
      </c>
      <c r="H5" s="270">
        <v>-647.78916812809337</v>
      </c>
      <c r="I5" s="270">
        <v>115.66594358351179</v>
      </c>
    </row>
    <row r="6" spans="1:9" x14ac:dyDescent="0.35">
      <c r="A6" s="271">
        <v>44469</v>
      </c>
      <c r="B6" s="270">
        <v>-90.045016006506785</v>
      </c>
      <c r="C6" s="270">
        <v>811.56513372945358</v>
      </c>
      <c r="D6" s="270">
        <v>35.701268132738733</v>
      </c>
      <c r="E6" s="270">
        <v>11.833034856577939</v>
      </c>
      <c r="F6" s="270">
        <v>93.23744404962531</v>
      </c>
      <c r="G6" s="270">
        <v>843.56631177717691</v>
      </c>
      <c r="H6" s="270">
        <v>-652.5536906191013</v>
      </c>
      <c r="I6" s="270">
        <v>131.28898901689669</v>
      </c>
    </row>
    <row r="7" spans="1:9" x14ac:dyDescent="0.35">
      <c r="A7" s="271">
        <v>44561</v>
      </c>
      <c r="B7" s="270">
        <v>-82.025340150088255</v>
      </c>
      <c r="C7" s="270">
        <v>798.22202453105353</v>
      </c>
      <c r="D7" s="270">
        <v>36.094731338371048</v>
      </c>
      <c r="E7" s="270">
        <v>11.96344657779953</v>
      </c>
      <c r="F7" s="270">
        <v>97.945155839323775</v>
      </c>
      <c r="G7" s="270">
        <v>850.32272176924016</v>
      </c>
      <c r="H7" s="270">
        <v>-1112.356223009233</v>
      </c>
      <c r="I7" s="270">
        <v>115.49105945954116</v>
      </c>
    </row>
    <row r="8" spans="1:9" x14ac:dyDescent="0.35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102.65286762902224</v>
      </c>
      <c r="G8" s="270">
        <v>858.93251306844172</v>
      </c>
      <c r="H8" s="270">
        <v>-1163.1072012785651</v>
      </c>
      <c r="I8" s="270">
        <v>99.106394189216473</v>
      </c>
    </row>
    <row r="9" spans="1:9" x14ac:dyDescent="0.35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107.3605794187207</v>
      </c>
      <c r="G9" s="270">
        <v>858.67049412533083</v>
      </c>
      <c r="H9" s="270">
        <v>-1168.1884625696937</v>
      </c>
      <c r="I9" s="270">
        <v>88.661254484149993</v>
      </c>
    </row>
    <row r="10" spans="1:9" x14ac:dyDescent="0.35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112.06829120841905</v>
      </c>
      <c r="G10" s="270">
        <v>846.12386380884823</v>
      </c>
      <c r="H10" s="270">
        <v>-1173.3346412524631</v>
      </c>
      <c r="I10" s="270">
        <v>77.676309913851043</v>
      </c>
    </row>
    <row r="11" spans="1:9" x14ac:dyDescent="0.35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113.21479904544935</v>
      </c>
      <c r="G11" s="270">
        <v>847.07376757491852</v>
      </c>
      <c r="H11" s="270">
        <v>-1178.5457373268721</v>
      </c>
      <c r="I11" s="270">
        <v>67.178458618642878</v>
      </c>
    </row>
    <row r="12" spans="1:9" x14ac:dyDescent="0.35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114.36130688247965</v>
      </c>
      <c r="G12" s="270">
        <v>848.53651279612563</v>
      </c>
      <c r="H12" s="270">
        <v>-1183.8335539550396</v>
      </c>
      <c r="I12" s="270">
        <v>56.129915947324207</v>
      </c>
    </row>
    <row r="13" spans="1:9" x14ac:dyDescent="0.35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115.50781471950995</v>
      </c>
      <c r="G13" s="270">
        <v>850.34998984098343</v>
      </c>
      <c r="H13" s="270">
        <v>-1189.1449769074391</v>
      </c>
      <c r="I13" s="270">
        <v>60.68122131327442</v>
      </c>
    </row>
    <row r="14" spans="1:9" x14ac:dyDescent="0.35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116.65432255654025</v>
      </c>
      <c r="G14" s="270">
        <v>853.1683847357076</v>
      </c>
      <c r="H14" s="270">
        <v>-1194.5331204135953</v>
      </c>
      <c r="I14" s="270">
        <v>47.547539065059425</v>
      </c>
    </row>
    <row r="15" spans="1:9" x14ac:dyDescent="0.35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117.32067194419665</v>
      </c>
      <c r="G15" s="270">
        <v>861.79220264773357</v>
      </c>
      <c r="H15" s="270">
        <v>-1199.997984473508</v>
      </c>
      <c r="I15" s="270">
        <v>45.661372118098029</v>
      </c>
    </row>
    <row r="16" spans="1:9" x14ac:dyDescent="0.35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117.98702133185293</v>
      </c>
      <c r="G16" s="270">
        <v>870.07864086357245</v>
      </c>
      <c r="H16" s="270">
        <v>-1205.5218643440039</v>
      </c>
      <c r="I16" s="270">
        <v>45.975992958117956</v>
      </c>
    </row>
    <row r="17" spans="1:9" x14ac:dyDescent="0.35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118.65337071950921</v>
      </c>
      <c r="G17" s="270">
        <v>876.79200812552813</v>
      </c>
      <c r="H17" s="270">
        <v>-1211.0575473766155</v>
      </c>
      <c r="I17" s="270">
        <v>46.297859579612521</v>
      </c>
    </row>
    <row r="18" spans="1:9" x14ac:dyDescent="0.35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119.31972010716561</v>
      </c>
      <c r="G18" s="270">
        <v>882.54113114342749</v>
      </c>
      <c r="H18" s="270">
        <v>-1216.6227383145188</v>
      </c>
      <c r="I18" s="270">
        <v>46.628917748543074</v>
      </c>
    </row>
    <row r="19" spans="1:9" x14ac:dyDescent="0.35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122.81863012191729</v>
      </c>
      <c r="G19" s="270">
        <v>902.90996564434317</v>
      </c>
      <c r="H19" s="270">
        <v>-1222.2174371577128</v>
      </c>
      <c r="I19" s="270">
        <v>46.720623828499299</v>
      </c>
    </row>
    <row r="20" spans="1:9" x14ac:dyDescent="0.35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126.31754013666887</v>
      </c>
      <c r="G20" s="270">
        <v>920.10489621444981</v>
      </c>
      <c r="H20" s="270">
        <v>-1227.8239391630234</v>
      </c>
      <c r="I20" s="270">
        <v>46.930226557055903</v>
      </c>
    </row>
    <row r="21" spans="1:9" x14ac:dyDescent="0.35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129.81645015142067</v>
      </c>
      <c r="G21" s="270">
        <v>934.48817600104076</v>
      </c>
      <c r="H21" s="270">
        <v>-1233.400933263043</v>
      </c>
      <c r="I21" s="270">
        <v>47.032571404843281</v>
      </c>
    </row>
    <row r="22" spans="1:9" x14ac:dyDescent="0.35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133.31536016617247</v>
      </c>
      <c r="G22" s="270">
        <v>945.75723071462039</v>
      </c>
      <c r="H22" s="270">
        <v>-1238.9838289441207</v>
      </c>
      <c r="I22" s="270">
        <v>47.141596715840137</v>
      </c>
    </row>
    <row r="23" spans="1:9" x14ac:dyDescent="0.35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135.67395143661656</v>
      </c>
      <c r="G23" s="270">
        <v>951.82837439935633</v>
      </c>
      <c r="H23" s="270">
        <v>-1244.5667246251992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defaultRowHeight="14.5" x14ac:dyDescent="0.35"/>
  <sheetData>
    <row r="1" spans="1:9" s="298" customFormat="1" x14ac:dyDescent="0.35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35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35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35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35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35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35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35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35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35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35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35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35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35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35">
      <c r="A15" t="s">
        <v>306</v>
      </c>
      <c r="H15">
        <v>1078100</v>
      </c>
      <c r="I15">
        <v>15600</v>
      </c>
    </row>
    <row r="16" spans="1:9" x14ac:dyDescent="0.35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35">
      <c r="A17" t="s">
        <v>308</v>
      </c>
      <c r="H17">
        <v>19100</v>
      </c>
      <c r="I17">
        <v>27000</v>
      </c>
    </row>
    <row r="18" spans="1:9" x14ac:dyDescent="0.35">
      <c r="A18" t="s">
        <v>309</v>
      </c>
      <c r="H18">
        <v>160900</v>
      </c>
      <c r="I18">
        <v>58400</v>
      </c>
    </row>
    <row r="19" spans="1:9" x14ac:dyDescent="0.35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35">
      <c r="A20" t="s">
        <v>311</v>
      </c>
      <c r="H20">
        <v>609300</v>
      </c>
      <c r="I20">
        <v>865600</v>
      </c>
    </row>
    <row r="21" spans="1:9" x14ac:dyDescent="0.35">
      <c r="A21" t="s">
        <v>312</v>
      </c>
      <c r="H21">
        <v>63800</v>
      </c>
      <c r="I21">
        <v>15000</v>
      </c>
    </row>
    <row r="22" spans="1:9" x14ac:dyDescent="0.35">
      <c r="A22" t="s">
        <v>313</v>
      </c>
      <c r="H22">
        <v>73300</v>
      </c>
      <c r="I22">
        <v>73300</v>
      </c>
    </row>
    <row r="23" spans="1:9" x14ac:dyDescent="0.35">
      <c r="A23" t="s">
        <v>314</v>
      </c>
      <c r="H23">
        <v>140000</v>
      </c>
      <c r="I23">
        <v>140000</v>
      </c>
    </row>
    <row r="24" spans="1:9" x14ac:dyDescent="0.35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35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35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35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35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35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35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35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35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35">
      <c r="A33" t="s">
        <v>336</v>
      </c>
      <c r="H33">
        <v>277100</v>
      </c>
      <c r="I33">
        <v>228300</v>
      </c>
    </row>
    <row r="34" spans="1:9" x14ac:dyDescent="0.35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257</v>
      </c>
      <c r="B1" t="s">
        <v>290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239</v>
      </c>
      <c r="C8" s="161"/>
      <c r="D8" s="162">
        <f>SUMPRODUCT(B5:B6,C5:C6)</f>
        <v>0.45</v>
      </c>
    </row>
    <row r="9" spans="1:16" x14ac:dyDescent="0.35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35">
      <c r="B8" s="161" t="s">
        <v>239</v>
      </c>
      <c r="C8" s="161"/>
      <c r="D8" s="162">
        <f>SUMPRODUCT(B5:B6,C5:C6)</f>
        <v>0.52500000000000002</v>
      </c>
    </row>
    <row r="9" spans="1:16" x14ac:dyDescent="0.35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28" t="s">
        <v>32</v>
      </c>
      <c r="B5" s="329"/>
      <c r="C5" s="329"/>
      <c r="D5" s="329"/>
      <c r="E5" s="329"/>
      <c r="F5" s="329"/>
      <c r="G5" s="329"/>
      <c r="H5" s="329"/>
      <c r="I5" s="329"/>
      <c r="J5" s="329"/>
      <c r="K5" s="329"/>
      <c r="L5" s="329"/>
      <c r="M5" s="329"/>
      <c r="N5" s="329"/>
      <c r="O5" s="329"/>
      <c r="P5" s="329"/>
      <c r="Q5" s="329"/>
      <c r="R5" s="329"/>
      <c r="S5" s="329"/>
    </row>
    <row r="6" spans="1:19" s="6" customFormat="1" ht="15" customHeight="1" x14ac:dyDescent="0.3">
      <c r="A6" s="330" t="s">
        <v>33</v>
      </c>
      <c r="B6" s="330"/>
      <c r="C6" s="330"/>
      <c r="D6" s="330"/>
      <c r="E6" s="330"/>
      <c r="F6" s="330"/>
      <c r="G6" s="330"/>
      <c r="H6" s="330"/>
      <c r="I6" s="330"/>
      <c r="J6" s="330"/>
      <c r="K6" s="330"/>
      <c r="L6" s="330"/>
      <c r="M6" s="330"/>
      <c r="N6" s="330"/>
      <c r="O6" s="330"/>
      <c r="P6" s="330"/>
      <c r="Q6" s="330"/>
      <c r="R6" s="330"/>
      <c r="S6" s="33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31"/>
      <c r="S8" s="332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35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15" t="s">
        <v>208</v>
      </c>
      <c r="B1" s="315"/>
      <c r="C1" s="35"/>
      <c r="H1"/>
      <c r="I1"/>
      <c r="J1"/>
      <c r="X1" t="s">
        <v>28</v>
      </c>
      <c r="Z1" s="333" t="s">
        <v>84</v>
      </c>
      <c r="AA1" s="333"/>
      <c r="AB1" s="333"/>
      <c r="AC1" s="314"/>
      <c r="AD1" s="314"/>
      <c r="AE1" s="314"/>
      <c r="AF1" s="314"/>
    </row>
    <row r="2" spans="1:32" x14ac:dyDescent="0.35">
      <c r="A2" s="334" t="s">
        <v>192</v>
      </c>
      <c r="B2" s="107"/>
      <c r="C2" t="s">
        <v>193</v>
      </c>
    </row>
    <row r="3" spans="1:32" x14ac:dyDescent="0.35">
      <c r="A3" s="334"/>
      <c r="B3" s="108"/>
      <c r="C3" t="s">
        <v>194</v>
      </c>
    </row>
    <row r="4" spans="1:32" x14ac:dyDescent="0.35">
      <c r="A4" s="334"/>
      <c r="B4" s="109"/>
      <c r="C4" t="s">
        <v>195</v>
      </c>
    </row>
    <row r="5" spans="1:32" x14ac:dyDescent="0.35">
      <c r="A5" s="334"/>
      <c r="B5" s="98"/>
      <c r="C5" t="s">
        <v>182</v>
      </c>
    </row>
    <row r="7" spans="1:32" x14ac:dyDescent="0.35">
      <c r="C7" s="324" t="s">
        <v>160</v>
      </c>
      <c r="D7" s="325"/>
      <c r="E7" s="325"/>
      <c r="F7" s="326"/>
      <c r="G7" s="324" t="s">
        <v>166</v>
      </c>
      <c r="H7" s="325"/>
      <c r="I7" s="325"/>
      <c r="J7" s="326"/>
      <c r="K7" s="324" t="s">
        <v>177</v>
      </c>
      <c r="L7" s="325"/>
      <c r="M7" s="325"/>
      <c r="N7" s="326"/>
    </row>
    <row r="8" spans="1:32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185</v>
      </c>
      <c r="B23" s="110"/>
    </row>
    <row r="24" spans="1:12" x14ac:dyDescent="0.35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188</v>
      </c>
      <c r="B31" s="110"/>
    </row>
    <row r="32" spans="1:12" x14ac:dyDescent="0.35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189</v>
      </c>
      <c r="B53" s="105"/>
    </row>
    <row r="54" spans="1:12" x14ac:dyDescent="0.35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190</v>
      </c>
      <c r="B61" s="105"/>
    </row>
    <row r="62" spans="1:12" x14ac:dyDescent="0.35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main!N50/1000</f>
        <v>382.93200834658188</v>
      </c>
      <c r="H70" s="102">
        <f>main!O50/1000</f>
        <v>577.41691666666668</v>
      </c>
      <c r="I70" s="102">
        <f>main!P50/1000</f>
        <v>577.41691666666668</v>
      </c>
      <c r="J70" s="102">
        <f>main!Q50/1000</f>
        <v>577.41691666666668</v>
      </c>
      <c r="K70" s="102">
        <f>main!R50/1000</f>
        <v>122.75024999999999</v>
      </c>
    </row>
    <row r="71" spans="1:11" x14ac:dyDescent="0.35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-519.67121484897336</v>
      </c>
      <c r="I72" s="103">
        <f t="shared" si="23"/>
        <v>-523.63619157232336</v>
      </c>
      <c r="J72" s="103">
        <f t="shared" si="23"/>
        <v>-527.91791393977326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14" zoomScale="110" zoomScaleNormal="110" workbookViewId="0">
      <selection activeCell="G23" sqref="G23:G24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40" t="s">
        <v>104</v>
      </c>
      <c r="B2" s="340"/>
      <c r="C2" s="340"/>
      <c r="D2" s="340"/>
      <c r="E2" s="340"/>
      <c r="F2" s="340"/>
      <c r="G2" s="340"/>
      <c r="H2" s="340"/>
      <c r="I2" s="340"/>
      <c r="J2" s="340"/>
      <c r="K2" s="77"/>
    </row>
    <row r="3" spans="1:24" x14ac:dyDescent="0.35">
      <c r="A3" s="340" t="s">
        <v>105</v>
      </c>
      <c r="B3" s="340"/>
      <c r="C3" s="340"/>
      <c r="D3" s="340"/>
      <c r="E3" s="340"/>
      <c r="F3" s="340"/>
      <c r="G3" s="340"/>
      <c r="H3" s="340"/>
      <c r="I3" s="340"/>
      <c r="J3" s="340"/>
      <c r="K3" s="77"/>
    </row>
    <row r="4" spans="1:24" ht="15" thickBot="1" x14ac:dyDescent="0.4">
      <c r="A4" s="341"/>
      <c r="B4" s="341"/>
      <c r="C4" s="341"/>
      <c r="D4" s="341"/>
      <c r="E4" s="341"/>
      <c r="F4" s="341"/>
      <c r="G4" s="341"/>
      <c r="H4" s="341"/>
      <c r="I4" s="341"/>
      <c r="J4" s="341"/>
      <c r="K4" s="346" t="s">
        <v>160</v>
      </c>
      <c r="L4" s="346"/>
      <c r="M4" s="346"/>
      <c r="N4" s="346"/>
    </row>
    <row r="5" spans="1:24" x14ac:dyDescent="0.35">
      <c r="A5" s="47"/>
      <c r="B5" s="48"/>
      <c r="C5" s="342" t="s">
        <v>106</v>
      </c>
      <c r="D5" s="343"/>
      <c r="E5" s="343"/>
      <c r="F5" s="343"/>
      <c r="G5" s="343"/>
      <c r="H5" s="343"/>
      <c r="I5" s="343"/>
      <c r="J5" s="344"/>
      <c r="K5" s="78"/>
      <c r="L5" s="345" t="s">
        <v>107</v>
      </c>
      <c r="M5" s="314"/>
      <c r="N5" s="314"/>
    </row>
    <row r="6" spans="1:24" x14ac:dyDescent="0.35">
      <c r="A6" s="1" t="s">
        <v>109</v>
      </c>
      <c r="B6" s="49"/>
      <c r="C6" s="336">
        <v>2020</v>
      </c>
      <c r="D6" s="337"/>
      <c r="E6" s="337"/>
      <c r="F6" s="337"/>
      <c r="G6" s="337"/>
      <c r="H6" s="337"/>
      <c r="I6" s="337"/>
      <c r="J6" s="338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14" t="s">
        <v>9</v>
      </c>
      <c r="L22" s="314"/>
      <c r="M22" s="314"/>
      <c r="N22" s="314"/>
      <c r="O22" s="314" t="s">
        <v>10</v>
      </c>
      <c r="P22" s="314"/>
      <c r="Q22" s="314"/>
      <c r="R22" s="314"/>
      <c r="S22" s="314" t="s">
        <v>11</v>
      </c>
      <c r="T22" s="314"/>
      <c r="U22" s="314"/>
      <c r="V22" s="314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39" t="s">
        <v>108</v>
      </c>
      <c r="L23" s="339"/>
      <c r="M23" s="339"/>
      <c r="N23" s="339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35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35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35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35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35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35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269</v>
      </c>
    </row>
    <row r="37" spans="3:23" x14ac:dyDescent="0.35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48" t="s">
        <v>87</v>
      </c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</row>
    <row r="7" spans="1:18" x14ac:dyDescent="0.35">
      <c r="A7" s="347" t="s">
        <v>88</v>
      </c>
      <c r="B7" s="347"/>
      <c r="C7" s="347"/>
      <c r="D7" s="34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47" t="s">
        <v>89</v>
      </c>
      <c r="C8" s="347"/>
      <c r="D8" s="34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47" t="s">
        <v>90</v>
      </c>
      <c r="C9" s="347"/>
      <c r="D9" s="34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47" t="s">
        <v>91</v>
      </c>
      <c r="C10" s="347"/>
      <c r="D10" s="34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47" t="s">
        <v>58</v>
      </c>
      <c r="C11" s="347"/>
      <c r="D11" s="34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47" t="s">
        <v>34</v>
      </c>
      <c r="D13" s="34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47" t="s">
        <v>89</v>
      </c>
      <c r="C19" s="347"/>
      <c r="D19" s="34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47" t="s">
        <v>90</v>
      </c>
      <c r="C20" s="347"/>
      <c r="D20" s="34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47" t="s">
        <v>91</v>
      </c>
      <c r="C21" s="347"/>
      <c r="D21" s="34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47" t="s">
        <v>58</v>
      </c>
      <c r="C22" s="347"/>
      <c r="D22" s="34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49" t="s">
        <v>95</v>
      </c>
      <c r="I27" s="349"/>
      <c r="J27" s="349"/>
      <c r="K27" s="349"/>
      <c r="L27" s="349"/>
      <c r="M27" s="349"/>
      <c r="N27" s="349"/>
      <c r="O27" s="349"/>
      <c r="P27" s="349"/>
      <c r="Q27" s="349"/>
      <c r="R27" s="349"/>
      <c r="S27" s="349"/>
      <c r="T27" s="349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50" t="s">
        <v>99</v>
      </c>
      <c r="G37" s="350"/>
      <c r="H37" s="350"/>
      <c r="I37" s="350"/>
      <c r="J37" s="350"/>
      <c r="K37" s="350"/>
      <c r="L37" s="350"/>
      <c r="M37" s="350"/>
      <c r="N37" s="350"/>
      <c r="O37" s="350"/>
      <c r="P37" s="350"/>
      <c r="Q37" s="350"/>
      <c r="R37" s="350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49" t="s">
        <v>101</v>
      </c>
      <c r="G48" s="349"/>
      <c r="H48" s="349"/>
      <c r="I48" s="349"/>
      <c r="J48" s="349"/>
      <c r="K48" s="349"/>
      <c r="L48" s="349"/>
      <c r="M48" s="349"/>
      <c r="N48" s="349"/>
      <c r="O48" s="349"/>
      <c r="P48" s="349"/>
      <c r="Q48" s="349"/>
      <c r="R48" s="349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28" t="s">
        <v>32</v>
      </c>
      <c r="B5" s="329"/>
      <c r="C5" s="329"/>
      <c r="D5" s="329"/>
      <c r="E5" s="329"/>
      <c r="F5" s="329"/>
      <c r="G5" s="329"/>
      <c r="H5" s="329"/>
      <c r="I5" s="329"/>
      <c r="J5" s="329"/>
      <c r="K5" s="329"/>
      <c r="L5" s="329"/>
      <c r="M5" s="329"/>
      <c r="N5" s="329"/>
      <c r="O5" s="329"/>
      <c r="P5" s="329"/>
      <c r="Q5" s="329"/>
      <c r="R5" s="329"/>
      <c r="S5" s="329"/>
    </row>
    <row r="6" spans="1:19" s="6" customFormat="1" ht="15" customHeight="1" x14ac:dyDescent="0.3">
      <c r="A6" s="330" t="s">
        <v>33</v>
      </c>
      <c r="B6" s="330"/>
      <c r="C6" s="330"/>
      <c r="D6" s="330"/>
      <c r="E6" s="330"/>
      <c r="F6" s="330"/>
      <c r="G6" s="330"/>
      <c r="H6" s="330"/>
      <c r="I6" s="330"/>
      <c r="J6" s="330"/>
      <c r="K6" s="330"/>
      <c r="L6" s="330"/>
      <c r="M6" s="330"/>
      <c r="N6" s="330"/>
      <c r="O6" s="330"/>
      <c r="P6" s="330"/>
      <c r="Q6" s="330"/>
      <c r="R6" s="330"/>
      <c r="S6" s="33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31" t="s">
        <v>34</v>
      </c>
      <c r="S8" s="332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51" t="s">
        <v>42</v>
      </c>
      <c r="E75" s="35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66951ee6-cd93-49c7-9437-e871b2a117d6"/>
    <ds:schemaRef ds:uri="cac5d118-ba7b-4807-b700-df6f95cfff5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2020-12-22T18:41:06Z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