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D6339456-5532-D14D-B965-DA85899B0AEA}" xr6:coauthVersionLast="45" xr6:coauthVersionMax="45" xr10:uidLastSave="{00000000-0000-0000-0000-000000000000}"/>
  <bookViews>
    <workbookView xWindow="0" yWindow="460" windowWidth="33600" windowHeight="20540" activeTab="2" xr2:uid="{BAFE3F49-3B7E-4387-938E-5F3D7AC6DAFE}"/>
  </bookViews>
  <sheets>
    <sheet name="main" sheetId="1" r:id="rId1"/>
    <sheet name="add-ons calculations" sheetId="5" r:id="rId2"/>
    <sheet name="FIM Add Factors" sheetId="9" r:id="rId3"/>
    <sheet name="MPC" sheetId="8" r:id="rId4"/>
    <sheet name="figuring out Medicaid" sheetId="7" r:id="rId5"/>
    <sheet name="add-ons - Kadija b4" sheetId="6" state="hidden" r:id="rId6"/>
    <sheet name="figuring out UI" sheetId="4" r:id="rId7"/>
    <sheet name="figuring NIPA tax changes" sheetId="3" r:id="rId8"/>
    <sheet name="figuring out social benefit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" i="5" l="1"/>
  <c r="V12" i="1"/>
  <c r="V10" i="1"/>
  <c r="V8" i="1"/>
  <c r="V6" i="1"/>
  <c r="J5" i="1"/>
  <c r="I5" i="1"/>
  <c r="H5" i="1"/>
  <c r="G5" i="1"/>
  <c r="F5" i="1"/>
  <c r="E5" i="1"/>
  <c r="D5" i="1"/>
  <c r="L8" i="1"/>
  <c r="M8" i="1" s="1"/>
  <c r="N8" i="1" s="1"/>
  <c r="O8" i="1" s="1"/>
  <c r="P8" i="1" s="1"/>
  <c r="Q8" i="1" s="1"/>
  <c r="R8" i="1" s="1"/>
  <c r="S8" i="1" s="1"/>
  <c r="T8" i="1" s="1"/>
  <c r="D28" i="8" l="1"/>
  <c r="C15" i="8" s="1"/>
  <c r="H20" i="8" s="1"/>
  <c r="D27" i="8"/>
  <c r="D26" i="8"/>
  <c r="L21" i="8"/>
  <c r="F17" i="8"/>
  <c r="G17" i="8" s="1"/>
  <c r="H17" i="8" s="1"/>
  <c r="C17" i="8"/>
  <c r="L16" i="8"/>
  <c r="C16" i="8"/>
  <c r="L15" i="8"/>
  <c r="D8" i="8"/>
  <c r="P6" i="8"/>
  <c r="D6" i="8"/>
  <c r="C6" i="8"/>
  <c r="D7" i="8" s="1"/>
  <c r="D5" i="8"/>
  <c r="E5" i="8" s="1"/>
  <c r="E7" i="8" l="1"/>
  <c r="F5" i="8"/>
  <c r="E9" i="8"/>
  <c r="I17" i="8"/>
  <c r="H18" i="8"/>
  <c r="D9" i="8"/>
  <c r="D18" i="8"/>
  <c r="D19" i="8"/>
  <c r="I18" i="8"/>
  <c r="E18" i="8"/>
  <c r="D20" i="8"/>
  <c r="F18" i="8"/>
  <c r="E20" i="8"/>
  <c r="G18" i="8"/>
  <c r="F20" i="8"/>
  <c r="G20" i="8"/>
  <c r="J17" i="8" l="1"/>
  <c r="I20" i="8"/>
  <c r="G5" i="8"/>
  <c r="F7" i="8"/>
  <c r="F9" i="8"/>
  <c r="H5" i="8" l="1"/>
  <c r="G9" i="8"/>
  <c r="G7" i="8"/>
  <c r="K17" i="8"/>
  <c r="L17" i="8" s="1"/>
  <c r="J18" i="8"/>
  <c r="J20" i="8"/>
  <c r="K20" i="8" l="1"/>
  <c r="L20" i="8" s="1"/>
  <c r="K18" i="8"/>
  <c r="H9" i="8"/>
  <c r="H7" i="8"/>
  <c r="I5" i="8"/>
  <c r="I9" i="8" l="1"/>
  <c r="J5" i="8"/>
  <c r="I7" i="8"/>
  <c r="K5" i="8" l="1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50" i="1" l="1"/>
  <c r="K50" i="1" s="1"/>
  <c r="I50" i="1"/>
  <c r="H50" i="1"/>
  <c r="G50" i="1"/>
  <c r="F50" i="1"/>
  <c r="E50" i="1"/>
  <c r="D50" i="1"/>
  <c r="J36" i="1"/>
  <c r="E33" i="1"/>
  <c r="F33" i="1"/>
  <c r="G33" i="1"/>
  <c r="H33" i="1"/>
  <c r="I33" i="1"/>
  <c r="J33" i="1"/>
  <c r="J34" i="1" s="1"/>
  <c r="D33" i="1"/>
  <c r="T45" i="1"/>
  <c r="AD45" i="1"/>
  <c r="AC45" i="1"/>
  <c r="AB45" i="1"/>
  <c r="H53" i="1"/>
  <c r="I53" i="1"/>
  <c r="F15" i="7" s="1"/>
  <c r="J15" i="7" s="1"/>
  <c r="J13" i="7" s="1"/>
  <c r="E53" i="1"/>
  <c r="F53" i="1"/>
  <c r="G53" i="1"/>
  <c r="D53" i="1"/>
  <c r="J40" i="1" l="1"/>
  <c r="H15" i="7"/>
  <c r="H13" i="7" s="1"/>
  <c r="AC52" i="1" s="1"/>
  <c r="K15" i="7"/>
  <c r="K13" i="7" s="1"/>
  <c r="F13" i="7"/>
  <c r="G15" i="7"/>
  <c r="G13" i="7" s="1"/>
  <c r="AB52" i="1" s="1"/>
  <c r="K52" i="1" s="1"/>
  <c r="L52" i="1" s="1"/>
  <c r="I15" i="7"/>
  <c r="I13" i="7" s="1"/>
  <c r="AD52" i="1" s="1"/>
  <c r="I40" i="1"/>
  <c r="K54" i="1"/>
  <c r="L54" i="1" s="1"/>
  <c r="M54" i="1" s="1"/>
  <c r="N54" i="1" s="1"/>
  <c r="O54" i="1" s="1"/>
  <c r="P54" i="1" s="1"/>
  <c r="Q54" i="1" s="1"/>
  <c r="R54" i="1" s="1"/>
  <c r="S54" i="1" s="1"/>
  <c r="J57" i="1"/>
  <c r="K57" i="1"/>
  <c r="L57" i="1"/>
  <c r="L50" i="1" s="1"/>
  <c r="M57" i="1"/>
  <c r="N57" i="1"/>
  <c r="O57" i="1"/>
  <c r="P57" i="1"/>
  <c r="Q57" i="1"/>
  <c r="R57" i="1"/>
  <c r="S57" i="1"/>
  <c r="I57" i="1"/>
  <c r="L49" i="1" l="1"/>
  <c r="M50" i="1"/>
  <c r="L15" i="7"/>
  <c r="L13" i="7" s="1"/>
  <c r="K49" i="1"/>
  <c r="W52" i="1"/>
  <c r="L45" i="1"/>
  <c r="M52" i="1"/>
  <c r="D25" i="5"/>
  <c r="J47" i="1"/>
  <c r="E50" i="5" s="1"/>
  <c r="K45" i="1"/>
  <c r="D58" i="1"/>
  <c r="D60" i="1" s="1"/>
  <c r="J59" i="1"/>
  <c r="D24" i="5" s="1"/>
  <c r="K23" i="1"/>
  <c r="J23" i="1"/>
  <c r="M49" i="1" l="1"/>
  <c r="N50" i="1"/>
  <c r="N52" i="1"/>
  <c r="M45" i="1"/>
  <c r="K59" i="1"/>
  <c r="E24" i="5" s="1"/>
  <c r="K36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D35" i="6"/>
  <c r="D32" i="6" s="1"/>
  <c r="G33" i="6"/>
  <c r="F33" i="6"/>
  <c r="E32" i="6"/>
  <c r="E34" i="6" s="1"/>
  <c r="K27" i="6"/>
  <c r="J27" i="6"/>
  <c r="I27" i="6"/>
  <c r="H27" i="6"/>
  <c r="G27" i="6"/>
  <c r="F27" i="6"/>
  <c r="E27" i="6"/>
  <c r="E24" i="6" s="1"/>
  <c r="E26" i="6" s="1"/>
  <c r="D27" i="6"/>
  <c r="D24" i="6"/>
  <c r="E62" i="5"/>
  <c r="L44" i="1"/>
  <c r="M44" i="1"/>
  <c r="N44" i="1"/>
  <c r="O44" i="1"/>
  <c r="P44" i="1"/>
  <c r="Q44" i="1"/>
  <c r="R44" i="1"/>
  <c r="S44" i="1"/>
  <c r="T44" i="1"/>
  <c r="K44" i="1"/>
  <c r="K34" i="1" s="1"/>
  <c r="M23" i="1"/>
  <c r="N23" i="1"/>
  <c r="O23" i="1"/>
  <c r="P23" i="1"/>
  <c r="L23" i="1"/>
  <c r="L34" i="1" l="1"/>
  <c r="M34" i="1" s="1"/>
  <c r="E54" i="6"/>
  <c r="E56" i="6" s="1"/>
  <c r="N49" i="1"/>
  <c r="O50" i="1"/>
  <c r="F54" i="6"/>
  <c r="K40" i="1"/>
  <c r="F68" i="5" s="1"/>
  <c r="O52" i="1"/>
  <c r="X52" i="1" s="1"/>
  <c r="N45" i="1"/>
  <c r="K32" i="1"/>
  <c r="G54" i="6"/>
  <c r="F56" i="6"/>
  <c r="F58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32" i="6"/>
  <c r="F76" i="6" l="1"/>
  <c r="F80" i="6" s="1"/>
  <c r="F82" i="6" s="1"/>
  <c r="P50" i="1"/>
  <c r="O49" i="1"/>
  <c r="N34" i="1"/>
  <c r="O45" i="1"/>
  <c r="P52" i="1"/>
  <c r="G32" i="6"/>
  <c r="F34" i="6"/>
  <c r="F36" i="6" s="1"/>
  <c r="G50" i="6"/>
  <c r="H48" i="6"/>
  <c r="H62" i="6"/>
  <c r="G64" i="6"/>
  <c r="G66" i="6" s="1"/>
  <c r="G24" i="6"/>
  <c r="G76" i="6"/>
  <c r="G56" i="6"/>
  <c r="G58" i="6" s="1"/>
  <c r="H54" i="6"/>
  <c r="I41" i="6"/>
  <c r="H43" i="6"/>
  <c r="O34" i="1" l="1"/>
  <c r="Q50" i="1"/>
  <c r="P49" i="1"/>
  <c r="P45" i="1"/>
  <c r="Q52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H56" i="6"/>
  <c r="H58" i="6" s="1"/>
  <c r="I54" i="6"/>
  <c r="G34" i="6"/>
  <c r="G36" i="6" s="1"/>
  <c r="H32" i="6"/>
  <c r="Q49" i="1" l="1"/>
  <c r="R50" i="1"/>
  <c r="P34" i="1"/>
  <c r="Q45" i="1"/>
  <c r="R52" i="1"/>
  <c r="J43" i="6"/>
  <c r="K41" i="6"/>
  <c r="K43" i="6" s="1"/>
  <c r="J48" i="6"/>
  <c r="I50" i="6"/>
  <c r="I64" i="6"/>
  <c r="I66" i="6" s="1"/>
  <c r="J62" i="6"/>
  <c r="H34" i="6"/>
  <c r="H36" i="6" s="1"/>
  <c r="I32" i="6"/>
  <c r="I56" i="6"/>
  <c r="I58" i="6" s="1"/>
  <c r="J54" i="6"/>
  <c r="H80" i="6"/>
  <c r="H82" i="6" s="1"/>
  <c r="I76" i="6"/>
  <c r="H26" i="6"/>
  <c r="H28" i="6" s="1"/>
  <c r="I24" i="6"/>
  <c r="S50" i="1" l="1"/>
  <c r="R49" i="1"/>
  <c r="R45" i="1"/>
  <c r="S52" i="1"/>
  <c r="S45" i="1" s="1"/>
  <c r="Y52" i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K54" i="6"/>
  <c r="K56" i="6" s="1"/>
  <c r="K58" i="6" s="1"/>
  <c r="J56" i="6"/>
  <c r="J58" i="6" s="1"/>
  <c r="S49" i="1" l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L36" i="1" l="1"/>
  <c r="L40" i="1" s="1"/>
  <c r="M36" i="1"/>
  <c r="M40" i="1" s="1"/>
  <c r="N36" i="1"/>
  <c r="N40" i="1" s="1"/>
  <c r="O36" i="1"/>
  <c r="O40" i="1" s="1"/>
  <c r="P36" i="1"/>
  <c r="P40" i="1" s="1"/>
  <c r="L29" i="1"/>
  <c r="M29" i="1"/>
  <c r="N29" i="1"/>
  <c r="O29" i="1"/>
  <c r="P29" i="1"/>
  <c r="K29" i="1"/>
  <c r="E69" i="5"/>
  <c r="F69" i="5"/>
  <c r="F70" i="5" s="1"/>
  <c r="G69" i="5"/>
  <c r="H69" i="5"/>
  <c r="I69" i="5"/>
  <c r="J69" i="5"/>
  <c r="K69" i="5"/>
  <c r="D69" i="5"/>
  <c r="E63" i="5"/>
  <c r="F63" i="5"/>
  <c r="G63" i="5"/>
  <c r="H63" i="5"/>
  <c r="I63" i="5"/>
  <c r="J63" i="5"/>
  <c r="K63" i="5"/>
  <c r="D63" i="5"/>
  <c r="E57" i="5"/>
  <c r="F57" i="5"/>
  <c r="G57" i="5"/>
  <c r="H57" i="5"/>
  <c r="I57" i="5"/>
  <c r="J57" i="5"/>
  <c r="K57" i="5"/>
  <c r="D57" i="5"/>
  <c r="E51" i="5"/>
  <c r="F51" i="5"/>
  <c r="G51" i="5"/>
  <c r="H51" i="5"/>
  <c r="I51" i="5"/>
  <c r="J51" i="5"/>
  <c r="K51" i="5"/>
  <c r="D51" i="5"/>
  <c r="E31" i="5"/>
  <c r="F31" i="5"/>
  <c r="G31" i="5"/>
  <c r="H31" i="5"/>
  <c r="I31" i="5"/>
  <c r="J31" i="5"/>
  <c r="K31" i="5"/>
  <c r="D31" i="5"/>
  <c r="E25" i="5"/>
  <c r="G25" i="5"/>
  <c r="H25" i="5"/>
  <c r="I25" i="5"/>
  <c r="J25" i="5"/>
  <c r="K25" i="5"/>
  <c r="E45" i="5"/>
  <c r="F45" i="5"/>
  <c r="G45" i="5"/>
  <c r="H45" i="5"/>
  <c r="I45" i="5"/>
  <c r="J45" i="5"/>
  <c r="K45" i="5"/>
  <c r="D45" i="5"/>
  <c r="F44" i="5"/>
  <c r="E38" i="5"/>
  <c r="F38" i="5"/>
  <c r="G38" i="5"/>
  <c r="H38" i="5"/>
  <c r="I38" i="5"/>
  <c r="J38" i="5"/>
  <c r="K38" i="5"/>
  <c r="D38" i="5"/>
  <c r="F37" i="5"/>
  <c r="G37" i="5" s="1"/>
  <c r="N17" i="1"/>
  <c r="M17" i="1"/>
  <c r="K17" i="1"/>
  <c r="L21" i="1"/>
  <c r="K21" i="1"/>
  <c r="F46" i="5" l="1"/>
  <c r="G62" i="5"/>
  <c r="G64" i="5" s="1"/>
  <c r="G70" i="6"/>
  <c r="G72" i="6" s="1"/>
  <c r="I70" i="6"/>
  <c r="I72" i="6" s="1"/>
  <c r="I62" i="5"/>
  <c r="I64" i="5" s="1"/>
  <c r="F62" i="5"/>
  <c r="F64" i="5" s="1"/>
  <c r="F70" i="6"/>
  <c r="F72" i="6" s="1"/>
  <c r="H70" i="6"/>
  <c r="H72" i="6" s="1"/>
  <c r="H62" i="5"/>
  <c r="H64" i="5" s="1"/>
  <c r="K70" i="6"/>
  <c r="K72" i="6" s="1"/>
  <c r="K62" i="5"/>
  <c r="K64" i="5" s="1"/>
  <c r="J62" i="5"/>
  <c r="J64" i="5" s="1"/>
  <c r="J70" i="6"/>
  <c r="J72" i="6" s="1"/>
  <c r="L32" i="1"/>
  <c r="G44" i="5"/>
  <c r="G46" i="5" s="1"/>
  <c r="H37" i="5"/>
  <c r="G39" i="5"/>
  <c r="F39" i="5"/>
  <c r="H2" i="9" l="1" a="1"/>
  <c r="M32" i="1"/>
  <c r="H44" i="5"/>
  <c r="I44" i="5" s="1"/>
  <c r="I37" i="5"/>
  <c r="H39" i="5"/>
  <c r="H3" i="9" l="1"/>
  <c r="H7" i="9"/>
  <c r="H6" i="9"/>
  <c r="H5" i="9"/>
  <c r="H4" i="9"/>
  <c r="H2" i="9"/>
  <c r="N32" i="1"/>
  <c r="H46" i="5"/>
  <c r="J44" i="5"/>
  <c r="I46" i="5"/>
  <c r="J37" i="5"/>
  <c r="I39" i="5"/>
  <c r="P32" i="1" l="1"/>
  <c r="O32" i="1"/>
  <c r="K44" i="5"/>
  <c r="K46" i="5" s="1"/>
  <c r="J46" i="5"/>
  <c r="E2" i="9" s="1" a="1"/>
  <c r="K37" i="5"/>
  <c r="K39" i="5" s="1"/>
  <c r="D2" i="9" s="1" a="1"/>
  <c r="J39" i="5"/>
  <c r="D2" i="9" l="1"/>
  <c r="D4" i="9"/>
  <c r="D3" i="9"/>
  <c r="D7" i="9"/>
  <c r="D6" i="9"/>
  <c r="D5" i="9"/>
  <c r="E2" i="9"/>
  <c r="E5" i="9"/>
  <c r="E4" i="9"/>
  <c r="E7" i="9"/>
  <c r="E3" i="9"/>
  <c r="E6" i="9"/>
  <c r="E58" i="1"/>
  <c r="E60" i="1" s="1"/>
  <c r="F58" i="1"/>
  <c r="F60" i="1" s="1"/>
  <c r="G58" i="1"/>
  <c r="G60" i="1" s="1"/>
  <c r="H58" i="1"/>
  <c r="H60" i="1" s="1"/>
  <c r="I58" i="1"/>
  <c r="I60" i="1" s="1"/>
  <c r="L8" i="4"/>
  <c r="T27" i="1" l="1"/>
  <c r="X23" i="1"/>
  <c r="Y23" i="1"/>
  <c r="X42" i="2"/>
  <c r="F47" i="2"/>
  <c r="X41" i="2"/>
  <c r="X40" i="2"/>
  <c r="X38" i="2"/>
  <c r="X37" i="2"/>
  <c r="X36" i="2"/>
  <c r="X35" i="2"/>
  <c r="X34" i="2"/>
  <c r="Q20" i="1"/>
  <c r="R20" i="1"/>
  <c r="S20" i="1"/>
  <c r="J26" i="1"/>
  <c r="I26" i="1"/>
  <c r="I46" i="1" s="1"/>
  <c r="D56" i="5" s="1"/>
  <c r="H26" i="1"/>
  <c r="H46" i="1" s="1"/>
  <c r="W23" i="1"/>
  <c r="G48" i="2"/>
  <c r="AB23" i="1" s="1"/>
  <c r="W17" i="1"/>
  <c r="Q22" i="1"/>
  <c r="R22" i="1"/>
  <c r="S22" i="1"/>
  <c r="R38" i="4"/>
  <c r="R18" i="4" s="1"/>
  <c r="P22" i="1" s="1"/>
  <c r="J37" i="4"/>
  <c r="J17" i="4" s="1"/>
  <c r="Q33" i="4"/>
  <c r="Q26" i="4" s="1"/>
  <c r="P33" i="4"/>
  <c r="P26" i="4" s="1"/>
  <c r="O33" i="4"/>
  <c r="O26" i="4" s="1"/>
  <c r="N33" i="4"/>
  <c r="N26" i="4" s="1"/>
  <c r="N13" i="4"/>
  <c r="N12" i="4"/>
  <c r="N11" i="4"/>
  <c r="N10" i="4"/>
  <c r="M13" i="4"/>
  <c r="M31" i="4" s="1"/>
  <c r="L13" i="4"/>
  <c r="L31" i="4" s="1"/>
  <c r="F29" i="4"/>
  <c r="F30" i="4" s="1"/>
  <c r="G30" i="4"/>
  <c r="H30" i="4"/>
  <c r="F31" i="4"/>
  <c r="G31" i="4"/>
  <c r="H31" i="4"/>
  <c r="H32" i="4"/>
  <c r="J26" i="4"/>
  <c r="J34" i="4" s="1"/>
  <c r="K30" i="4"/>
  <c r="L12" i="4"/>
  <c r="L30" i="4" s="1"/>
  <c r="M30" i="4" s="1"/>
  <c r="M12" i="4" s="1"/>
  <c r="K29" i="4"/>
  <c r="L11" i="4"/>
  <c r="L29" i="4" s="1"/>
  <c r="M29" i="4" s="1"/>
  <c r="M11" i="4" s="1"/>
  <c r="K28" i="4"/>
  <c r="K37" i="4" s="1"/>
  <c r="K17" i="4" s="1"/>
  <c r="L10" i="4"/>
  <c r="F32" i="4" l="1"/>
  <c r="G47" i="2"/>
  <c r="I27" i="1"/>
  <c r="H27" i="1"/>
  <c r="S18" i="1"/>
  <c r="R18" i="1"/>
  <c r="Q18" i="1"/>
  <c r="G32" i="4"/>
  <c r="J38" i="4"/>
  <c r="J18" i="4" s="1"/>
  <c r="G49" i="2"/>
  <c r="G50" i="2" s="1"/>
  <c r="X43" i="2"/>
  <c r="Y22" i="1"/>
  <c r="P17" i="4"/>
  <c r="N20" i="1" s="1"/>
  <c r="N19" i="1" s="1"/>
  <c r="P18" i="4"/>
  <c r="N22" i="1" s="1"/>
  <c r="N37" i="4"/>
  <c r="N17" i="4" s="1"/>
  <c r="L20" i="1" s="1"/>
  <c r="L19" i="1" s="1"/>
  <c r="O17" i="4"/>
  <c r="M20" i="1" s="1"/>
  <c r="M19" i="1" s="1"/>
  <c r="R17" i="4"/>
  <c r="P20" i="1" s="1"/>
  <c r="Q17" i="4"/>
  <c r="O20" i="1" s="1"/>
  <c r="O19" i="1" s="1"/>
  <c r="K26" i="4"/>
  <c r="L26" i="4"/>
  <c r="L28" i="4"/>
  <c r="P18" i="1" l="1"/>
  <c r="Y18" i="1" s="1"/>
  <c r="P19" i="1"/>
  <c r="N18" i="1"/>
  <c r="X20" i="1"/>
  <c r="M28" i="4"/>
  <c r="L33" i="4"/>
  <c r="L37" i="4" s="1"/>
  <c r="L17" i="4" s="1"/>
  <c r="J20" i="1" s="1"/>
  <c r="J19" i="1" s="1"/>
  <c r="L34" i="4"/>
  <c r="Y20" i="1"/>
  <c r="M26" i="4"/>
  <c r="K34" i="4"/>
  <c r="K38" i="4"/>
  <c r="K18" i="4" s="1"/>
  <c r="O18" i="4"/>
  <c r="M22" i="1" s="1"/>
  <c r="M18" i="1" s="1"/>
  <c r="N18" i="4"/>
  <c r="L22" i="1" s="1"/>
  <c r="Q18" i="4"/>
  <c r="O22" i="1" s="1"/>
  <c r="O18" i="1" s="1"/>
  <c r="J46" i="1" l="1"/>
  <c r="E56" i="5" s="1"/>
  <c r="J27" i="1"/>
  <c r="L18" i="1"/>
  <c r="M33" i="4"/>
  <c r="M37" i="4" s="1"/>
  <c r="M17" i="4" s="1"/>
  <c r="K20" i="1" s="1"/>
  <c r="M10" i="4"/>
  <c r="X22" i="1"/>
  <c r="L38" i="4"/>
  <c r="L18" i="4" s="1"/>
  <c r="J22" i="1" s="1"/>
  <c r="M8" i="4"/>
  <c r="M38" i="4"/>
  <c r="M18" i="4" s="1"/>
  <c r="K22" i="1" s="1"/>
  <c r="K10" i="1"/>
  <c r="L10" i="1" s="1"/>
  <c r="M10" i="1" s="1"/>
  <c r="N10" i="1" s="1"/>
  <c r="O10" i="1" s="1"/>
  <c r="P10" i="1" s="1"/>
  <c r="Q10" i="1" s="1"/>
  <c r="R10" i="1" s="1"/>
  <c r="S10" i="1" s="1"/>
  <c r="T10" i="1" s="1"/>
  <c r="K20" i="3"/>
  <c r="L20" i="3"/>
  <c r="M20" i="3"/>
  <c r="N20" i="3"/>
  <c r="O20" i="3"/>
  <c r="P20" i="3"/>
  <c r="Q20" i="3"/>
  <c r="R20" i="3"/>
  <c r="J20" i="3"/>
  <c r="I20" i="3"/>
  <c r="H20" i="3"/>
  <c r="AD10" i="1" s="1"/>
  <c r="G20" i="3"/>
  <c r="AC10" i="1" s="1"/>
  <c r="F20" i="3"/>
  <c r="AB10" i="1" s="1"/>
  <c r="W8" i="1"/>
  <c r="G21" i="3"/>
  <c r="AC12" i="1" s="1"/>
  <c r="H21" i="3"/>
  <c r="AD12" i="1" s="1"/>
  <c r="I21" i="3"/>
  <c r="J21" i="3"/>
  <c r="K21" i="3"/>
  <c r="L21" i="3"/>
  <c r="M21" i="3"/>
  <c r="N21" i="3"/>
  <c r="O21" i="3"/>
  <c r="P21" i="3"/>
  <c r="Q21" i="3"/>
  <c r="R21" i="3"/>
  <c r="F21" i="3"/>
  <c r="AB12" i="1" s="1"/>
  <c r="G19" i="3"/>
  <c r="AC6" i="1" s="1"/>
  <c r="H19" i="3"/>
  <c r="AD6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B6" i="1" s="1"/>
  <c r="K6" i="1" s="1"/>
  <c r="E26" i="1"/>
  <c r="E46" i="1" s="1"/>
  <c r="F26" i="1"/>
  <c r="F46" i="1" s="1"/>
  <c r="G26" i="1"/>
  <c r="G46" i="1" s="1"/>
  <c r="D26" i="1"/>
  <c r="D46" i="1" s="1"/>
  <c r="Z18" i="1"/>
  <c r="I47" i="2"/>
  <c r="H47" i="2"/>
  <c r="F24" i="2"/>
  <c r="M34" i="4" l="1"/>
  <c r="M35" i="4" s="1"/>
  <c r="K18" i="1"/>
  <c r="W18" i="1" s="1"/>
  <c r="K19" i="1"/>
  <c r="D27" i="1"/>
  <c r="E27" i="1"/>
  <c r="F27" i="1"/>
  <c r="G27" i="1"/>
  <c r="W22" i="1"/>
  <c r="J58" i="1"/>
  <c r="X18" i="1"/>
  <c r="H49" i="2"/>
  <c r="H50" i="2" s="1"/>
  <c r="W20" i="1"/>
  <c r="I49" i="2"/>
  <c r="I50" i="2" s="1"/>
  <c r="E30" i="5" l="1"/>
  <c r="J60" i="1"/>
  <c r="X8" i="1"/>
  <c r="Y10" i="1"/>
  <c r="X10" i="1"/>
  <c r="K58" i="1"/>
  <c r="Z32" i="1"/>
  <c r="Z45" i="1"/>
  <c r="Z29" i="1"/>
  <c r="Z16" i="1"/>
  <c r="Z15" i="1"/>
  <c r="Z12" i="1"/>
  <c r="Z10" i="1"/>
  <c r="Z8" i="1"/>
  <c r="Z6" i="1"/>
  <c r="AC16" i="1"/>
  <c r="AB16" i="1"/>
  <c r="F30" i="5" l="1"/>
  <c r="F32" i="5" s="1"/>
  <c r="K60" i="1"/>
  <c r="AB15" i="1"/>
  <c r="K15" i="1" s="1"/>
  <c r="W15" i="1" s="1"/>
  <c r="AC15" i="1"/>
  <c r="AC26" i="1" s="1"/>
  <c r="AD15" i="1"/>
  <c r="AD26" i="1" s="1"/>
  <c r="Y8" i="1"/>
  <c r="W45" i="1"/>
  <c r="M16" i="1"/>
  <c r="W10" i="1"/>
  <c r="K12" i="1"/>
  <c r="L12" i="1" s="1"/>
  <c r="M12" i="1" s="1"/>
  <c r="N12" i="1" s="1"/>
  <c r="O12" i="1" s="1"/>
  <c r="P12" i="1" s="1"/>
  <c r="Q12" i="1" s="1"/>
  <c r="R12" i="1" s="1"/>
  <c r="S12" i="1" s="1"/>
  <c r="N16" i="1"/>
  <c r="K16" i="1"/>
  <c r="K47" i="1" s="1"/>
  <c r="F50" i="5" s="1"/>
  <c r="F52" i="5" s="1"/>
  <c r="L16" i="1"/>
  <c r="AB26" i="1" l="1"/>
  <c r="K5" i="1"/>
  <c r="R16" i="1"/>
  <c r="P16" i="1"/>
  <c r="Q16" i="1"/>
  <c r="O16" i="1"/>
  <c r="W16" i="1"/>
  <c r="K26" i="1"/>
  <c r="W12" i="1"/>
  <c r="L6" i="1" l="1"/>
  <c r="K46" i="1"/>
  <c r="F56" i="5" s="1"/>
  <c r="F58" i="5" s="1"/>
  <c r="K27" i="1"/>
  <c r="W6" i="1"/>
  <c r="L26" i="1"/>
  <c r="L27" i="1" s="1"/>
  <c r="W26" i="1"/>
  <c r="S16" i="1"/>
  <c r="X16" i="1"/>
  <c r="X12" i="1"/>
  <c r="M6" i="1" l="1"/>
  <c r="L5" i="1"/>
  <c r="L46" i="1"/>
  <c r="G56" i="5" s="1"/>
  <c r="G58" i="5" s="1"/>
  <c r="M26" i="1"/>
  <c r="L15" i="1"/>
  <c r="Y16" i="1"/>
  <c r="Y12" i="1"/>
  <c r="N6" i="1" l="1"/>
  <c r="M5" i="1"/>
  <c r="M46" i="1"/>
  <c r="H56" i="5" s="1"/>
  <c r="H58" i="5" s="1"/>
  <c r="M27" i="1"/>
  <c r="N26" i="1"/>
  <c r="N27" i="1" s="1"/>
  <c r="M15" i="1"/>
  <c r="O6" i="1" l="1"/>
  <c r="N5" i="1"/>
  <c r="N15" i="1"/>
  <c r="N46" i="1"/>
  <c r="I56" i="5" s="1"/>
  <c r="I58" i="5" s="1"/>
  <c r="O26" i="1"/>
  <c r="O27" i="1" s="1"/>
  <c r="X6" i="1"/>
  <c r="P6" i="1" l="1"/>
  <c r="O5" i="1"/>
  <c r="O15" i="1"/>
  <c r="X15" i="1" s="1"/>
  <c r="O46" i="1"/>
  <c r="J56" i="5" s="1"/>
  <c r="J58" i="5" s="1"/>
  <c r="P26" i="1"/>
  <c r="P27" i="1" s="1"/>
  <c r="X26" i="1"/>
  <c r="Q6" i="1" l="1"/>
  <c r="P5" i="1"/>
  <c r="P15" i="1"/>
  <c r="P46" i="1"/>
  <c r="K56" i="5" s="1"/>
  <c r="K58" i="5" s="1"/>
  <c r="G2" i="9" s="1" a="1"/>
  <c r="Q26" i="1"/>
  <c r="Q27" i="1" s="1"/>
  <c r="G2" i="9" l="1"/>
  <c r="G6" i="9"/>
  <c r="G5" i="9"/>
  <c r="G7" i="9"/>
  <c r="G4" i="9"/>
  <c r="G3" i="9"/>
  <c r="R6" i="1"/>
  <c r="Q5" i="1"/>
  <c r="Q46" i="1"/>
  <c r="Q15" i="1"/>
  <c r="R26" i="1"/>
  <c r="R27" i="1" s="1"/>
  <c r="S6" i="1" l="1"/>
  <c r="R5" i="1"/>
  <c r="R46" i="1"/>
  <c r="R15" i="1"/>
  <c r="S26" i="1"/>
  <c r="S27" i="1" s="1"/>
  <c r="S5" i="1" l="1"/>
  <c r="T6" i="1"/>
  <c r="T5" i="1" s="1"/>
  <c r="Y6" i="1"/>
  <c r="S46" i="1"/>
  <c r="Y26" i="1"/>
  <c r="S15" i="1"/>
  <c r="Y15" i="1" s="1"/>
  <c r="L58" i="1" l="1"/>
  <c r="G68" i="5"/>
  <c r="G70" i="5" s="1"/>
  <c r="L47" i="1"/>
  <c r="G50" i="5" s="1"/>
  <c r="G52" i="5" s="1"/>
  <c r="L59" i="1"/>
  <c r="F24" i="5" s="1"/>
  <c r="F26" i="5" s="1"/>
  <c r="G30" i="5" l="1"/>
  <c r="G32" i="5" s="1"/>
  <c r="L60" i="1"/>
  <c r="M59" i="1"/>
  <c r="G24" i="5" s="1"/>
  <c r="G26" i="5" s="1"/>
  <c r="H68" i="5"/>
  <c r="H70" i="5" s="1"/>
  <c r="M47" i="1"/>
  <c r="H50" i="5" s="1"/>
  <c r="H52" i="5" s="1"/>
  <c r="M58" i="1"/>
  <c r="H30" i="5" l="1"/>
  <c r="H32" i="5" s="1"/>
  <c r="M60" i="1"/>
  <c r="I68" i="5"/>
  <c r="I70" i="5" s="1"/>
  <c r="N59" i="1"/>
  <c r="H24" i="5" s="1"/>
  <c r="H26" i="5" s="1"/>
  <c r="N58" i="1"/>
  <c r="N47" i="1"/>
  <c r="I50" i="5" s="1"/>
  <c r="I52" i="5" s="1"/>
  <c r="I30" i="5" l="1"/>
  <c r="I32" i="5" s="1"/>
  <c r="N60" i="1"/>
  <c r="J68" i="5"/>
  <c r="J70" i="5" s="1"/>
  <c r="X45" i="1"/>
  <c r="O59" i="1"/>
  <c r="I24" i="5" s="1"/>
  <c r="I26" i="5" s="1"/>
  <c r="O47" i="1"/>
  <c r="J50" i="5" s="1"/>
  <c r="J52" i="5" s="1"/>
  <c r="O58" i="1"/>
  <c r="J30" i="5" l="1"/>
  <c r="J32" i="5" s="1"/>
  <c r="O60" i="1"/>
  <c r="K68" i="5"/>
  <c r="K70" i="5" s="1"/>
  <c r="I2" i="9" s="1" a="1"/>
  <c r="P47" i="1"/>
  <c r="K50" i="5" s="1"/>
  <c r="K52" i="5" s="1"/>
  <c r="F2" i="9" s="1" a="1"/>
  <c r="P59" i="1"/>
  <c r="J24" i="5" s="1"/>
  <c r="J26" i="5" s="1"/>
  <c r="P58" i="1"/>
  <c r="F3" i="9" l="1"/>
  <c r="F5" i="9"/>
  <c r="F7" i="9"/>
  <c r="F2" i="9"/>
  <c r="F6" i="9"/>
  <c r="F4" i="9"/>
  <c r="I4" i="9"/>
  <c r="I3" i="9"/>
  <c r="I2" i="9"/>
  <c r="I7" i="9"/>
  <c r="I6" i="9"/>
  <c r="I5" i="9"/>
  <c r="K30" i="5"/>
  <c r="K32" i="5" s="1"/>
  <c r="C2" i="9" s="1" a="1"/>
  <c r="P60" i="1"/>
  <c r="Q59" i="1"/>
  <c r="K24" i="5" s="1"/>
  <c r="K26" i="5" s="1"/>
  <c r="B2" i="9" s="1" a="1"/>
  <c r="Q47" i="1"/>
  <c r="Q58" i="1"/>
  <c r="Q60" i="1" s="1"/>
  <c r="B2" i="9" l="1"/>
  <c r="B7" i="9"/>
  <c r="B3" i="9"/>
  <c r="B5" i="9"/>
  <c r="B4" i="9"/>
  <c r="B6" i="9"/>
  <c r="C2" i="9"/>
  <c r="C7" i="9"/>
  <c r="C6" i="9"/>
  <c r="C4" i="9"/>
  <c r="C3" i="9"/>
  <c r="C5" i="9"/>
  <c r="R59" i="1"/>
  <c r="R47" i="1"/>
  <c r="R58" i="1"/>
  <c r="R60" i="1" s="1"/>
  <c r="S58" i="1" l="1"/>
  <c r="S60" i="1" s="1"/>
  <c r="S47" i="1"/>
  <c r="S59" i="1"/>
  <c r="Y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tc={2D81BDF9-A0D8-4A1A-915B-91D32E8E61FF}</author>
    <author>tc={11731043-8530-4DAC-9476-3C98D0D836BB}</author>
  </authors>
  <commentList>
    <comment ref="K6" authorId="0" shapeId="0" xr:uid="{A821505C-AC23-4B5B-BBC2-12D64353A45B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already have estimate for the FY total and 3 quarters worth of data, we can estimate the final quarter</t>
        </r>
      </text>
    </comment>
    <comment ref="K10" authorId="0" shapeId="0" xr:uid="{5709E9C6-FE6E-456A-AEFE-07D54A9DC35E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use the formula from q3 personal taxes, we get 1199.3. why do we add 30? </t>
        </r>
      </text>
    </comment>
    <comment ref="K12" authorId="0" shapeId="0" xr:uid="{BAFD8D0A-791D-4FA7-8B41-E03C4AE04D0E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already have estimate for the FY total and 3 quarters worth of data, we can estimate the final quarter</t>
        </r>
      </text>
    </comment>
    <comment ref="J34" authorId="1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50" authorId="2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<sst xmlns="http://schemas.openxmlformats.org/spreadsheetml/2006/main" count="649" uniqueCount="265">
  <si>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</si>
  <si>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</si>
  <si>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</si>
  <si>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</si>
  <si>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</si>
  <si>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</si>
  <si>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</si>
  <si>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</si>
  <si>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</si>
  <si>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</si>
  <si>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</si>
  <si>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</si>
  <si>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</si>
  <si>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</si>
  <si>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</si>
  <si>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</si>
  <si>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</si>
  <si>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</si>
  <si>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</si>
  <si>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</si>
  <si>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</si>
  <si>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</si>
  <si>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and local Corpoate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</si>
  <si>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</si>
  <si>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</si>
  <si>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</si>
  <si>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</si>
  <si>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</si>
  <si>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</si>
  <si>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</si>
  <si>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</si>
  <si>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</si>
  <si>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</si>
  <si>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</si>
  <si>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</si>
  <si>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</si>
  <si>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</si>
  <si>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</si>
  <si>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</si>
  <si>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</si>
  <si>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</si>
  <si>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</si>
  <si>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</si>
  <si>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</si>
  <si>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</si>
  <si>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</si>
  <si>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</si>
  <si>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</si>
  <si>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</si>
  <si>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</si>
  <si>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</si>
  <si>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</si>
  <si>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</si>
  <si>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</si>
  <si>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</si>
  <si>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</si>
  <si>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</si>
  <si>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</si>
  <si>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</si>
  <si>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</si>
  <si>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</si>
  <si>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</si>
  <si>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</si>
  <si>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</si>
  <si>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</si>
  <si>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</si>
  <si>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</si>
  <si>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</si>
  <si>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</si>
  <si>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</si>
  <si>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</si>
  <si>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</si>
  <si>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</si>
  <si>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</si>
  <si>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</si>
  <si>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</si>
  <si>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</si>
  <si>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</si>
  <si>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</si>
  <si>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</si>
  <si>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</si>
  <si>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</si>
  <si>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</si>
  <si>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</si>
  <si>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</si>
  <si>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</si>
  <si>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</si>
  <si>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</si>
  <si>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</si>
  <si>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</si>
  <si>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</si>
  <si>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</si>
  <si>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</si>
  <si>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</si>
  <si>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</si>
  <si>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</si>
  <si>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</si>
  <si>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</si>
  <si>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</si>
  <si>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</si>
  <si>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</si>
  <si>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</si>
  <si>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</si>
  <si>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</si>
  <si>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</si>
  <si>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</si>
  <si>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</si>
  <si>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</si>
  <si>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</si>
  <si>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</si>
  <si>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</si>
  <si>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</si>
  <si>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</si>
  <si>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</si>
  <si>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</si>
  <si>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</si>
  <si>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</si>
  <si>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</si>
  <si>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</si>
  <si>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</si>
  <si>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</si>
  <si>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</si>
  <si>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</si>
  <si>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</si>
  <si>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</si>
  <si>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</si>
  <si>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</si>
  <si>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</si>
  <si>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</si>
  <si>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</si>
  <si>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</si>
  <si>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</si>
  <si>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</si>
  <si>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</si>
  <si>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</si>
  <si>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</si>
  <si>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</si>
  <si>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</si>
  <si>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</si>
  <si>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</si>
  <si>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</si>
  <si>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</si>
  <si>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</si>
  <si>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</si>
  <si>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</si>
  <si>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</si>
  <si>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Total Legislation</t>
  </si>
  <si>
    <t>Total AS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</si>
  <si>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</si>
  <si>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</si>
  <si>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</si>
  <si>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</si>
  <si>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</si>
  <si>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</si>
  <si>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</si>
  <si>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</si>
  <si>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</si>
  <si>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</si>
  <si>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</si>
  <si>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</si>
  <si>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</si>
  <si>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</si>
  <si>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</si>
  <si>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</si>
  <si>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</si>
  <si>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</si>
  <si>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</si>
  <si>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</si>
  <si>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</si>
  <si>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</si>
  <si>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</si>
  <si>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</si>
  <si>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</si>
  <si>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</si>
  <si>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</si>
  <si>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</si>
  <si>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</si>
  <si>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</si>
  <si>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</si>
  <si>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</si>
  <si>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</si>
  <si>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</si>
  <si>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</si>
  <si>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</si>
  <si>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</si>
  <si>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</si>
  <si>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</si>
  <si>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</si>
  <si>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</si>
  <si>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</si>
  <si>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</si>
  <si>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</si>
  <si>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</si>
  <si>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</si>
  <si>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</si>
  <si>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</si>
  <si>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</si>
  <si>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</si>
  <si>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</si>
  <si>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</si>
  <si>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</si>
  <si>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</si>
  <si>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</si>
  <si>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</si>
  <si>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</si>
  <si>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</si>
  <si>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</si>
  <si>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</si>
  <si>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</si>
  <si>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</si>
  <si>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</si>
  <si>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</si>
  <si>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</si>
  <si>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</si>
  <si>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</si>
  <si>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</si>
  <si>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</si>
  <si>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</si>
  <si>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</si>
  <si>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</si>
  <si>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</si>
  <si>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</si>
  <si>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</si>
  <si>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</si>
  <si>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</si>
  <si>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</si>
  <si>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</si>
  <si>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</si>
  <si>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</si>
  <si>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</si>
  <si>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</si>
  <si>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</si>
  <si>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</si>
  <si>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</si>
  <si>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</si>
  <si>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</si>
  <si>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</si>
  <si>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</si>
  <si>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</si>
  <si>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</si>
  <si>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</si>
  <si>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</si>
  <si>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</si>
  <si>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</si>
  <si>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</si>
  <si>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</si>
  <si>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New UI</t>
  </si>
  <si>
    <t>total mpc</t>
  </si>
  <si>
    <t>speed up UI</t>
  </si>
  <si>
    <t>Weights</t>
  </si>
  <si>
    <t>UI</t>
  </si>
  <si>
    <t>Rebates</t>
  </si>
  <si>
    <t>Our Estimate</t>
  </si>
  <si>
    <t>Fed Noncorporate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</si>
  <si>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</si>
  <si>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</si>
  <si>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</si>
  <si>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</si>
  <si>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</si>
  <si>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</si>
  <si>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</si>
  <si>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</si>
  <si>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</si>
  <si>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</si>
  <si>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add_federal_cgrants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</si>
</sst>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2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7" fillId="0" borderId="0" xfId="3" applyNumberFormat="1" applyFont="1" applyAlignment="1"/>
    <xf numFmtId="0" fontId="7" fillId="0" borderId="0" xfId="4" applyFont="1"/>
    <xf numFmtId="0" fontId="9" fillId="0" borderId="0" xfId="2" applyFont="1" applyFill="1" applyAlignment="1">
      <alignment vertical="center"/>
    </xf>
    <xf numFmtId="0" fontId="10" fillId="0" borderId="0" xfId="2" applyFont="1" applyFill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fill"/>
    </xf>
    <xf numFmtId="1" fontId="13" fillId="0" borderId="0" xfId="0" applyNumberFormat="1" applyFont="1" applyAlignment="1">
      <alignment horizontal="fill"/>
    </xf>
    <xf numFmtId="0" fontId="13" fillId="0" borderId="0" xfId="0" applyFont="1"/>
    <xf numFmtId="1" fontId="7" fillId="0" borderId="0" xfId="0" applyNumberFormat="1" applyFont="1"/>
    <xf numFmtId="1" fontId="13" fillId="0" borderId="0" xfId="0" applyNumberFormat="1" applyFont="1" applyAlignment="1">
      <alignment horizontal="right"/>
    </xf>
    <xf numFmtId="1" fontId="13" fillId="0" borderId="0" xfId="0" applyNumberFormat="1" applyFont="1"/>
    <xf numFmtId="164" fontId="13" fillId="0" borderId="0" xfId="0" applyNumberFormat="1" applyFont="1"/>
    <xf numFmtId="1" fontId="7" fillId="0" borderId="0" xfId="5" applyNumberFormat="1" applyFont="1" applyAlignment="1">
      <alignment horizontal="right"/>
    </xf>
    <xf numFmtId="0" fontId="7" fillId="0" borderId="1" xfId="0" applyFont="1" applyBorder="1"/>
    <xf numFmtId="165" fontId="7" fillId="0" borderId="1" xfId="0" applyNumberFormat="1" applyFont="1" applyBorder="1"/>
    <xf numFmtId="1" fontId="13" fillId="0" borderId="1" xfId="0" applyNumberFormat="1" applyFont="1" applyBorder="1"/>
    <xf numFmtId="1" fontId="7" fillId="0" borderId="1" xfId="5" applyNumberFormat="1" applyFont="1" applyBorder="1"/>
    <xf numFmtId="3" fontId="14" fillId="0" borderId="0" xfId="0" applyNumberFormat="1" applyFont="1" applyProtection="1">
      <protection locked="0"/>
    </xf>
    <xf numFmtId="3" fontId="7" fillId="0" borderId="0" xfId="0" applyNumberFormat="1" applyFont="1"/>
    <xf numFmtId="3" fontId="14" fillId="0" borderId="0" xfId="0" applyNumberFormat="1" applyFont="1"/>
    <xf numFmtId="3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7" fillId="0" borderId="0" xfId="0" applyFont="1" applyAlignment="1">
      <alignment horizontal="left"/>
    </xf>
    <xf numFmtId="167" fontId="14" fillId="0" borderId="0" xfId="0" applyNumberFormat="1" applyFont="1"/>
    <xf numFmtId="0" fontId="11" fillId="0" borderId="0" xfId="0" applyFont="1"/>
    <xf numFmtId="164" fontId="7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7" fillId="0" borderId="0" xfId="3" applyFont="1"/>
    <xf numFmtId="0" fontId="7" fillId="0" borderId="0" xfId="5" applyFont="1" applyAlignment="1">
      <alignment horizontal="right"/>
    </xf>
    <xf numFmtId="0" fontId="7" fillId="0" borderId="0" xfId="5" applyFont="1"/>
    <xf numFmtId="0" fontId="7" fillId="0" borderId="1" xfId="3" applyFont="1" applyBorder="1"/>
    <xf numFmtId="165" fontId="7" fillId="0" borderId="1" xfId="3" applyNumberFormat="1" applyFont="1" applyBorder="1"/>
    <xf numFmtId="0" fontId="7" fillId="0" borderId="0" xfId="3" applyFont="1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Alignment="1"/>
    <xf numFmtId="3" fontId="7" fillId="0" borderId="22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left"/>
    </xf>
    <xf numFmtId="0" fontId="19" fillId="0" borderId="10" xfId="6" quotePrefix="1" applyFont="1" applyBorder="1" applyAlignment="1">
      <alignment horizontal="left"/>
    </xf>
    <xf numFmtId="0" fontId="19" fillId="5" borderId="10" xfId="6" quotePrefix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7" fillId="6" borderId="0" xfId="0" applyFont="1" applyFill="1"/>
    <xf numFmtId="3" fontId="14" fillId="6" borderId="0" xfId="0" applyNumberFormat="1" applyFont="1" applyFill="1"/>
    <xf numFmtId="0" fontId="7" fillId="6" borderId="0" xfId="4" applyFont="1" applyFill="1"/>
    <xf numFmtId="3" fontId="7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left" indent="1"/>
    </xf>
    <xf numFmtId="2" fontId="1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  <xf numFmtId="2" fontId="0" fillId="0" borderId="0" xfId="0" applyNumberFormat="1" applyBorder="1"/>
    <xf numFmtId="0" fontId="20" fillId="8" borderId="0" xfId="0" applyFont="1" applyFill="1"/>
    <xf numFmtId="0" fontId="20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0" fillId="10" borderId="0" xfId="0" applyFont="1" applyFill="1"/>
    <xf numFmtId="170" fontId="22" fillId="0" borderId="0" xfId="9" applyNumberFormat="1" applyFont="1" applyAlignment="1">
      <alignment horizontal="left" wrapText="1" indent="2"/>
    </xf>
    <xf numFmtId="170" fontId="22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6" xfId="8" applyNumberFormat="1" applyBorder="1" applyAlignment="1">
      <alignment horizontal="center"/>
    </xf>
    <xf numFmtId="2" fontId="0" fillId="0" borderId="26" xfId="0" applyNumberFormat="1" applyBorder="1"/>
    <xf numFmtId="2" fontId="2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7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2" fillId="0" borderId="0" xfId="0" applyFont="1" applyFill="1" applyAlignment="1">
      <alignment horizontal="left" indent="4"/>
    </xf>
    <xf numFmtId="0" fontId="22" fillId="0" borderId="0" xfId="0" applyFont="1" applyFill="1"/>
    <xf numFmtId="169" fontId="22" fillId="0" borderId="0" xfId="1" applyNumberFormat="1" applyFont="1" applyFill="1"/>
    <xf numFmtId="43" fontId="22" fillId="0" borderId="0" xfId="1" applyFont="1" applyFill="1"/>
    <xf numFmtId="1" fontId="22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169" fontId="0" fillId="12" borderId="0" xfId="1" applyNumberFormat="1" applyFont="1" applyFill="1"/>
    <xf numFmtId="43" fontId="0" fillId="12" borderId="0" xfId="1" applyFont="1" applyFill="1"/>
    <xf numFmtId="1" fontId="0" fillId="12" borderId="0" xfId="0" applyNumberForma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0" borderId="31" xfId="0" applyNumberFormat="1" applyBorder="1"/>
    <xf numFmtId="2" fontId="0" fillId="0" borderId="31" xfId="0" applyNumberFormat="1" applyBorder="1"/>
    <xf numFmtId="2" fontId="2" fillId="0" borderId="31" xfId="0" applyNumberFormat="1" applyFont="1" applyBorder="1"/>
    <xf numFmtId="2" fontId="1" fillId="0" borderId="31" xfId="8" applyNumberFormat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4" fillId="0" borderId="0" xfId="0" applyFont="1" applyFill="1" applyAlignment="1">
      <alignment horizontal="left" indent="2"/>
    </xf>
    <xf numFmtId="43" fontId="24" fillId="0" borderId="0" xfId="0" applyNumberFormat="1" applyFont="1" applyFill="1" applyAlignment="1">
      <alignment horizontal="left" indent="2"/>
    </xf>
    <xf numFmtId="1" fontId="24" fillId="0" borderId="0" xfId="0" applyNumberFormat="1" applyFont="1" applyFill="1" applyAlignment="1">
      <alignment horizontal="left" indent="2"/>
    </xf>
    <xf numFmtId="3" fontId="24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9"/>
    <xf numFmtId="9" fontId="0" fillId="0" borderId="0" xfId="10" applyFont="1"/>
    <xf numFmtId="0" fontId="25" fillId="0" borderId="0" xfId="9" applyFont="1"/>
    <xf numFmtId="9" fontId="0" fillId="13" borderId="0" xfId="10" applyFont="1" applyFill="1"/>
    <xf numFmtId="0" fontId="21" fillId="13" borderId="0" xfId="9" applyFill="1"/>
    <xf numFmtId="10" fontId="0" fillId="0" borderId="0" xfId="10" applyNumberFormat="1" applyFont="1"/>
    <xf numFmtId="10" fontId="21" fillId="0" borderId="0" xfId="9" applyNumberFormat="1"/>
    <xf numFmtId="2" fontId="25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6" fillId="0" borderId="0" xfId="0" applyFont="1" applyFill="1" applyAlignment="1">
      <alignment horizontal="left" indent="1"/>
    </xf>
    <xf numFmtId="0" fontId="26" fillId="0" borderId="0" xfId="0" applyFont="1"/>
    <xf numFmtId="170" fontId="26" fillId="0" borderId="0" xfId="0" applyNumberFormat="1" applyFont="1"/>
    <xf numFmtId="170" fontId="26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Alignment="1">
      <alignment horizontal="center"/>
    </xf>
    <xf numFmtId="1" fontId="26" fillId="0" borderId="0" xfId="0" applyNumberFormat="1" applyFont="1"/>
    <xf numFmtId="10" fontId="26" fillId="0" borderId="0" xfId="7" applyNumberFormat="1" applyFont="1" applyFill="1"/>
    <xf numFmtId="0" fontId="0" fillId="0" borderId="0" xfId="0" applyAlignment="1">
      <alignment horizontal="left" indent="1"/>
    </xf>
    <xf numFmtId="0" fontId="26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2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6" fillId="0" borderId="31" xfId="0" applyNumberFormat="1" applyFont="1" applyFill="1" applyBorder="1" applyAlignment="1">
      <alignment horizontal="center"/>
    </xf>
    <xf numFmtId="0" fontId="2" fillId="0" borderId="31" xfId="0" applyFont="1" applyBorder="1"/>
    <xf numFmtId="1" fontId="0" fillId="0" borderId="31" xfId="0" applyNumberFormat="1" applyBorder="1"/>
    <xf numFmtId="1" fontId="26" fillId="0" borderId="31" xfId="0" applyNumberFormat="1" applyFont="1" applyBorder="1"/>
    <xf numFmtId="10" fontId="26" fillId="0" borderId="0" xfId="7" applyNumberFormat="1" applyFont="1" applyFill="1" applyAlignment="1">
      <alignment horizontal="center"/>
    </xf>
    <xf numFmtId="0" fontId="24" fillId="0" borderId="0" xfId="0" applyFont="1" applyFill="1"/>
    <xf numFmtId="171" fontId="26" fillId="0" borderId="0" xfId="7" applyNumberFormat="1" applyFont="1" applyFill="1"/>
    <xf numFmtId="1" fontId="24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3" fillId="11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3" fillId="11" borderId="23" xfId="0" applyFont="1" applyFill="1" applyBorder="1" applyAlignment="1">
      <alignment horizontal="center"/>
    </xf>
    <xf numFmtId="0" fontId="23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3" applyFont="1"/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0" applyFont="1"/>
    <xf numFmtId="0" fontId="13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4" dT="2020-09-10T19:09:05.64" personId="{2D35AFA9-F227-4AE7-B9A7-D673D9D18C70}" id="{2D81BDF9-A0D8-4A1A-915B-91D32E8E61FF}">
    <text>grow with nom purchases</text>
  </threadedComment>
  <threadedComment ref="L50" dT="2020-09-11T20:43:00.49" personId="{2D35AFA9-F227-4AE7-B9A7-D673D9D18C70}" id="{11731043-8530-4DAC-9476-3C98D0D836BB}">
    <text>grow with S&amp;L nom purchases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I72"/>
  <sheetViews>
    <sheetView zoomScale="120" zoomScaleNormal="12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6" sqref="G6"/>
    </sheetView>
  </sheetViews>
  <sheetFormatPr baseColWidth="10" defaultColWidth="8.83203125" defaultRowHeight="15" x14ac:dyDescent="0.2"/>
  <cols>
    <col min="1" max="1" width="17.83203125" customWidth="1"/>
    <col min="2" max="2" width="17.33203125" customWidth="1"/>
    <col min="4" max="6" width="11.5" bestFit="1" customWidth="1"/>
    <col min="7" max="9" width="13.1640625" bestFit="1" customWidth="1"/>
    <col min="10" max="10" width="14.6640625" bestFit="1" customWidth="1"/>
    <col min="11" max="19" width="12.6640625" bestFit="1" customWidth="1"/>
    <col min="20" max="25" width="8.83203125" customWidth="1"/>
    <col min="26" max="26" width="15.5" hidden="1" customWidth="1"/>
    <col min="27" max="27" width="10.5" hidden="1" customWidth="1"/>
  </cols>
  <sheetData>
    <row r="1" spans="1:35" ht="19" x14ac:dyDescent="0.25">
      <c r="A1" s="201" t="s">
        <v>167</v>
      </c>
      <c r="B1" s="201"/>
      <c r="C1" s="35"/>
      <c r="V1" s="188" t="s">
        <v>255</v>
      </c>
      <c r="W1" s="203" t="s">
        <v>252</v>
      </c>
      <c r="X1" s="203"/>
      <c r="Y1" s="203"/>
      <c r="Z1" t="s">
        <v>29</v>
      </c>
      <c r="AB1" s="202" t="s">
        <v>85</v>
      </c>
      <c r="AC1" s="202"/>
      <c r="AD1" s="202"/>
      <c r="AE1" s="200"/>
      <c r="AF1" s="200"/>
      <c r="AG1" s="200"/>
      <c r="AH1" s="200"/>
    </row>
    <row r="2" spans="1:35" x14ac:dyDescent="0.2">
      <c r="D2" s="200" t="s">
        <v>21</v>
      </c>
      <c r="E2" s="200"/>
      <c r="F2" s="200"/>
      <c r="G2" s="200"/>
      <c r="H2" s="200" t="s">
        <v>9</v>
      </c>
      <c r="I2" s="200"/>
      <c r="J2" s="200"/>
      <c r="K2" s="200"/>
      <c r="L2" s="200" t="s">
        <v>10</v>
      </c>
      <c r="M2" s="200"/>
      <c r="N2" s="200"/>
      <c r="O2" s="200"/>
      <c r="P2" s="200" t="s">
        <v>11</v>
      </c>
      <c r="Q2" s="200"/>
      <c r="R2" s="200"/>
      <c r="S2" s="200"/>
      <c r="T2" s="1"/>
      <c r="U2" s="133"/>
      <c r="V2" s="164"/>
      <c r="W2" s="200" t="s">
        <v>103</v>
      </c>
      <c r="X2" s="200"/>
      <c r="Y2" s="200"/>
      <c r="Z2" s="164"/>
      <c r="AA2" s="164" t="s">
        <v>21</v>
      </c>
      <c r="AB2" s="200" t="s">
        <v>103</v>
      </c>
      <c r="AC2" s="200"/>
      <c r="AD2" s="200"/>
    </row>
    <row r="3" spans="1:35" x14ac:dyDescent="0.2">
      <c r="D3" t="s">
        <v>5</v>
      </c>
      <c r="E3" t="s">
        <v>6</v>
      </c>
      <c r="F3" t="s">
        <v>7</v>
      </c>
      <c r="G3" t="s">
        <v>8</v>
      </c>
      <c r="H3" t="s">
        <v>5</v>
      </c>
      <c r="I3" t="s">
        <v>6</v>
      </c>
      <c r="J3" t="s">
        <v>7</v>
      </c>
      <c r="K3" t="s">
        <v>8</v>
      </c>
      <c r="L3" t="s">
        <v>5</v>
      </c>
      <c r="M3" t="s">
        <v>6</v>
      </c>
      <c r="N3" t="s">
        <v>7</v>
      </c>
      <c r="O3" t="s">
        <v>8</v>
      </c>
      <c r="P3" t="s">
        <v>5</v>
      </c>
      <c r="Q3" t="s">
        <v>6</v>
      </c>
      <c r="R3" t="s">
        <v>7</v>
      </c>
      <c r="S3" t="s">
        <v>8</v>
      </c>
      <c r="T3" t="s">
        <v>5</v>
      </c>
      <c r="V3" s="165" t="s">
        <v>21</v>
      </c>
      <c r="W3" s="189" t="s">
        <v>9</v>
      </c>
      <c r="X3" s="134" t="s">
        <v>12</v>
      </c>
      <c r="Y3" s="134" t="s">
        <v>11</v>
      </c>
      <c r="Z3" s="2" t="s">
        <v>254</v>
      </c>
      <c r="AA3" s="2" t="s">
        <v>163</v>
      </c>
      <c r="AB3" s="192" t="s">
        <v>9</v>
      </c>
      <c r="AC3" s="97" t="s">
        <v>12</v>
      </c>
      <c r="AD3" s="97" t="s">
        <v>11</v>
      </c>
    </row>
    <row r="4" spans="1:35" x14ac:dyDescent="0.2">
      <c r="A4" t="s">
        <v>1</v>
      </c>
      <c r="W4" s="151"/>
      <c r="AB4" s="151"/>
    </row>
    <row r="5" spans="1:35" x14ac:dyDescent="0.2">
      <c r="A5" t="s">
        <v>253</v>
      </c>
      <c r="D5" s="176">
        <f>D6+D8+D10</f>
        <v>3178</v>
      </c>
      <c r="E5" s="176">
        <f t="shared" ref="E5:T5" si="0">E6+E8+E10</f>
        <v>3259.5</v>
      </c>
      <c r="F5" s="176">
        <f t="shared" si="0"/>
        <v>3269.2</v>
      </c>
      <c r="G5" s="176">
        <f t="shared" si="0"/>
        <v>3290.6</v>
      </c>
      <c r="H5" s="176">
        <f t="shared" si="0"/>
        <v>3336.3</v>
      </c>
      <c r="I5" s="176">
        <f t="shared" si="0"/>
        <v>3376.8</v>
      </c>
      <c r="J5" s="176">
        <f t="shared" si="0"/>
        <v>3097</v>
      </c>
      <c r="K5" s="176">
        <f t="shared" si="0"/>
        <v>3042.5466077211313</v>
      </c>
      <c r="L5" s="176">
        <f t="shared" si="0"/>
        <v>3156.5780041843991</v>
      </c>
      <c r="M5" s="176">
        <f t="shared" si="0"/>
        <v>3278.5499080438321</v>
      </c>
      <c r="N5" s="176">
        <f t="shared" si="0"/>
        <v>3309.9875425081832</v>
      </c>
      <c r="O5" s="176">
        <f t="shared" si="0"/>
        <v>3341.8850474562487</v>
      </c>
      <c r="P5" s="176">
        <f t="shared" si="0"/>
        <v>3402.3145718315518</v>
      </c>
      <c r="Q5" s="176">
        <f t="shared" si="0"/>
        <v>3441.8311686223797</v>
      </c>
      <c r="R5" s="176">
        <f t="shared" si="0"/>
        <v>3481.962669424016</v>
      </c>
      <c r="S5" s="176">
        <f t="shared" si="0"/>
        <v>3522.724012798285</v>
      </c>
      <c r="T5" s="176">
        <f t="shared" si="0"/>
        <v>3593.1784930542508</v>
      </c>
      <c r="W5" s="151"/>
      <c r="AB5" s="151"/>
    </row>
    <row r="6" spans="1:35" x14ac:dyDescent="0.2">
      <c r="A6" s="186" t="s">
        <v>26</v>
      </c>
      <c r="D6" s="176">
        <v>1634.2</v>
      </c>
      <c r="E6" s="176">
        <v>1695.5</v>
      </c>
      <c r="F6" s="176">
        <v>1703.1</v>
      </c>
      <c r="G6" s="176">
        <v>1713.2</v>
      </c>
      <c r="H6" s="176">
        <v>1740.2</v>
      </c>
      <c r="I6" s="176">
        <v>1756.6</v>
      </c>
      <c r="J6" s="176">
        <v>1599.7</v>
      </c>
      <c r="K6" s="176">
        <f>(4*AB6-SUM(H6:J6))</f>
        <v>1501.3466077211315</v>
      </c>
      <c r="L6" s="177">
        <f>K6*(1+L7)</f>
        <v>1591.4274041843994</v>
      </c>
      <c r="M6" s="177">
        <f t="shared" ref="M6:S6" si="1">L6*(1+M7)</f>
        <v>1690.0959032438323</v>
      </c>
      <c r="N6" s="177">
        <f t="shared" si="1"/>
        <v>1703.616670469783</v>
      </c>
      <c r="O6" s="177">
        <f t="shared" si="1"/>
        <v>1717.2456038335413</v>
      </c>
      <c r="P6" s="177">
        <f t="shared" si="1"/>
        <v>1734.4180598718767</v>
      </c>
      <c r="Q6" s="177">
        <f t="shared" si="1"/>
        <v>1751.7622404705955</v>
      </c>
      <c r="R6" s="177">
        <f t="shared" si="1"/>
        <v>1769.2798628753014</v>
      </c>
      <c r="S6" s="177">
        <f t="shared" si="1"/>
        <v>1786.9726615040545</v>
      </c>
      <c r="T6" s="177">
        <f t="shared" ref="M6:T8" si="2">S6*(1+T7)</f>
        <v>1822.7121147341356</v>
      </c>
      <c r="U6" s="44"/>
      <c r="V6" s="44">
        <f>AVERAGE(D6:G6)</f>
        <v>1686.4999999999998</v>
      </c>
      <c r="W6" s="190">
        <f>AVERAGE(H6:K6)</f>
        <v>1649.4616519302829</v>
      </c>
      <c r="X6" s="45">
        <f>AVERAGE(L6:O6)</f>
        <v>1675.5963954328888</v>
      </c>
      <c r="Y6" s="45">
        <f>AVERAGE(P6:S6)</f>
        <v>1760.608206180457</v>
      </c>
      <c r="Z6" s="3">
        <f>AVERAGE(D6:G6)</f>
        <v>1686.4999999999998</v>
      </c>
      <c r="AA6">
        <v>1653</v>
      </c>
      <c r="AB6" s="193">
        <f>$V6/'figuring NIPA tax changes'!$E19*'figuring NIPA tax changes'!F19</f>
        <v>1649.4616519302829</v>
      </c>
      <c r="AC6" s="3">
        <f>$V6/'figuring NIPA tax changes'!$E19*'figuring NIPA tax changes'!G19</f>
        <v>1678.1639909491882</v>
      </c>
      <c r="AD6" s="3">
        <f>$V6/'figuring NIPA tax changes'!$E19*'figuring NIPA tax changes'!H19</f>
        <v>1762.3300952873258</v>
      </c>
    </row>
    <row r="7" spans="1:35" s="179" customFormat="1" ht="12" x14ac:dyDescent="0.15">
      <c r="A7" s="187" t="s">
        <v>220</v>
      </c>
      <c r="D7" s="180"/>
      <c r="E7" s="180"/>
      <c r="F7" s="180"/>
      <c r="G7" s="180"/>
      <c r="H7" s="180"/>
      <c r="I7" s="180"/>
      <c r="J7" s="180"/>
      <c r="K7" s="180"/>
      <c r="L7" s="185">
        <v>0.06</v>
      </c>
      <c r="M7" s="185">
        <v>6.2E-2</v>
      </c>
      <c r="N7" s="185">
        <v>8.0000000000000002E-3</v>
      </c>
      <c r="O7" s="185">
        <v>8.0000000000000002E-3</v>
      </c>
      <c r="P7" s="185">
        <v>0.01</v>
      </c>
      <c r="Q7" s="185">
        <v>0.01</v>
      </c>
      <c r="R7" s="185">
        <v>0.01</v>
      </c>
      <c r="S7" s="185">
        <v>0.01</v>
      </c>
      <c r="T7" s="185">
        <v>0.02</v>
      </c>
      <c r="U7" s="182"/>
      <c r="V7" s="182"/>
      <c r="W7" s="191"/>
      <c r="X7" s="183"/>
      <c r="Y7" s="183"/>
      <c r="Z7" s="184"/>
      <c r="AB7" s="194"/>
      <c r="AC7" s="184"/>
      <c r="AD7" s="184"/>
    </row>
    <row r="8" spans="1:35" x14ac:dyDescent="0.2">
      <c r="A8" s="186" t="s">
        <v>27</v>
      </c>
      <c r="D8" s="176">
        <v>183.5</v>
      </c>
      <c r="E8" s="176">
        <v>172.1</v>
      </c>
      <c r="F8" s="176">
        <v>168.3</v>
      </c>
      <c r="G8" s="176">
        <v>175.1</v>
      </c>
      <c r="H8" s="176">
        <v>179.2</v>
      </c>
      <c r="I8" s="176">
        <v>183.8</v>
      </c>
      <c r="J8" s="177">
        <v>131.1</v>
      </c>
      <c r="K8" s="177">
        <v>145</v>
      </c>
      <c r="L8" s="177">
        <f>K8*(1+L9)</f>
        <v>150.80000000000001</v>
      </c>
      <c r="M8" s="177">
        <f t="shared" si="2"/>
        <v>162.7886</v>
      </c>
      <c r="N8" s="177">
        <f t="shared" si="2"/>
        <v>169.30014400000002</v>
      </c>
      <c r="O8" s="177">
        <f t="shared" si="2"/>
        <v>176.07214976000003</v>
      </c>
      <c r="P8" s="177">
        <f t="shared" si="2"/>
        <v>183.11503575040004</v>
      </c>
      <c r="Q8" s="177">
        <f t="shared" si="2"/>
        <v>190.43963718041604</v>
      </c>
      <c r="R8" s="177">
        <f t="shared" si="2"/>
        <v>198.05722266763269</v>
      </c>
      <c r="S8" s="177">
        <f t="shared" si="2"/>
        <v>205.97951157433801</v>
      </c>
      <c r="T8" s="177">
        <f t="shared" si="2"/>
        <v>210.09910180582477</v>
      </c>
      <c r="U8" s="44"/>
      <c r="V8" s="44">
        <f>AVERAGE(D8:G8)</f>
        <v>174.75000000000003</v>
      </c>
      <c r="W8" s="190">
        <f>AVERAGE(H8:K8)</f>
        <v>159.77500000000001</v>
      </c>
      <c r="X8" s="45">
        <f>AVERAGE(L8:O8)</f>
        <v>164.74022344000002</v>
      </c>
      <c r="Y8" s="45">
        <f>AVERAGE(P8:S8)</f>
        <v>194.39785179319671</v>
      </c>
      <c r="Z8" s="3">
        <f>AVERAGE(D8:G8)</f>
        <v>174.75000000000003</v>
      </c>
      <c r="AA8">
        <v>173</v>
      </c>
      <c r="AB8" s="193"/>
      <c r="AC8" s="3"/>
      <c r="AD8" s="3"/>
      <c r="AE8" s="35"/>
      <c r="AF8" s="35"/>
      <c r="AG8" s="35"/>
      <c r="AH8" s="35"/>
      <c r="AI8" s="35"/>
    </row>
    <row r="9" spans="1:35" s="179" customFormat="1" x14ac:dyDescent="0.2">
      <c r="A9" s="187" t="s">
        <v>220</v>
      </c>
      <c r="D9" s="180"/>
      <c r="E9" s="180"/>
      <c r="F9" s="180"/>
      <c r="G9" s="180"/>
      <c r="H9" s="180"/>
      <c r="I9" s="180"/>
      <c r="J9" s="180"/>
      <c r="K9" s="180"/>
      <c r="L9" s="185">
        <v>0.04</v>
      </c>
      <c r="M9" s="185">
        <v>7.9500000000000001E-2</v>
      </c>
      <c r="N9" s="185">
        <v>0.04</v>
      </c>
      <c r="O9" s="185">
        <v>0.04</v>
      </c>
      <c r="P9" s="185">
        <v>0.04</v>
      </c>
      <c r="Q9" s="185">
        <v>0.04</v>
      </c>
      <c r="R9" s="185">
        <v>0.04</v>
      </c>
      <c r="S9" s="185">
        <v>0.04</v>
      </c>
      <c r="T9" s="185">
        <v>0.02</v>
      </c>
      <c r="U9" s="182"/>
      <c r="V9" s="182"/>
      <c r="W9" s="191"/>
      <c r="X9" s="195"/>
      <c r="Y9" s="195"/>
      <c r="Z9" s="184"/>
      <c r="AB9" s="193"/>
      <c r="AC9" s="195"/>
      <c r="AD9" s="195"/>
    </row>
    <row r="10" spans="1:35" x14ac:dyDescent="0.2">
      <c r="A10" s="186" t="s">
        <v>28</v>
      </c>
      <c r="D10" s="176">
        <v>1360.3</v>
      </c>
      <c r="E10" s="176">
        <v>1391.9</v>
      </c>
      <c r="F10" s="176">
        <v>1397.8</v>
      </c>
      <c r="G10" s="176">
        <v>1402.3</v>
      </c>
      <c r="H10" s="176">
        <v>1416.9</v>
      </c>
      <c r="I10" s="176">
        <v>1436.4</v>
      </c>
      <c r="J10" s="176">
        <v>1366.2</v>
      </c>
      <c r="K10" s="176">
        <f>J10+30</f>
        <v>1396.2</v>
      </c>
      <c r="L10" s="177">
        <f t="shared" ref="L10:T10" si="3">K10*(1+L11)</f>
        <v>1414.3506</v>
      </c>
      <c r="M10" s="177">
        <f t="shared" si="3"/>
        <v>1425.6654048</v>
      </c>
      <c r="N10" s="177">
        <f t="shared" si="3"/>
        <v>1437.0707280384001</v>
      </c>
      <c r="O10" s="177">
        <f t="shared" si="3"/>
        <v>1448.5672938627074</v>
      </c>
      <c r="P10" s="177">
        <f t="shared" si="3"/>
        <v>1484.7814762092751</v>
      </c>
      <c r="Q10" s="177">
        <f t="shared" si="3"/>
        <v>1499.6292909713679</v>
      </c>
      <c r="R10" s="177">
        <f t="shared" si="3"/>
        <v>1514.6255838810816</v>
      </c>
      <c r="S10" s="177">
        <f t="shared" si="3"/>
        <v>1529.7718397198926</v>
      </c>
      <c r="T10" s="177">
        <f t="shared" si="3"/>
        <v>1560.3672765142906</v>
      </c>
      <c r="U10" s="44"/>
      <c r="V10" s="44">
        <f>AVERAGE(D10:G10)</f>
        <v>1388.075</v>
      </c>
      <c r="W10" s="190">
        <f>AVERAGE(H10:K10)</f>
        <v>1403.925</v>
      </c>
      <c r="X10" s="45">
        <f>AVERAGE(L10:O10)</f>
        <v>1431.4135066752769</v>
      </c>
      <c r="Y10" s="45">
        <f>AVERAGE(P10:S10)</f>
        <v>1507.2020476954042</v>
      </c>
      <c r="Z10" s="3">
        <f>AVERAGE(D10:G10)</f>
        <v>1388.075</v>
      </c>
      <c r="AA10">
        <v>1395</v>
      </c>
      <c r="AB10" s="193">
        <f>$V10/'figuring NIPA tax changes'!$E20*'figuring NIPA tax changes'!F20</f>
        <v>1354.69413685124</v>
      </c>
      <c r="AC10" s="3">
        <f>$V10/'figuring NIPA tax changes'!$E20*'figuring NIPA tax changes'!G20</f>
        <v>1429.6567868867883</v>
      </c>
      <c r="AD10" s="3">
        <f>$V10/'figuring NIPA tax changes'!$E20*'figuring NIPA tax changes'!H20</f>
        <v>1517.5549260800469</v>
      </c>
    </row>
    <row r="11" spans="1:35" s="179" customFormat="1" x14ac:dyDescent="0.2">
      <c r="A11" s="187" t="s">
        <v>220</v>
      </c>
      <c r="D11" s="180"/>
      <c r="E11" s="180"/>
      <c r="F11" s="180"/>
      <c r="G11" s="180"/>
      <c r="H11" s="180"/>
      <c r="I11" s="180"/>
      <c r="J11" s="180"/>
      <c r="K11" s="176"/>
      <c r="L11" s="185">
        <v>1.2999999999999999E-2</v>
      </c>
      <c r="M11" s="185">
        <v>8.0000000000000002E-3</v>
      </c>
      <c r="N11" s="185">
        <v>8.0000000000000002E-3</v>
      </c>
      <c r="O11" s="185">
        <v>8.0000000000000002E-3</v>
      </c>
      <c r="P11" s="185">
        <v>2.5000000000000001E-2</v>
      </c>
      <c r="Q11" s="185">
        <v>0.01</v>
      </c>
      <c r="R11" s="185">
        <v>0.01</v>
      </c>
      <c r="S11" s="185">
        <v>0.01</v>
      </c>
      <c r="T11" s="185">
        <v>0.02</v>
      </c>
      <c r="U11" s="182"/>
      <c r="V11" s="182"/>
      <c r="W11" s="191"/>
      <c r="X11" s="183"/>
      <c r="Y11" s="183"/>
      <c r="Z11" s="184"/>
      <c r="AB11" s="194"/>
      <c r="AC11" s="184"/>
      <c r="AD11" s="184"/>
    </row>
    <row r="12" spans="1:35" x14ac:dyDescent="0.2">
      <c r="A12" t="s">
        <v>0</v>
      </c>
      <c r="D12" s="176">
        <v>234.7</v>
      </c>
      <c r="E12" s="176">
        <v>213.8</v>
      </c>
      <c r="F12" s="176">
        <v>224.2</v>
      </c>
      <c r="G12" s="176">
        <v>201.6</v>
      </c>
      <c r="H12" s="176">
        <v>229.7</v>
      </c>
      <c r="I12" s="176">
        <v>180.5</v>
      </c>
      <c r="J12" s="176">
        <v>173.4</v>
      </c>
      <c r="K12" s="176">
        <f>(4*AB12-SUM(H12:J12))</f>
        <v>190.09161110990465</v>
      </c>
      <c r="L12" s="177">
        <f t="shared" ref="L12" si="4">K12*(1+L13)</f>
        <v>192.56280205433339</v>
      </c>
      <c r="M12" s="177">
        <f t="shared" ref="M12" si="5">L12*(1+M13)</f>
        <v>194.10330447076805</v>
      </c>
      <c r="N12" s="177">
        <f t="shared" ref="N12" si="6">M12*(1+N13)</f>
        <v>195.6561309065342</v>
      </c>
      <c r="O12" s="177">
        <f t="shared" ref="O12" si="7">N12*(1+O13)</f>
        <v>197.22137995378648</v>
      </c>
      <c r="P12" s="177">
        <f t="shared" ref="P12" si="8">O12*(1+P13)</f>
        <v>202.15191445263113</v>
      </c>
      <c r="Q12" s="177">
        <f t="shared" ref="Q12" si="9">P12*(1+Q13)</f>
        <v>204.17343359715744</v>
      </c>
      <c r="R12" s="177">
        <f t="shared" ref="R12" si="10">Q12*(1+R13)</f>
        <v>206.21516793312901</v>
      </c>
      <c r="S12" s="177">
        <f t="shared" ref="S12" si="11">R12*(1+S13)</f>
        <v>208.2773196124603</v>
      </c>
      <c r="T12" s="177"/>
      <c r="U12" s="44"/>
      <c r="V12" s="44">
        <f>AVERAGE(D12:G12)</f>
        <v>218.57500000000002</v>
      </c>
      <c r="W12" s="190">
        <f>AVERAGE(H12:K12)</f>
        <v>193.42290277747617</v>
      </c>
      <c r="X12" s="45">
        <f>AVERAGE(L12:O12)</f>
        <v>194.88590434635552</v>
      </c>
      <c r="Y12" s="45">
        <f>AVERAGE(P12:S12)</f>
        <v>205.20445889884445</v>
      </c>
      <c r="Z12" s="33">
        <f>AVERAGE(D12:G12)</f>
        <v>218.57500000000002</v>
      </c>
      <c r="AA12" s="34">
        <v>166</v>
      </c>
      <c r="AB12" s="151">
        <f>V12/'figuring NIPA tax changes'!E10*'figuring NIPA tax changes'!F21</f>
        <v>193.42290277747617</v>
      </c>
      <c r="AC12">
        <f>V12/'figuring NIPA tax changes'!F10*'figuring NIPA tax changes'!G21</f>
        <v>304.95815936829848</v>
      </c>
      <c r="AD12">
        <f>V12/'figuring NIPA tax changes'!G10*'figuring NIPA tax changes'!H21</f>
        <v>444.63027416621861</v>
      </c>
    </row>
    <row r="13" spans="1:35" s="179" customFormat="1" ht="12" x14ac:dyDescent="0.15">
      <c r="A13" s="178" t="s">
        <v>220</v>
      </c>
      <c r="D13" s="180"/>
      <c r="E13" s="180"/>
      <c r="F13" s="180"/>
      <c r="G13" s="180"/>
      <c r="H13" s="180"/>
      <c r="I13" s="180"/>
      <c r="J13" s="180"/>
      <c r="K13" s="180"/>
      <c r="L13" s="185">
        <v>1.2999999999999999E-2</v>
      </c>
      <c r="M13" s="185">
        <v>8.0000000000000002E-3</v>
      </c>
      <c r="N13" s="185">
        <v>8.0000000000000002E-3</v>
      </c>
      <c r="O13" s="185">
        <v>8.0000000000000002E-3</v>
      </c>
      <c r="P13" s="185">
        <v>2.5000000000000001E-2</v>
      </c>
      <c r="Q13" s="185">
        <v>0.01</v>
      </c>
      <c r="R13" s="185">
        <v>0.01</v>
      </c>
      <c r="S13" s="185">
        <v>0.01</v>
      </c>
      <c r="T13" s="181"/>
      <c r="U13" s="182"/>
      <c r="V13" s="182"/>
      <c r="W13" s="183"/>
      <c r="X13" s="183"/>
      <c r="Y13" s="183"/>
      <c r="Z13" s="184"/>
      <c r="AB13" s="184"/>
      <c r="AC13" s="184"/>
      <c r="AD13" s="184"/>
    </row>
    <row r="14" spans="1:35" x14ac:dyDescent="0.2">
      <c r="J14" s="88"/>
      <c r="K14" s="3"/>
      <c r="L14" s="88"/>
      <c r="M14" s="88"/>
      <c r="N14" s="88"/>
      <c r="O14" s="88"/>
      <c r="Z14" s="3"/>
    </row>
    <row r="15" spans="1:35" ht="32" x14ac:dyDescent="0.2">
      <c r="A15" s="86" t="s">
        <v>14</v>
      </c>
      <c r="D15" s="87">
        <v>2220523</v>
      </c>
      <c r="E15" s="87">
        <v>2298792</v>
      </c>
      <c r="F15" s="87">
        <v>2315842</v>
      </c>
      <c r="G15" s="87">
        <v>2331428</v>
      </c>
      <c r="H15" s="87">
        <v>2347737</v>
      </c>
      <c r="I15" s="87">
        <v>2422546</v>
      </c>
      <c r="J15" s="87">
        <v>4836089</v>
      </c>
      <c r="K15" s="87">
        <f>1000*(4*AB15-SUM(H15:J15)/1000)</f>
        <v>3676716.5288670985</v>
      </c>
      <c r="L15" s="44">
        <f t="shared" ref="L15:S15" si="12">L16+L18+L26</f>
        <v>2907212.0373803182</v>
      </c>
      <c r="M15" s="44">
        <f t="shared" si="12"/>
        <v>2646746.3658202458</v>
      </c>
      <c r="N15" s="44">
        <f t="shared" si="12"/>
        <v>2679736.8702895828</v>
      </c>
      <c r="O15" s="44">
        <f t="shared" si="12"/>
        <v>2670589.9337466098</v>
      </c>
      <c r="P15" s="44">
        <f t="shared" si="12"/>
        <v>2728137.0338818133</v>
      </c>
      <c r="Q15" s="44">
        <f t="shared" si="12"/>
        <v>2656188.8444006899</v>
      </c>
      <c r="R15" s="44">
        <f t="shared" si="12"/>
        <v>2679357.9500654936</v>
      </c>
      <c r="S15" s="44">
        <f t="shared" si="12"/>
        <v>2690808.1667443472</v>
      </c>
      <c r="T15" s="3"/>
      <c r="U15" s="3"/>
      <c r="V15" s="3"/>
      <c r="W15" s="45">
        <f>AVERAGE(H15:K15)/1000</f>
        <v>3320.7721322167749</v>
      </c>
      <c r="X15" s="45">
        <f>AVERAGE(L15:O15)/1000</f>
        <v>2726.0713018091888</v>
      </c>
      <c r="Y15" s="45">
        <f>AVERAGE(P15:S15)/1000</f>
        <v>2688.6229987730858</v>
      </c>
      <c r="Z15" s="3">
        <f>AVERAGE(D15:G15)/1000</f>
        <v>2291.6462499999998</v>
      </c>
      <c r="AA15">
        <v>2286.6999999999998</v>
      </c>
      <c r="AB15" s="32">
        <f>$Z15/'figuring out social benefits'!$F47*'figuring out social benefits'!G49+'figuring out social benefits'!G50-47</f>
        <v>3320.7721322167745</v>
      </c>
      <c r="AC15" s="32">
        <f>$Z15/'figuring out social benefits'!$F47*'figuring out social benefits'!H49+'figuring out social benefits'!H50+46</f>
        <v>2675.6800557811207</v>
      </c>
      <c r="AD15" s="32">
        <f>$Z15/'figuring out social benefits'!$F47*'figuring out social benefits'!I49+'figuring out social benefits'!I50*0.9</f>
        <v>2725.1688956203648</v>
      </c>
      <c r="AE15" t="s">
        <v>30</v>
      </c>
    </row>
    <row r="16" spans="1:35" ht="16" x14ac:dyDescent="0.2">
      <c r="A16" s="86" t="s">
        <v>3</v>
      </c>
      <c r="D16" s="87">
        <v>753311</v>
      </c>
      <c r="E16" s="87">
        <v>767353</v>
      </c>
      <c r="F16" s="87">
        <v>779707</v>
      </c>
      <c r="G16" s="87">
        <v>789893</v>
      </c>
      <c r="H16" s="87">
        <v>797912</v>
      </c>
      <c r="I16" s="87">
        <v>804655</v>
      </c>
      <c r="J16" s="87">
        <v>824058</v>
      </c>
      <c r="K16" s="87">
        <f>1000*(4*AB16-SUM(H16:J16)/1000)</f>
        <v>833646.99999999988</v>
      </c>
      <c r="L16" s="87">
        <f>H16*($AC16/$AB16)</f>
        <v>837721.06069186865</v>
      </c>
      <c r="M16" s="87">
        <f>I16*($AC16/$AB16)</f>
        <v>844800.47936491179</v>
      </c>
      <c r="N16" s="87">
        <f>J16*($AC16/$AB16)</f>
        <v>865171.52496969572</v>
      </c>
      <c r="O16" s="87">
        <f>K16*($AC16/$AB16)</f>
        <v>875238.93497352349</v>
      </c>
      <c r="P16" s="87">
        <f>L16*($AD16/$AC16)</f>
        <v>952786.03510872717</v>
      </c>
      <c r="Q16" s="87">
        <f>M16*($AD16/$AC16)</f>
        <v>960837.84562760405</v>
      </c>
      <c r="R16" s="87">
        <f>N16*($AD16/$AC16)</f>
        <v>984006.95129240747</v>
      </c>
      <c r="S16" s="87">
        <f>O16*($AD16/$AC16)</f>
        <v>995457.16797126119</v>
      </c>
      <c r="T16" s="3"/>
      <c r="U16" s="3"/>
      <c r="V16" s="3"/>
      <c r="W16" s="45">
        <f>AVERAGE(H16:K16)/1000</f>
        <v>815.06799999999998</v>
      </c>
      <c r="X16" s="45">
        <f>AVERAGE(L16:O16)/1000</f>
        <v>855.73299999999983</v>
      </c>
      <c r="Y16" s="45">
        <f>AVERAGE(P16:S16)/1000</f>
        <v>973.27200000000005</v>
      </c>
      <c r="Z16" s="3">
        <f>AVERAGE(D16:G16)/1000</f>
        <v>772.56600000000003</v>
      </c>
      <c r="AA16">
        <v>775.4</v>
      </c>
      <c r="AB16" s="3">
        <f>862.068-47</f>
        <v>815.06799999999998</v>
      </c>
      <c r="AC16" s="3">
        <f>809.733+46</f>
        <v>855.73299999999995</v>
      </c>
      <c r="AD16" s="3">
        <v>973.27200000000005</v>
      </c>
      <c r="AE16" t="s">
        <v>19</v>
      </c>
    </row>
    <row r="17" spans="1:31" ht="16" x14ac:dyDescent="0.2">
      <c r="A17" s="93" t="s">
        <v>20</v>
      </c>
      <c r="D17" s="87"/>
      <c r="E17" s="87"/>
      <c r="F17" s="87"/>
      <c r="G17" s="87"/>
      <c r="H17" s="87">
        <v>0</v>
      </c>
      <c r="I17" s="87">
        <v>0</v>
      </c>
      <c r="J17" s="87">
        <v>1078000</v>
      </c>
      <c r="K17" s="87">
        <f>54.6*1000</f>
        <v>54600</v>
      </c>
      <c r="L17" s="87">
        <v>0</v>
      </c>
      <c r="M17" s="87">
        <f>16*1000</f>
        <v>16000</v>
      </c>
      <c r="N17" s="87">
        <f>16*1000</f>
        <v>16000</v>
      </c>
      <c r="O17" s="87">
        <v>0</v>
      </c>
      <c r="P17" s="87">
        <v>0</v>
      </c>
      <c r="Q17" s="87"/>
      <c r="R17" s="87"/>
      <c r="S17" s="87"/>
      <c r="W17" s="45">
        <f t="shared" ref="W17:W22" si="13">AVERAGE(H17:K17)/1000</f>
        <v>283.14999999999998</v>
      </c>
      <c r="X17" s="45">
        <v>0</v>
      </c>
      <c r="Y17" s="45">
        <v>0</v>
      </c>
      <c r="Z17" s="3"/>
      <c r="AB17" s="3">
        <v>272</v>
      </c>
      <c r="AC17" s="3">
        <v>9</v>
      </c>
      <c r="AD17" s="3">
        <v>0</v>
      </c>
      <c r="AE17" s="3"/>
    </row>
    <row r="18" spans="1:31" ht="16" x14ac:dyDescent="0.2">
      <c r="A18" s="86" t="s">
        <v>142</v>
      </c>
      <c r="D18" s="87">
        <v>27025</v>
      </c>
      <c r="E18" s="87">
        <v>28029</v>
      </c>
      <c r="F18" s="87">
        <v>27483</v>
      </c>
      <c r="G18" s="87">
        <v>27578</v>
      </c>
      <c r="H18" s="87">
        <v>27884</v>
      </c>
      <c r="I18" s="87">
        <v>43429</v>
      </c>
      <c r="J18" s="87">
        <v>1112564</v>
      </c>
      <c r="K18" s="87">
        <f>K20+K22</f>
        <v>1044266.6666666665</v>
      </c>
      <c r="L18" s="87">
        <f t="shared" ref="L18:S18" si="14">L20+L22+L21</f>
        <v>424000</v>
      </c>
      <c r="M18" s="87">
        <f t="shared" si="14"/>
        <v>140000</v>
      </c>
      <c r="N18" s="87">
        <f t="shared" si="14"/>
        <v>136000</v>
      </c>
      <c r="O18" s="87">
        <f t="shared" si="14"/>
        <v>100000</v>
      </c>
      <c r="P18" s="87">
        <f t="shared" si="14"/>
        <v>80000</v>
      </c>
      <c r="Q18" s="87">
        <f t="shared" si="14"/>
        <v>0</v>
      </c>
      <c r="R18" s="87">
        <f t="shared" si="14"/>
        <v>0</v>
      </c>
      <c r="S18" s="87">
        <f t="shared" si="14"/>
        <v>0</v>
      </c>
      <c r="T18" s="3"/>
      <c r="U18" s="3"/>
      <c r="V18" s="3"/>
      <c r="W18" s="45">
        <f t="shared" si="13"/>
        <v>557.03591666666659</v>
      </c>
      <c r="X18" s="45">
        <f t="shared" ref="X18:X26" si="15">AVERAGE(L18:O18)/1000</f>
        <v>200</v>
      </c>
      <c r="Y18" s="45">
        <f t="shared" ref="Y18:Y26" si="16">AVERAGE(P18:S18)/1000</f>
        <v>20</v>
      </c>
      <c r="Z18" s="3">
        <f>AVERAGE(D18:G18)/1000</f>
        <v>27.528749999999999</v>
      </c>
      <c r="AA18">
        <v>27.6</v>
      </c>
      <c r="AB18" s="3">
        <v>557</v>
      </c>
      <c r="AC18" s="3">
        <v>166</v>
      </c>
      <c r="AD18" s="3">
        <v>67</v>
      </c>
      <c r="AE18" s="3"/>
    </row>
    <row r="19" spans="1:31" ht="16" x14ac:dyDescent="0.2">
      <c r="A19" s="116" t="s">
        <v>217</v>
      </c>
      <c r="D19" s="87"/>
      <c r="E19" s="87"/>
      <c r="F19" s="87"/>
      <c r="G19" s="87"/>
      <c r="H19" s="87"/>
      <c r="I19" s="87"/>
      <c r="J19" s="87">
        <f>J20+J21</f>
        <v>834933.33333333326</v>
      </c>
      <c r="K19" s="87">
        <f t="shared" ref="K19:P19" si="17">K20+K21</f>
        <v>733106.66666666663</v>
      </c>
      <c r="L19" s="87">
        <f t="shared" si="17"/>
        <v>320000</v>
      </c>
      <c r="M19" s="87">
        <f t="shared" si="17"/>
        <v>40000</v>
      </c>
      <c r="N19" s="87">
        <f t="shared" si="17"/>
        <v>40000</v>
      </c>
      <c r="O19" s="87">
        <f t="shared" si="17"/>
        <v>40000</v>
      </c>
      <c r="P19" s="87">
        <f t="shared" si="17"/>
        <v>40000</v>
      </c>
      <c r="Q19" s="87"/>
      <c r="R19" s="87"/>
      <c r="S19" s="87"/>
      <c r="T19" s="3"/>
      <c r="U19" s="3"/>
      <c r="V19" s="3"/>
      <c r="W19" s="45"/>
      <c r="X19" s="45"/>
      <c r="Y19" s="45"/>
      <c r="Z19" s="3"/>
      <c r="AB19" s="3"/>
      <c r="AC19" s="3"/>
      <c r="AD19" s="3"/>
      <c r="AE19" s="3"/>
    </row>
    <row r="20" spans="1:31" ht="16" x14ac:dyDescent="0.2">
      <c r="A20" s="118" t="s">
        <v>139</v>
      </c>
      <c r="D20" s="87"/>
      <c r="E20" s="87"/>
      <c r="F20" s="87"/>
      <c r="G20" s="87"/>
      <c r="H20" s="87">
        <v>0</v>
      </c>
      <c r="I20" s="87">
        <v>0</v>
      </c>
      <c r="J20" s="87">
        <f>'figuring out UI'!L17*1000</f>
        <v>834933.33333333326</v>
      </c>
      <c r="K20" s="87">
        <f>1000*'figuring out UI'!M17</f>
        <v>689106.66666666663</v>
      </c>
      <c r="L20" s="87">
        <f>1000*'figuring out UI'!N17</f>
        <v>188000</v>
      </c>
      <c r="M20" s="87">
        <f>1000*'figuring out UI'!O17</f>
        <v>40000</v>
      </c>
      <c r="N20" s="87">
        <f>1000*'figuring out UI'!P17</f>
        <v>40000</v>
      </c>
      <c r="O20" s="87">
        <f>1000*'figuring out UI'!Q17</f>
        <v>40000</v>
      </c>
      <c r="P20" s="87">
        <f>1000*'figuring out UI'!R17</f>
        <v>40000</v>
      </c>
      <c r="Q20" s="87">
        <f>1000*'figuring out UI'!S17</f>
        <v>0</v>
      </c>
      <c r="R20" s="87">
        <f>1000*'figuring out UI'!T17</f>
        <v>0</v>
      </c>
      <c r="S20" s="87">
        <f>1000*'figuring out UI'!U17</f>
        <v>0</v>
      </c>
      <c r="T20" s="3"/>
      <c r="U20" s="3"/>
      <c r="V20" s="3"/>
      <c r="W20" s="45">
        <f t="shared" si="13"/>
        <v>381.01</v>
      </c>
      <c r="X20" s="45">
        <f t="shared" si="15"/>
        <v>77</v>
      </c>
      <c r="Y20" s="45">
        <f t="shared" si="16"/>
        <v>10</v>
      </c>
      <c r="Z20" s="3"/>
      <c r="AB20" s="3"/>
      <c r="AC20" s="3"/>
      <c r="AD20" s="3"/>
      <c r="AE20" s="3"/>
    </row>
    <row r="21" spans="1:31" ht="16" x14ac:dyDescent="0.2">
      <c r="A21" s="118" t="s">
        <v>166</v>
      </c>
      <c r="D21" s="87"/>
      <c r="E21" s="87"/>
      <c r="F21" s="87"/>
      <c r="G21" s="87"/>
      <c r="H21" s="87"/>
      <c r="I21" s="87"/>
      <c r="J21" s="87"/>
      <c r="K21" s="87">
        <f>(0.25*44000)*4</f>
        <v>44000</v>
      </c>
      <c r="L21" s="87">
        <f>(0.75*44000)*4</f>
        <v>132000</v>
      </c>
      <c r="M21" s="87"/>
      <c r="N21" s="87"/>
      <c r="O21" s="87"/>
      <c r="P21" s="87"/>
      <c r="Q21" s="87"/>
      <c r="R21" s="87"/>
      <c r="S21" s="87"/>
      <c r="T21" s="3"/>
      <c r="U21" s="3"/>
      <c r="V21" s="3"/>
      <c r="W21" s="45"/>
      <c r="X21" s="45"/>
      <c r="Y21" s="45"/>
      <c r="Z21" s="3"/>
      <c r="AB21" s="3"/>
      <c r="AC21" s="3"/>
      <c r="AD21" s="3"/>
      <c r="AE21" s="3"/>
    </row>
    <row r="22" spans="1:31" ht="16" x14ac:dyDescent="0.2">
      <c r="A22" s="116" t="s">
        <v>140</v>
      </c>
      <c r="D22" s="87"/>
      <c r="E22" s="87"/>
      <c r="F22" s="87"/>
      <c r="G22" s="87"/>
      <c r="H22" s="87">
        <v>0</v>
      </c>
      <c r="I22" s="87">
        <v>0</v>
      </c>
      <c r="J22" s="87">
        <f>'figuring out UI'!L18*1000</f>
        <v>277600</v>
      </c>
      <c r="K22" s="87">
        <f>1000*'figuring out UI'!M18</f>
        <v>355159.99999999994</v>
      </c>
      <c r="L22" s="87">
        <f>1000*'figuring out UI'!N18</f>
        <v>104000</v>
      </c>
      <c r="M22" s="87">
        <f>1000*'figuring out UI'!O18</f>
        <v>100000</v>
      </c>
      <c r="N22" s="87">
        <f>1000*'figuring out UI'!P18</f>
        <v>96000</v>
      </c>
      <c r="O22" s="87">
        <f>1000*'figuring out UI'!Q18</f>
        <v>60000</v>
      </c>
      <c r="P22" s="87">
        <f>1000*'figuring out UI'!R18</f>
        <v>40000</v>
      </c>
      <c r="Q22" s="87">
        <f>1000*'figuring out UI'!S18</f>
        <v>0</v>
      </c>
      <c r="R22" s="87">
        <f>1000*'figuring out UI'!T18</f>
        <v>0</v>
      </c>
      <c r="S22" s="87">
        <f>1000*'figuring out UI'!U18</f>
        <v>0</v>
      </c>
      <c r="T22" s="3"/>
      <c r="U22" s="3"/>
      <c r="V22" s="3"/>
      <c r="W22" s="45">
        <f t="shared" si="13"/>
        <v>158.19</v>
      </c>
      <c r="X22" s="45">
        <f t="shared" si="15"/>
        <v>90</v>
      </c>
      <c r="Y22" s="45">
        <f t="shared" si="16"/>
        <v>10</v>
      </c>
      <c r="Z22" s="3"/>
      <c r="AB22" s="3"/>
      <c r="AC22" s="3"/>
      <c r="AD22" s="3"/>
      <c r="AE22" s="3"/>
    </row>
    <row r="23" spans="1:31" ht="48" x14ac:dyDescent="0.2">
      <c r="A23" s="86" t="s">
        <v>150</v>
      </c>
      <c r="D23" s="87"/>
      <c r="E23" s="87"/>
      <c r="F23" s="87"/>
      <c r="G23" s="87"/>
      <c r="H23" s="87">
        <v>0</v>
      </c>
      <c r="I23" s="87">
        <v>0</v>
      </c>
      <c r="J23" s="87">
        <f>SUM(J24:J25)</f>
        <v>154000</v>
      </c>
      <c r="K23" s="87">
        <f>SUM(K24:K25)</f>
        <v>162000</v>
      </c>
      <c r="L23" s="87">
        <f>SUM(L24:L25)</f>
        <v>38804.841653418123</v>
      </c>
      <c r="M23" s="87">
        <f t="shared" ref="M23:P23" si="18">SUM(M24:M25)</f>
        <v>30377.595548489666</v>
      </c>
      <c r="N23" s="87">
        <f t="shared" si="18"/>
        <v>30000</v>
      </c>
      <c r="O23" s="87">
        <f t="shared" si="18"/>
        <v>30000</v>
      </c>
      <c r="P23" s="87">
        <f t="shared" si="18"/>
        <v>15000</v>
      </c>
      <c r="Q23" s="87"/>
      <c r="R23" s="87"/>
      <c r="S23" s="87"/>
      <c r="T23" s="3"/>
      <c r="U23" s="3"/>
      <c r="V23" s="3"/>
      <c r="W23" s="45">
        <f t="shared" ref="W23:W26" si="19">AVERAGE(H23:K23)/1000</f>
        <v>79</v>
      </c>
      <c r="X23" s="45">
        <f t="shared" si="15"/>
        <v>32.295609300476947</v>
      </c>
      <c r="Y23" s="45">
        <f t="shared" ref="Y23" si="20">AVERAGE(P23:S23)/1000</f>
        <v>15</v>
      </c>
      <c r="Z23" s="3"/>
      <c r="AB23" s="3">
        <f>'figuring out social benefits'!G48</f>
        <v>105</v>
      </c>
      <c r="AC23" s="3"/>
      <c r="AD23" s="3"/>
      <c r="AE23" s="3"/>
    </row>
    <row r="24" spans="1:31" ht="16" x14ac:dyDescent="0.2">
      <c r="A24" s="118" t="s">
        <v>210</v>
      </c>
      <c r="D24" s="87"/>
      <c r="E24" s="87"/>
      <c r="F24" s="87"/>
      <c r="G24" s="87"/>
      <c r="H24" s="87"/>
      <c r="I24" s="87"/>
      <c r="J24" s="87">
        <v>19000</v>
      </c>
      <c r="K24" s="87">
        <v>27000</v>
      </c>
      <c r="L24" s="87">
        <v>8804.8416534181251</v>
      </c>
      <c r="M24" s="87">
        <v>377.5955484896661</v>
      </c>
      <c r="N24" s="87">
        <v>0</v>
      </c>
      <c r="O24" s="87">
        <v>0</v>
      </c>
      <c r="P24" s="87">
        <v>0</v>
      </c>
      <c r="Q24" s="87"/>
      <c r="R24" s="87"/>
      <c r="S24" s="87"/>
      <c r="T24" s="87"/>
      <c r="U24" s="87"/>
      <c r="V24" s="87"/>
      <c r="W24" s="87"/>
      <c r="X24" s="87"/>
      <c r="Y24" s="87"/>
      <c r="Z24" s="87"/>
      <c r="AB24" s="3"/>
      <c r="AC24" s="3"/>
      <c r="AD24" s="3"/>
      <c r="AE24" s="3"/>
    </row>
    <row r="25" spans="1:31" ht="32" x14ac:dyDescent="0.2">
      <c r="A25" s="118" t="s">
        <v>211</v>
      </c>
      <c r="D25" s="87"/>
      <c r="E25" s="87"/>
      <c r="F25" s="87"/>
      <c r="G25" s="87"/>
      <c r="H25" s="87"/>
      <c r="I25" s="87"/>
      <c r="J25" s="87">
        <v>135000</v>
      </c>
      <c r="K25" s="87">
        <v>135000</v>
      </c>
      <c r="L25" s="87">
        <v>30000</v>
      </c>
      <c r="M25" s="87">
        <v>30000</v>
      </c>
      <c r="N25" s="87">
        <v>30000</v>
      </c>
      <c r="O25" s="87">
        <v>30000</v>
      </c>
      <c r="P25" s="87">
        <v>15000</v>
      </c>
      <c r="Q25" s="87"/>
      <c r="R25" s="87"/>
      <c r="S25" s="87"/>
      <c r="T25" s="87"/>
      <c r="U25" s="87"/>
      <c r="V25" s="87"/>
      <c r="W25" s="87"/>
      <c r="X25" s="87"/>
      <c r="Y25" s="87"/>
      <c r="Z25" s="87"/>
      <c r="AB25" s="3"/>
      <c r="AC25" s="3"/>
      <c r="AD25" s="3"/>
      <c r="AE25" s="3"/>
    </row>
    <row r="26" spans="1:31" ht="64" x14ac:dyDescent="0.2">
      <c r="A26" s="86" t="s">
        <v>152</v>
      </c>
      <c r="D26">
        <f>D15-D17-D18-D16</f>
        <v>1440187</v>
      </c>
      <c r="E26">
        <f>E15-E17-E18-E16</f>
        <v>1503410</v>
      </c>
      <c r="F26">
        <f>F15-F17-F18-F16</f>
        <v>1508652</v>
      </c>
      <c r="G26">
        <f>G15-G17-G18-G16</f>
        <v>1513957</v>
      </c>
      <c r="H26" s="88">
        <f>H15-H17-H18-H16-H23</f>
        <v>1521941</v>
      </c>
      <c r="I26" s="88">
        <f>I15-I17-I18-I16-I23</f>
        <v>1574462</v>
      </c>
      <c r="J26" s="88">
        <f>J15-J17-J18-J16-J23</f>
        <v>1667467</v>
      </c>
      <c r="K26" s="88">
        <f>K15-K17-K18-K16-K23</f>
        <v>1582202.862200432</v>
      </c>
      <c r="L26" s="88">
        <f>K26*1.04</f>
        <v>1645490.9766884493</v>
      </c>
      <c r="M26" s="94">
        <f>L26*1.01</f>
        <v>1661945.8864553338</v>
      </c>
      <c r="N26" s="88">
        <f>M26*1.01</f>
        <v>1678565.3453198872</v>
      </c>
      <c r="O26" s="88">
        <f>N26*1.01</f>
        <v>1695350.9987730861</v>
      </c>
      <c r="P26" s="88">
        <f>O26</f>
        <v>1695350.9987730861</v>
      </c>
      <c r="Q26" s="88">
        <f t="shared" ref="Q26:S26" si="21">P26</f>
        <v>1695350.9987730861</v>
      </c>
      <c r="R26" s="88">
        <f t="shared" si="21"/>
        <v>1695350.9987730861</v>
      </c>
      <c r="S26" s="88">
        <f t="shared" si="21"/>
        <v>1695350.9987730861</v>
      </c>
      <c r="T26" s="3"/>
      <c r="U26" s="3"/>
      <c r="V26" s="3"/>
      <c r="W26" s="45">
        <f t="shared" si="19"/>
        <v>1586.5182155501079</v>
      </c>
      <c r="X26" s="45">
        <f t="shared" si="15"/>
        <v>1670.338301809189</v>
      </c>
      <c r="Y26" s="45">
        <f t="shared" si="16"/>
        <v>1695.3509987730861</v>
      </c>
      <c r="Z26" s="3"/>
      <c r="AB26" s="3">
        <f>AB15-AB17-AB18-AB16-AB23</f>
        <v>1571.7041322167745</v>
      </c>
      <c r="AC26" s="3">
        <f>AC15-AC17-AC18-AC16</f>
        <v>1644.9470557811208</v>
      </c>
      <c r="AD26" s="3">
        <f>AD15-AD17-AD18-AD16</f>
        <v>1684.8968956203648</v>
      </c>
      <c r="AE26" s="3"/>
    </row>
    <row r="27" spans="1:31" ht="48" x14ac:dyDescent="0.2">
      <c r="A27" s="86" t="s">
        <v>161</v>
      </c>
      <c r="D27" s="88">
        <f t="shared" ref="D27:I27" si="22">D26+D17+D20</f>
        <v>1440187</v>
      </c>
      <c r="E27" s="88">
        <f t="shared" si="22"/>
        <v>1503410</v>
      </c>
      <c r="F27" s="88">
        <f t="shared" si="22"/>
        <v>1508652</v>
      </c>
      <c r="G27" s="88">
        <f t="shared" si="22"/>
        <v>1513957</v>
      </c>
      <c r="H27" s="88">
        <f t="shared" si="22"/>
        <v>1521941</v>
      </c>
      <c r="I27" s="88">
        <f t="shared" si="22"/>
        <v>1574462</v>
      </c>
      <c r="J27" s="88">
        <f>J26+J17+J19</f>
        <v>3580400.333333333</v>
      </c>
      <c r="K27" s="88">
        <f t="shared" ref="K27:S27" si="23">K26+K17+K19</f>
        <v>2369909.5288670985</v>
      </c>
      <c r="L27" s="88">
        <f t="shared" si="23"/>
        <v>1965490.9766884493</v>
      </c>
      <c r="M27" s="88">
        <f t="shared" si="23"/>
        <v>1717945.8864553338</v>
      </c>
      <c r="N27" s="88">
        <f t="shared" si="23"/>
        <v>1734565.3453198872</v>
      </c>
      <c r="O27" s="88">
        <f t="shared" si="23"/>
        <v>1735350.9987730861</v>
      </c>
      <c r="P27" s="88">
        <f t="shared" si="23"/>
        <v>1735350.9987730861</v>
      </c>
      <c r="Q27" s="88">
        <f t="shared" si="23"/>
        <v>1695350.9987730861</v>
      </c>
      <c r="R27" s="88">
        <f t="shared" si="23"/>
        <v>1695350.9987730861</v>
      </c>
      <c r="S27" s="88">
        <f t="shared" si="23"/>
        <v>1695350.9987730861</v>
      </c>
      <c r="T27" s="88">
        <f>T26+T17+T20</f>
        <v>0</v>
      </c>
      <c r="U27" s="88"/>
      <c r="V27" s="88"/>
    </row>
    <row r="28" spans="1:31" ht="14" customHeight="1" x14ac:dyDescent="0.2"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5"/>
      <c r="X28" s="45"/>
      <c r="Y28" s="45"/>
      <c r="Z28" s="3"/>
      <c r="AB28" s="3"/>
      <c r="AC28" s="3"/>
      <c r="AD28" s="3"/>
      <c r="AE28" s="3"/>
    </row>
    <row r="29" spans="1:31" s="144" customFormat="1" x14ac:dyDescent="0.2">
      <c r="A29" s="144" t="s">
        <v>4</v>
      </c>
      <c r="D29" s="144">
        <v>79458</v>
      </c>
      <c r="E29" s="144">
        <v>71318</v>
      </c>
      <c r="F29" s="144">
        <v>61083</v>
      </c>
      <c r="G29" s="147">
        <v>81998</v>
      </c>
      <c r="H29" s="147">
        <v>81147</v>
      </c>
      <c r="I29" s="147">
        <v>75093</v>
      </c>
      <c r="J29" s="147">
        <v>1086780</v>
      </c>
      <c r="K29" s="148">
        <f>K30+AVERAGE($F$29:$I$29)</f>
        <v>1209786.6824324324</v>
      </c>
      <c r="L29" s="148">
        <f t="shared" ref="L29:P29" si="24">L30+AVERAGE($F$29:$I$29)</f>
        <v>377712.00834658189</v>
      </c>
      <c r="M29" s="148">
        <f t="shared" si="24"/>
        <v>107153.05445151032</v>
      </c>
      <c r="N29" s="148">
        <f t="shared" si="24"/>
        <v>95030.25</v>
      </c>
      <c r="O29" s="148">
        <f t="shared" si="24"/>
        <v>95030.25</v>
      </c>
      <c r="P29" s="148">
        <f t="shared" si="24"/>
        <v>95030.25</v>
      </c>
      <c r="Q29" s="149"/>
      <c r="R29" s="149"/>
      <c r="S29" s="149"/>
      <c r="T29" s="149"/>
      <c r="U29" s="149"/>
      <c r="V29" s="149"/>
      <c r="W29" s="149"/>
      <c r="X29" s="149"/>
      <c r="Y29" s="149"/>
      <c r="Z29" s="149">
        <f>AVERAGE(D29:G29)/1000</f>
        <v>73.464250000000007</v>
      </c>
    </row>
    <row r="30" spans="1:31" s="35" customFormat="1" ht="16" x14ac:dyDescent="0.2">
      <c r="A30" s="136" t="s">
        <v>205</v>
      </c>
      <c r="G30" s="135"/>
      <c r="H30" s="135"/>
      <c r="I30" s="135"/>
      <c r="J30" s="135"/>
      <c r="K30" s="117">
        <v>1134956.4324324324</v>
      </c>
      <c r="L30" s="117">
        <v>302881.75834658189</v>
      </c>
      <c r="M30" s="117">
        <v>32322.804451510328</v>
      </c>
      <c r="N30" s="117">
        <v>20200</v>
      </c>
      <c r="O30" s="117">
        <v>20200</v>
      </c>
      <c r="P30" s="117">
        <v>20200</v>
      </c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31" s="35" customFormat="1" x14ac:dyDescent="0.2">
      <c r="A31" s="136"/>
      <c r="G31" s="135"/>
      <c r="H31" s="135"/>
      <c r="I31" s="135"/>
      <c r="J31" s="135"/>
      <c r="K31" s="117"/>
      <c r="L31" s="117"/>
      <c r="M31" s="117"/>
      <c r="N31" s="117"/>
      <c r="O31" s="117"/>
      <c r="P31" s="117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31" s="35" customFormat="1" x14ac:dyDescent="0.2">
      <c r="A32" s="35" t="s">
        <v>16</v>
      </c>
      <c r="D32" s="35">
        <v>586475</v>
      </c>
      <c r="E32" s="35">
        <v>594213</v>
      </c>
      <c r="F32" s="35">
        <v>612547</v>
      </c>
      <c r="G32" s="135">
        <v>610331</v>
      </c>
      <c r="H32" s="135">
        <v>615406</v>
      </c>
      <c r="I32" s="135">
        <v>627805</v>
      </c>
      <c r="J32" s="135">
        <v>1396890</v>
      </c>
      <c r="K32" s="117">
        <f>K34+K36</f>
        <v>346249.99331148411</v>
      </c>
      <c r="L32" s="117">
        <f>L34+(SUM($K$36:$P$36))/4/6*4</f>
        <v>313897.71475709602</v>
      </c>
      <c r="M32" s="117">
        <f>M34+(SUM($K$36:$P$36))/4/6*4</f>
        <v>314683.31772679655</v>
      </c>
      <c r="N32" s="117">
        <f>N34+(SUM($K$36:$P$36))/4/6*4</f>
        <v>315584.82933137188</v>
      </c>
      <c r="O32" s="117">
        <f>O34+(SUM($K$36:$P$36))/4/6*4</f>
        <v>316640.88578244514</v>
      </c>
      <c r="P32" s="117">
        <f>P34+(SUM($K$36:$P$36))/4/6*4</f>
        <v>318164.20775060297</v>
      </c>
      <c r="Q32" s="44"/>
      <c r="R32" s="44"/>
      <c r="S32" s="44"/>
      <c r="T32" s="44"/>
      <c r="U32" s="44"/>
      <c r="V32" s="44"/>
      <c r="W32" s="44"/>
      <c r="X32" s="44"/>
      <c r="Y32" s="44"/>
      <c r="Z32" s="44">
        <f>AVERAGE(D32:G32)/1000</f>
        <v>600.89149999999995</v>
      </c>
    </row>
    <row r="33" spans="1:31" s="35" customFormat="1" x14ac:dyDescent="0.2">
      <c r="A33" s="35" t="s">
        <v>233</v>
      </c>
      <c r="D33" s="137">
        <f>D32-D45</f>
        <v>196851</v>
      </c>
      <c r="E33" s="137">
        <f t="shared" ref="E33:J33" si="25">E32-E45</f>
        <v>189684</v>
      </c>
      <c r="F33" s="137">
        <f t="shared" si="25"/>
        <v>192875</v>
      </c>
      <c r="G33" s="137">
        <f t="shared" si="25"/>
        <v>191507</v>
      </c>
      <c r="H33" s="137">
        <f t="shared" si="25"/>
        <v>203997</v>
      </c>
      <c r="I33" s="137">
        <f t="shared" si="25"/>
        <v>204376</v>
      </c>
      <c r="J33" s="137">
        <f t="shared" si="25"/>
        <v>884550</v>
      </c>
      <c r="K33" s="117"/>
      <c r="L33" s="117"/>
      <c r="M33" s="117"/>
      <c r="N33" s="117"/>
      <c r="O33" s="117"/>
      <c r="P33" s="117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31" s="35" customFormat="1" x14ac:dyDescent="0.2">
      <c r="A34" s="138" t="s">
        <v>234</v>
      </c>
      <c r="G34" s="135"/>
      <c r="H34" s="135"/>
      <c r="I34" s="135"/>
      <c r="J34" s="135">
        <f>J33-J35</f>
        <v>192550</v>
      </c>
      <c r="K34" s="117">
        <f t="shared" ref="K34:P34" si="26">J34*(1+K44)</f>
        <v>194249.99331148408</v>
      </c>
      <c r="L34" s="117">
        <f t="shared" si="26"/>
        <v>195731.04809042934</v>
      </c>
      <c r="M34" s="117">
        <f t="shared" si="26"/>
        <v>196516.65106012989</v>
      </c>
      <c r="N34" s="117">
        <f t="shared" si="26"/>
        <v>197418.16266470519</v>
      </c>
      <c r="O34" s="117">
        <f t="shared" si="26"/>
        <v>198474.21911577848</v>
      </c>
      <c r="P34" s="117">
        <f t="shared" si="26"/>
        <v>199997.54108393632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31" s="140" customFormat="1" ht="14" x14ac:dyDescent="0.2">
      <c r="A35" s="139" t="s">
        <v>214</v>
      </c>
      <c r="G35" s="141"/>
      <c r="H35" s="141"/>
      <c r="I35" s="141"/>
      <c r="J35" s="141">
        <v>692000</v>
      </c>
      <c r="K35" s="142"/>
      <c r="L35" s="142"/>
      <c r="M35" s="142"/>
      <c r="N35" s="142"/>
      <c r="O35" s="142"/>
      <c r="P35" s="142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spans="1:31" s="35" customFormat="1" ht="32" x14ac:dyDescent="0.2">
      <c r="A36" s="136" t="s">
        <v>215</v>
      </c>
      <c r="G36" s="135"/>
      <c r="H36" s="135"/>
      <c r="I36" s="135"/>
      <c r="J36" s="117">
        <f>SUM(J37:J39)</f>
        <v>102000</v>
      </c>
      <c r="K36" s="117">
        <f>SUM(K37:K39)</f>
        <v>152000</v>
      </c>
      <c r="L36" s="117">
        <f t="shared" ref="L36:P36" si="27">SUM(L37:L39)</f>
        <v>147000</v>
      </c>
      <c r="M36" s="117">
        <f t="shared" si="27"/>
        <v>130000</v>
      </c>
      <c r="N36" s="117">
        <f t="shared" si="27"/>
        <v>112000</v>
      </c>
      <c r="O36" s="117">
        <f t="shared" si="27"/>
        <v>112000</v>
      </c>
      <c r="P36" s="117">
        <f t="shared" si="27"/>
        <v>56000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31" s="35" customFormat="1" x14ac:dyDescent="0.2">
      <c r="A37" s="114" t="s">
        <v>202</v>
      </c>
      <c r="G37" s="135"/>
      <c r="H37" s="135"/>
      <c r="I37" s="135"/>
      <c r="J37" s="117">
        <v>50000</v>
      </c>
      <c r="K37" s="117">
        <v>100000</v>
      </c>
      <c r="L37" s="117">
        <v>100000</v>
      </c>
      <c r="M37" s="117">
        <v>100000</v>
      </c>
      <c r="N37" s="117">
        <v>100000</v>
      </c>
      <c r="O37" s="117">
        <v>100000</v>
      </c>
      <c r="P37" s="117">
        <v>50000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31" s="35" customFormat="1" x14ac:dyDescent="0.2">
      <c r="A38" s="114" t="s">
        <v>206</v>
      </c>
      <c r="G38" s="135"/>
      <c r="H38" s="135"/>
      <c r="I38" s="135"/>
      <c r="J38" s="135">
        <v>27000</v>
      </c>
      <c r="K38" s="117">
        <v>27000</v>
      </c>
      <c r="L38" s="117">
        <v>12000</v>
      </c>
      <c r="M38" s="117">
        <v>12000</v>
      </c>
      <c r="N38" s="117">
        <v>12000</v>
      </c>
      <c r="O38" s="117">
        <v>12000</v>
      </c>
      <c r="P38" s="117">
        <v>6000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31" s="35" customFormat="1" x14ac:dyDescent="0.2">
      <c r="A39" s="114" t="s">
        <v>203</v>
      </c>
      <c r="G39" s="135"/>
      <c r="H39" s="135"/>
      <c r="I39" s="135"/>
      <c r="J39" s="135">
        <v>25000</v>
      </c>
      <c r="K39" s="117">
        <v>25000</v>
      </c>
      <c r="L39" s="117">
        <v>35000</v>
      </c>
      <c r="M39" s="117">
        <v>18000</v>
      </c>
      <c r="N39" s="117">
        <v>0</v>
      </c>
      <c r="O39" s="117">
        <v>0</v>
      </c>
      <c r="P39" s="117">
        <v>0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31" s="144" customFormat="1" x14ac:dyDescent="0.2">
      <c r="A40" s="150" t="s">
        <v>222</v>
      </c>
      <c r="G40" s="147"/>
      <c r="H40" s="147"/>
      <c r="I40" s="147">
        <f>I32-I45</f>
        <v>204376</v>
      </c>
      <c r="J40" s="148">
        <f>J34+J36</f>
        <v>294550</v>
      </c>
      <c r="K40" s="148">
        <f t="shared" ref="K40:P40" si="28">K34+K36</f>
        <v>346249.99331148411</v>
      </c>
      <c r="L40" s="148">
        <f t="shared" si="28"/>
        <v>342731.04809042934</v>
      </c>
      <c r="M40" s="148">
        <f t="shared" si="28"/>
        <v>326516.65106012987</v>
      </c>
      <c r="N40" s="148">
        <f t="shared" si="28"/>
        <v>309418.16266470519</v>
      </c>
      <c r="O40" s="148">
        <f t="shared" si="28"/>
        <v>310474.21911577845</v>
      </c>
      <c r="P40" s="148">
        <f t="shared" si="28"/>
        <v>255997.54108393632</v>
      </c>
      <c r="Q40" s="149"/>
      <c r="R40" s="149"/>
      <c r="S40" s="149"/>
      <c r="T40" s="149"/>
      <c r="U40" s="149"/>
      <c r="V40" s="149"/>
      <c r="W40" s="149"/>
      <c r="X40" s="149"/>
      <c r="Y40" s="149"/>
      <c r="Z40" s="149"/>
    </row>
    <row r="41" spans="1:31" s="35" customFormat="1" x14ac:dyDescent="0.2">
      <c r="J41" s="137"/>
      <c r="K41" s="137"/>
      <c r="L41" s="137"/>
      <c r="M41" s="137"/>
      <c r="N41" s="137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31" s="35" customFormat="1" x14ac:dyDescent="0.2">
      <c r="A42" s="35" t="s">
        <v>17</v>
      </c>
      <c r="D42" s="117">
        <v>1241.5999999999999</v>
      </c>
      <c r="E42" s="117">
        <v>1245.8</v>
      </c>
      <c r="F42" s="117">
        <v>1473.6</v>
      </c>
      <c r="G42" s="117">
        <v>1288.5</v>
      </c>
      <c r="H42" s="117">
        <v>1301.0999999999999</v>
      </c>
      <c r="I42" s="117">
        <v>1306.0999999999999</v>
      </c>
      <c r="J42" s="117">
        <v>1360.1</v>
      </c>
      <c r="K42" s="117"/>
      <c r="L42" s="117"/>
      <c r="M42" s="117"/>
      <c r="N42" s="117"/>
      <c r="O42" s="117"/>
      <c r="P42" s="117"/>
      <c r="Q42" s="117"/>
      <c r="R42" s="117"/>
      <c r="S42" s="117"/>
      <c r="T42" s="44"/>
      <c r="U42" s="44"/>
      <c r="V42" s="44"/>
      <c r="W42" s="44"/>
      <c r="X42" s="44"/>
      <c r="Y42" s="44"/>
      <c r="Z42" s="44"/>
      <c r="AB42" s="44"/>
      <c r="AC42" s="44"/>
      <c r="AD42" s="44"/>
      <c r="AE42" s="44"/>
    </row>
    <row r="43" spans="1:31" s="35" customFormat="1" x14ac:dyDescent="0.2">
      <c r="A43" s="115" t="s">
        <v>208</v>
      </c>
      <c r="H43" s="35">
        <v>1447.9</v>
      </c>
      <c r="I43" s="35">
        <v>1452.6</v>
      </c>
      <c r="J43" s="35">
        <v>1509.2</v>
      </c>
      <c r="K43" s="35">
        <v>1522.5244866564101</v>
      </c>
      <c r="L43" s="35">
        <v>1534.13294094041</v>
      </c>
      <c r="M43" s="35">
        <v>1540.2904688649601</v>
      </c>
      <c r="N43" s="35">
        <v>1547.3564845160899</v>
      </c>
      <c r="O43" s="35">
        <v>1555.6338171359801</v>
      </c>
      <c r="P43" s="35">
        <v>1567.5735601343899</v>
      </c>
      <c r="Q43" s="35">
        <v>1581.1728993807401</v>
      </c>
      <c r="R43" s="35">
        <v>1594.94329203799</v>
      </c>
      <c r="S43" s="35">
        <v>1610.2405358978399</v>
      </c>
      <c r="T43" s="35">
        <v>1624.3148372666899</v>
      </c>
      <c r="W43" s="44"/>
      <c r="X43" s="44"/>
      <c r="Y43" s="44"/>
      <c r="Z43" s="44"/>
      <c r="AB43" s="44"/>
      <c r="AC43" s="44"/>
      <c r="AD43" s="44"/>
      <c r="AE43" s="44"/>
    </row>
    <row r="44" spans="1:31" s="196" customFormat="1" ht="12" x14ac:dyDescent="0.15">
      <c r="A44" s="178" t="s">
        <v>207</v>
      </c>
      <c r="K44" s="197">
        <f>K43/J43-1</f>
        <v>8.8288408802081886E-3</v>
      </c>
      <c r="L44" s="197">
        <f t="shared" ref="L44:T44" si="29">L43/K43-1</f>
        <v>7.6244778890177667E-3</v>
      </c>
      <c r="M44" s="197">
        <f t="shared" si="29"/>
        <v>4.0136860113149098E-3</v>
      </c>
      <c r="N44" s="197">
        <f t="shared" si="29"/>
        <v>4.5874565830019698E-3</v>
      </c>
      <c r="O44" s="197">
        <f t="shared" si="29"/>
        <v>5.3493378563496119E-3</v>
      </c>
      <c r="P44" s="197">
        <f t="shared" si="29"/>
        <v>7.6751629251616826E-3</v>
      </c>
      <c r="Q44" s="197">
        <f t="shared" si="29"/>
        <v>8.675407388974099E-3</v>
      </c>
      <c r="R44" s="197">
        <f t="shared" si="29"/>
        <v>8.7089733593606056E-3</v>
      </c>
      <c r="S44" s="197">
        <f t="shared" si="29"/>
        <v>9.5910894990525186E-3</v>
      </c>
      <c r="T44" s="197">
        <f t="shared" si="29"/>
        <v>8.7404962520101215E-3</v>
      </c>
      <c r="U44" s="197"/>
      <c r="V44" s="197"/>
      <c r="W44" s="198"/>
      <c r="X44" s="198"/>
      <c r="Y44" s="198"/>
      <c r="Z44" s="198"/>
      <c r="AB44" s="198"/>
      <c r="AC44" s="198"/>
      <c r="AD44" s="198"/>
      <c r="AE44" s="198"/>
    </row>
    <row r="45" spans="1:31" s="35" customFormat="1" x14ac:dyDescent="0.2">
      <c r="A45" s="35" t="s">
        <v>209</v>
      </c>
      <c r="D45" s="117">
        <v>389624</v>
      </c>
      <c r="E45" s="117">
        <v>404529</v>
      </c>
      <c r="F45" s="117">
        <v>419672</v>
      </c>
      <c r="G45" s="117">
        <v>418824</v>
      </c>
      <c r="H45" s="117">
        <v>411409</v>
      </c>
      <c r="I45" s="117">
        <v>423429</v>
      </c>
      <c r="J45" s="117">
        <v>512340</v>
      </c>
      <c r="K45" s="117">
        <f t="shared" ref="K45" si="30">1000*(4*AB45-SUM(H45:J45)/1000)</f>
        <v>517798</v>
      </c>
      <c r="L45" s="117">
        <f t="shared" ref="L45:Q45" si="31">L52*0.74</f>
        <v>538153.46402602247</v>
      </c>
      <c r="M45" s="117">
        <f t="shared" si="31"/>
        <v>538153.46402602247</v>
      </c>
      <c r="N45" s="117">
        <f t="shared" si="31"/>
        <v>538153.46402602247</v>
      </c>
      <c r="O45" s="117">
        <f t="shared" si="31"/>
        <v>538153.46402602247</v>
      </c>
      <c r="P45" s="117">
        <f t="shared" si="31"/>
        <v>538153.46402602247</v>
      </c>
      <c r="Q45" s="117">
        <f t="shared" si="31"/>
        <v>538153.46402602247</v>
      </c>
      <c r="R45" s="117">
        <f>R52*0.68</f>
        <v>494519.39937526395</v>
      </c>
      <c r="S45" s="117">
        <f>S52*0.68</f>
        <v>494519.39937526395</v>
      </c>
      <c r="T45" s="117">
        <f>T52*0.68</f>
        <v>505295.57833877997</v>
      </c>
      <c r="U45" s="117"/>
      <c r="V45" s="117"/>
      <c r="W45" s="45">
        <f>AVERAGE(H45:K45)</f>
        <v>466244</v>
      </c>
      <c r="X45" s="45">
        <f>AVERAGE(L45:O45)</f>
        <v>538153.46402602247</v>
      </c>
      <c r="Y45" s="45">
        <f>AVERAGE(P45:S45)</f>
        <v>516336.43170064327</v>
      </c>
      <c r="Z45" s="44">
        <f>AVERAGE(D45:G45)/1000</f>
        <v>408.16224999999997</v>
      </c>
      <c r="AA45" s="35">
        <v>409.42</v>
      </c>
      <c r="AB45" s="84">
        <f>'figuring out Medicaid'!G11</f>
        <v>466.24400000000003</v>
      </c>
      <c r="AC45" s="84">
        <f>'figuring out Medicaid'!H11</f>
        <v>537.41499999999996</v>
      </c>
      <c r="AD45" s="84">
        <f>'figuring out Medicaid'!I11</f>
        <v>516.01800000000003</v>
      </c>
    </row>
    <row r="46" spans="1:31" s="144" customFormat="1" x14ac:dyDescent="0.2">
      <c r="A46" s="144" t="s">
        <v>165</v>
      </c>
      <c r="D46" s="145">
        <f t="shared" ref="D46:I46" si="32">D26+D23+D17+D19</f>
        <v>1440187</v>
      </c>
      <c r="E46" s="145">
        <f t="shared" si="32"/>
        <v>1503410</v>
      </c>
      <c r="F46" s="145">
        <f t="shared" si="32"/>
        <v>1508652</v>
      </c>
      <c r="G46" s="145">
        <f t="shared" si="32"/>
        <v>1513957</v>
      </c>
      <c r="H46" s="145">
        <f t="shared" si="32"/>
        <v>1521941</v>
      </c>
      <c r="I46" s="145">
        <f t="shared" si="32"/>
        <v>1574462</v>
      </c>
      <c r="J46" s="145">
        <f>J26+J23+J17+J19</f>
        <v>3734400.333333333</v>
      </c>
      <c r="K46" s="145">
        <f t="shared" ref="K46:S46" si="33">K26+K23+K17+K19</f>
        <v>2531909.5288670985</v>
      </c>
      <c r="L46" s="145">
        <f t="shared" si="33"/>
        <v>2004295.8183418673</v>
      </c>
      <c r="M46" s="145">
        <f t="shared" si="33"/>
        <v>1748323.4820038234</v>
      </c>
      <c r="N46" s="145">
        <f t="shared" si="33"/>
        <v>1764565.3453198872</v>
      </c>
      <c r="O46" s="145">
        <f t="shared" si="33"/>
        <v>1765350.9987730861</v>
      </c>
      <c r="P46" s="145">
        <f t="shared" si="33"/>
        <v>1750350.9987730861</v>
      </c>
      <c r="Q46" s="145">
        <f t="shared" si="33"/>
        <v>1695350.9987730861</v>
      </c>
      <c r="R46" s="145">
        <f t="shared" si="33"/>
        <v>1695350.9987730861</v>
      </c>
      <c r="S46" s="145">
        <f t="shared" si="33"/>
        <v>1695350.9987730861</v>
      </c>
    </row>
    <row r="47" spans="1:31" s="144" customFormat="1" x14ac:dyDescent="0.2">
      <c r="A47" s="144" t="s">
        <v>219</v>
      </c>
      <c r="J47" s="146">
        <f>J45+J16</f>
        <v>1336398</v>
      </c>
      <c r="K47" s="146">
        <f t="shared" ref="K47:S47" si="34">K45+K16</f>
        <v>1351445</v>
      </c>
      <c r="L47" s="146">
        <f t="shared" si="34"/>
        <v>1375874.5247178911</v>
      </c>
      <c r="M47" s="146">
        <f t="shared" si="34"/>
        <v>1382953.9433909343</v>
      </c>
      <c r="N47" s="146">
        <f t="shared" si="34"/>
        <v>1403324.9889957183</v>
      </c>
      <c r="O47" s="146">
        <f t="shared" si="34"/>
        <v>1413392.398999546</v>
      </c>
      <c r="P47" s="146">
        <f t="shared" si="34"/>
        <v>1490939.4991347496</v>
      </c>
      <c r="Q47" s="146">
        <f t="shared" si="34"/>
        <v>1498991.3096536265</v>
      </c>
      <c r="R47" s="146">
        <f t="shared" si="34"/>
        <v>1478526.3506676713</v>
      </c>
      <c r="S47" s="146">
        <f t="shared" si="34"/>
        <v>1489976.5673465251</v>
      </c>
    </row>
    <row r="48" spans="1:31" s="35" customFormat="1" x14ac:dyDescent="0.2"/>
    <row r="49" spans="1:30" s="35" customFormat="1" x14ac:dyDescent="0.2">
      <c r="A49" s="35" t="s">
        <v>15</v>
      </c>
      <c r="D49" s="35">
        <v>728844</v>
      </c>
      <c r="E49" s="35">
        <v>738714</v>
      </c>
      <c r="F49" s="35">
        <v>755204</v>
      </c>
      <c r="G49" s="35">
        <v>763370</v>
      </c>
      <c r="H49" s="35">
        <v>760967</v>
      </c>
      <c r="I49" s="35">
        <v>767087</v>
      </c>
      <c r="J49" s="35">
        <v>801069</v>
      </c>
      <c r="K49" s="135">
        <f>K50+K52</f>
        <v>870568.41084597632</v>
      </c>
      <c r="L49" s="135">
        <f t="shared" ref="L49:S49" si="35">L50+L52</f>
        <v>871727.46409446234</v>
      </c>
      <c r="M49" s="135">
        <f t="shared" si="35"/>
        <v>874016.92140959739</v>
      </c>
      <c r="N49" s="135">
        <f t="shared" si="35"/>
        <v>876480.0173413303</v>
      </c>
      <c r="O49" s="135">
        <f t="shared" si="35"/>
        <v>878383.61106402718</v>
      </c>
      <c r="P49" s="135">
        <f t="shared" si="35"/>
        <v>879959.22073315107</v>
      </c>
      <c r="Q49" s="135">
        <f t="shared" si="35"/>
        <v>881695.60689912445</v>
      </c>
      <c r="R49" s="135">
        <f t="shared" si="35"/>
        <v>883322.66504724044</v>
      </c>
      <c r="S49" s="135">
        <f t="shared" si="35"/>
        <v>884788.94669850683</v>
      </c>
    </row>
    <row r="50" spans="1:30" s="35" customFormat="1" x14ac:dyDescent="0.2">
      <c r="A50" s="35" t="s">
        <v>235</v>
      </c>
      <c r="D50" s="137">
        <f t="shared" ref="D50:J50" si="36">D49-D52</f>
        <v>139025</v>
      </c>
      <c r="E50" s="137">
        <f t="shared" si="36"/>
        <v>139342</v>
      </c>
      <c r="F50" s="137">
        <f t="shared" si="36"/>
        <v>140228</v>
      </c>
      <c r="G50" s="137">
        <f t="shared" si="36"/>
        <v>141105</v>
      </c>
      <c r="H50" s="137">
        <f t="shared" si="36"/>
        <v>141335</v>
      </c>
      <c r="I50" s="137">
        <f t="shared" si="36"/>
        <v>142991</v>
      </c>
      <c r="J50" s="137">
        <f t="shared" si="36"/>
        <v>143334</v>
      </c>
      <c r="K50" s="135">
        <f>J50</f>
        <v>143334</v>
      </c>
      <c r="L50" s="135">
        <f>K50*(1+L57-0.015)</f>
        <v>144493.05324848605</v>
      </c>
      <c r="M50" s="135">
        <f t="shared" ref="M50:S50" si="37">L50*(1+M57)</f>
        <v>146782.51056362112</v>
      </c>
      <c r="N50" s="135">
        <f t="shared" si="37"/>
        <v>149245.606495354</v>
      </c>
      <c r="O50" s="135">
        <f t="shared" si="37"/>
        <v>151149.20021805083</v>
      </c>
      <c r="P50" s="135">
        <f t="shared" si="37"/>
        <v>152724.80988717469</v>
      </c>
      <c r="Q50" s="135">
        <f t="shared" si="37"/>
        <v>154461.19605314813</v>
      </c>
      <c r="R50" s="135">
        <f t="shared" si="37"/>
        <v>156088.25420126412</v>
      </c>
      <c r="S50" s="135">
        <f t="shared" si="37"/>
        <v>157554.53585253056</v>
      </c>
    </row>
    <row r="51" spans="1:30" s="35" customFormat="1" x14ac:dyDescent="0.2">
      <c r="D51" s="137"/>
    </row>
    <row r="52" spans="1:30" s="35" customFormat="1" x14ac:dyDescent="0.2">
      <c r="A52" s="35" t="s">
        <v>232</v>
      </c>
      <c r="D52" s="35">
        <v>589819</v>
      </c>
      <c r="E52" s="35">
        <v>599372</v>
      </c>
      <c r="F52" s="35">
        <v>614976</v>
      </c>
      <c r="G52" s="35">
        <v>622265</v>
      </c>
      <c r="H52" s="35">
        <v>619632</v>
      </c>
      <c r="I52" s="35">
        <v>624096</v>
      </c>
      <c r="J52" s="35">
        <v>657735</v>
      </c>
      <c r="K52" s="117">
        <f t="shared" ref="K52" si="38">1000*(4*AB52-SUM(H52:J52)/1000)</f>
        <v>727234.41084597632</v>
      </c>
      <c r="L52" s="137">
        <f t="shared" ref="L52:S52" si="39">K52</f>
        <v>727234.41084597632</v>
      </c>
      <c r="M52" s="137">
        <f t="shared" si="39"/>
        <v>727234.41084597632</v>
      </c>
      <c r="N52" s="137">
        <f t="shared" si="39"/>
        <v>727234.41084597632</v>
      </c>
      <c r="O52" s="137">
        <f t="shared" si="39"/>
        <v>727234.41084597632</v>
      </c>
      <c r="P52" s="137">
        <f t="shared" si="39"/>
        <v>727234.41084597632</v>
      </c>
      <c r="Q52" s="137">
        <f t="shared" si="39"/>
        <v>727234.41084597632</v>
      </c>
      <c r="R52" s="137">
        <f t="shared" si="39"/>
        <v>727234.41084597632</v>
      </c>
      <c r="S52" s="137">
        <f t="shared" si="39"/>
        <v>727234.41084597632</v>
      </c>
      <c r="T52" s="35">
        <v>743081.73285114695</v>
      </c>
      <c r="W52" s="45">
        <f>AVERAGE(H52:K52)/1000</f>
        <v>657.17435271149407</v>
      </c>
      <c r="X52" s="45">
        <f>AVERAGE(L52:O52)/1000</f>
        <v>727.2344108459763</v>
      </c>
      <c r="Y52" s="45">
        <f>AVERAGE(P52:S52)/1000</f>
        <v>727.2344108459763</v>
      </c>
      <c r="AA52" s="84"/>
      <c r="AB52" s="84">
        <f>'figuring out Medicaid'!G13</f>
        <v>657.17435271149407</v>
      </c>
      <c r="AC52" s="84">
        <f>'figuring out Medicaid'!H13</f>
        <v>725.7777402928042</v>
      </c>
      <c r="AD52" s="84">
        <f>'figuring out Medicaid'!I13</f>
        <v>727.33117238501666</v>
      </c>
    </row>
    <row r="53" spans="1:30" s="160" customFormat="1" ht="12" x14ac:dyDescent="0.15">
      <c r="A53" s="160" t="s">
        <v>227</v>
      </c>
      <c r="D53" s="161">
        <f>D45/D52</f>
        <v>0.66058231423538405</v>
      </c>
      <c r="E53" s="161">
        <f t="shared" ref="E53:G53" si="40">E45/E52</f>
        <v>0.6749214177505789</v>
      </c>
      <c r="F53" s="161">
        <f t="shared" si="40"/>
        <v>0.68242012696430432</v>
      </c>
      <c r="G53" s="161">
        <f t="shared" si="40"/>
        <v>0.6730637268687778</v>
      </c>
      <c r="H53" s="161">
        <f t="shared" ref="H53" si="41">H45/H52</f>
        <v>0.66395699382859508</v>
      </c>
      <c r="I53" s="161">
        <f t="shared" ref="I53" si="42">I45/I52</f>
        <v>0.67846773573296415</v>
      </c>
      <c r="W53" s="162"/>
      <c r="X53" s="162"/>
      <c r="Y53" s="162"/>
      <c r="AA53" s="163"/>
      <c r="AB53" s="163"/>
      <c r="AC53" s="163"/>
    </row>
    <row r="54" spans="1:30" s="35" customFormat="1" x14ac:dyDescent="0.2">
      <c r="A54" s="35" t="s">
        <v>18</v>
      </c>
      <c r="D54" s="35">
        <v>1997.1</v>
      </c>
      <c r="E54" s="35">
        <v>2012.7</v>
      </c>
      <c r="F54" s="35">
        <v>2025.5</v>
      </c>
      <c r="G54" s="35">
        <v>2028.3</v>
      </c>
      <c r="H54" s="35">
        <v>2035.6</v>
      </c>
      <c r="I54" s="35">
        <v>2041</v>
      </c>
      <c r="J54" s="35">
        <v>2012.1</v>
      </c>
      <c r="K54" s="35">
        <f>J54*(1+K55)</f>
        <v>1936.7466182339097</v>
      </c>
      <c r="L54" s="35">
        <f t="shared" ref="L54:S54" si="43">K54*(1+L55)</f>
        <v>1974.6291926736924</v>
      </c>
      <c r="M54" s="35">
        <f t="shared" si="43"/>
        <v>1999.5411030389844</v>
      </c>
      <c r="N54" s="35">
        <f t="shared" si="43"/>
        <v>2021.3647600532072</v>
      </c>
      <c r="O54" s="35">
        <f t="shared" si="43"/>
        <v>2035.7766090248638</v>
      </c>
      <c r="P54" s="35">
        <f t="shared" si="43"/>
        <v>2045.7619615266544</v>
      </c>
      <c r="Q54" s="35">
        <f t="shared" si="43"/>
        <v>2055.6443722500762</v>
      </c>
      <c r="R54" s="35">
        <f t="shared" si="43"/>
        <v>2062.8502967359045</v>
      </c>
      <c r="S54" s="35">
        <f t="shared" si="43"/>
        <v>2067.2767932057704</v>
      </c>
    </row>
    <row r="55" spans="1:30" s="196" customFormat="1" ht="12" x14ac:dyDescent="0.15">
      <c r="A55" s="178" t="s">
        <v>220</v>
      </c>
      <c r="H55" s="185">
        <v>4.9879006370685498E-3</v>
      </c>
      <c r="I55" s="185">
        <v>1.37592137592146E-3</v>
      </c>
      <c r="J55" s="185">
        <v>-4.0828344292864902E-2</v>
      </c>
      <c r="K55" s="185">
        <v>-3.7450117671134701E-2</v>
      </c>
      <c r="L55" s="185">
        <v>1.95599022004889E-2</v>
      </c>
      <c r="M55" s="185">
        <v>1.26159941611927E-2</v>
      </c>
      <c r="N55" s="185">
        <v>1.0914332784184499E-2</v>
      </c>
      <c r="O55" s="185">
        <v>7.1297616622529904E-3</v>
      </c>
      <c r="P55" s="185">
        <v>4.9049352750809598E-3</v>
      </c>
      <c r="Q55" s="185">
        <v>4.8306747848840797E-3</v>
      </c>
      <c r="R55" s="185">
        <v>3.5054334218038701E-3</v>
      </c>
      <c r="S55" s="185">
        <v>2.14581565946403E-3</v>
      </c>
    </row>
    <row r="56" spans="1:30" s="35" customFormat="1" x14ac:dyDescent="0.2">
      <c r="A56" s="35" t="s">
        <v>221</v>
      </c>
      <c r="H56" s="35">
        <v>2357.4</v>
      </c>
      <c r="I56" s="35">
        <v>2381.6</v>
      </c>
      <c r="J56" s="35">
        <v>2333.1</v>
      </c>
      <c r="K56" s="35">
        <v>2251.0965730855401</v>
      </c>
      <c r="L56" s="35">
        <v>2303.06624489258</v>
      </c>
      <c r="M56" s="35">
        <v>2339.5577698695101</v>
      </c>
      <c r="N56" s="35">
        <v>2378.81691050481</v>
      </c>
      <c r="O56" s="35">
        <v>2409.1581784631599</v>
      </c>
      <c r="P56" s="35">
        <v>2434.27172795571</v>
      </c>
      <c r="Q56" s="35">
        <v>2461.9478845393401</v>
      </c>
      <c r="R56" s="35">
        <v>2487.8814683010401</v>
      </c>
      <c r="S56" s="35">
        <v>2511.2524449716602</v>
      </c>
    </row>
    <row r="57" spans="1:30" s="196" customFormat="1" ht="12" x14ac:dyDescent="0.15">
      <c r="A57" s="178" t="s">
        <v>220</v>
      </c>
      <c r="I57" s="185">
        <f>I56/H56-1</f>
        <v>1.0265546788835067E-2</v>
      </c>
      <c r="J57" s="185">
        <f t="shared" ref="J57:S57" si="44">J56/I56-1</f>
        <v>-2.0364460866644229E-2</v>
      </c>
      <c r="K57" s="185">
        <f t="shared" si="44"/>
        <v>-3.5147840604543235E-2</v>
      </c>
      <c r="L57" s="185">
        <f t="shared" si="44"/>
        <v>2.3086380401621698E-2</v>
      </c>
      <c r="M57" s="185">
        <f t="shared" si="44"/>
        <v>1.5844756987714037E-2</v>
      </c>
      <c r="N57" s="185">
        <f t="shared" si="44"/>
        <v>1.6780581843674591E-2</v>
      </c>
      <c r="O57" s="185">
        <f t="shared" si="44"/>
        <v>1.2754772266988512E-2</v>
      </c>
      <c r="P57" s="185">
        <f t="shared" si="44"/>
        <v>1.0424201165807334E-2</v>
      </c>
      <c r="Q57" s="185">
        <f t="shared" si="44"/>
        <v>1.1369378473976788E-2</v>
      </c>
      <c r="R57" s="185">
        <f t="shared" si="44"/>
        <v>1.0533766341911166E-2</v>
      </c>
      <c r="S57" s="185">
        <f t="shared" si="44"/>
        <v>9.3939269086562582E-3</v>
      </c>
    </row>
    <row r="58" spans="1:30" s="144" customFormat="1" x14ac:dyDescent="0.2">
      <c r="A58" s="144" t="s">
        <v>168</v>
      </c>
      <c r="D58" s="145">
        <f t="shared" ref="D58:S58" si="45">D49+D22-D45</f>
        <v>339220</v>
      </c>
      <c r="E58" s="145">
        <f t="shared" si="45"/>
        <v>334185</v>
      </c>
      <c r="F58" s="145">
        <f t="shared" si="45"/>
        <v>335532</v>
      </c>
      <c r="G58" s="145">
        <f t="shared" si="45"/>
        <v>344546</v>
      </c>
      <c r="H58" s="145">
        <f t="shared" si="45"/>
        <v>349558</v>
      </c>
      <c r="I58" s="145">
        <f t="shared" si="45"/>
        <v>343658</v>
      </c>
      <c r="J58" s="145">
        <f t="shared" si="45"/>
        <v>566329</v>
      </c>
      <c r="K58" s="145">
        <f t="shared" si="45"/>
        <v>707930.41084597632</v>
      </c>
      <c r="L58" s="145">
        <f t="shared" si="45"/>
        <v>437574.00006843987</v>
      </c>
      <c r="M58" s="145">
        <f t="shared" si="45"/>
        <v>435863.45738357492</v>
      </c>
      <c r="N58" s="145">
        <f t="shared" si="45"/>
        <v>434326.55331530783</v>
      </c>
      <c r="O58" s="145">
        <f t="shared" si="45"/>
        <v>400230.14703800471</v>
      </c>
      <c r="P58" s="145">
        <f t="shared" si="45"/>
        <v>381805.7567071286</v>
      </c>
      <c r="Q58" s="145">
        <f t="shared" si="45"/>
        <v>343542.14287310198</v>
      </c>
      <c r="R58" s="145">
        <f t="shared" si="45"/>
        <v>388803.26567197649</v>
      </c>
      <c r="S58" s="145">
        <f t="shared" si="45"/>
        <v>390269.54732324288</v>
      </c>
    </row>
    <row r="59" spans="1:30" s="144" customFormat="1" x14ac:dyDescent="0.2">
      <c r="A59" s="144" t="s">
        <v>218</v>
      </c>
      <c r="D59" s="145"/>
      <c r="E59" s="145"/>
      <c r="F59" s="145"/>
      <c r="G59" s="145"/>
      <c r="H59" s="145"/>
      <c r="I59" s="145"/>
      <c r="J59" s="145">
        <f>J52-J45</f>
        <v>145395</v>
      </c>
      <c r="K59" s="145">
        <f t="shared" ref="K59:S59" si="46">K52-K45</f>
        <v>209436.41084597632</v>
      </c>
      <c r="L59" s="145">
        <f t="shared" si="46"/>
        <v>189080.94681995385</v>
      </c>
      <c r="M59" s="145">
        <f t="shared" si="46"/>
        <v>189080.94681995385</v>
      </c>
      <c r="N59" s="145">
        <f t="shared" si="46"/>
        <v>189080.94681995385</v>
      </c>
      <c r="O59" s="145">
        <f t="shared" si="46"/>
        <v>189080.94681995385</v>
      </c>
      <c r="P59" s="145">
        <f t="shared" si="46"/>
        <v>189080.94681995385</v>
      </c>
      <c r="Q59" s="145">
        <f t="shared" si="46"/>
        <v>189080.94681995385</v>
      </c>
      <c r="R59" s="145">
        <f t="shared" si="46"/>
        <v>232715.01147071237</v>
      </c>
      <c r="S59" s="145">
        <f t="shared" si="46"/>
        <v>232715.01147071237</v>
      </c>
    </row>
    <row r="60" spans="1:30" x14ac:dyDescent="0.2">
      <c r="A60" t="s">
        <v>236</v>
      </c>
      <c r="D60" s="94">
        <f>D58-(D52-D45)</f>
        <v>139025</v>
      </c>
      <c r="E60" s="94">
        <f t="shared" ref="E60:S60" si="47">E58-(E52-E45)</f>
        <v>139342</v>
      </c>
      <c r="F60" s="94">
        <f t="shared" si="47"/>
        <v>140228</v>
      </c>
      <c r="G60" s="94">
        <f t="shared" si="47"/>
        <v>141105</v>
      </c>
      <c r="H60" s="94">
        <f t="shared" si="47"/>
        <v>141335</v>
      </c>
      <c r="I60" s="94">
        <f t="shared" si="47"/>
        <v>142991</v>
      </c>
      <c r="J60" s="94">
        <f t="shared" si="47"/>
        <v>420934</v>
      </c>
      <c r="K60" s="94">
        <f t="shared" si="47"/>
        <v>498494</v>
      </c>
      <c r="L60" s="94">
        <f t="shared" si="47"/>
        <v>248493.05324848602</v>
      </c>
      <c r="M60" s="94">
        <f t="shared" si="47"/>
        <v>246782.51056362106</v>
      </c>
      <c r="N60" s="94">
        <f t="shared" si="47"/>
        <v>245245.60649535398</v>
      </c>
      <c r="O60" s="94">
        <f t="shared" si="47"/>
        <v>211149.20021805086</v>
      </c>
      <c r="P60" s="94">
        <f t="shared" si="47"/>
        <v>192724.80988717475</v>
      </c>
      <c r="Q60" s="94">
        <f t="shared" si="47"/>
        <v>154461.19605314813</v>
      </c>
      <c r="R60" s="94">
        <f t="shared" si="47"/>
        <v>156088.25420126412</v>
      </c>
      <c r="S60" s="94">
        <f t="shared" si="47"/>
        <v>157554.53585253051</v>
      </c>
    </row>
    <row r="61" spans="1:30" x14ac:dyDescent="0.2"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</row>
    <row r="62" spans="1:30" x14ac:dyDescent="0.2">
      <c r="A62" t="s">
        <v>23</v>
      </c>
      <c r="D62">
        <v>456.5</v>
      </c>
      <c r="E62">
        <v>475.2</v>
      </c>
      <c r="F62">
        <v>519.4</v>
      </c>
      <c r="G62">
        <v>483.9</v>
      </c>
      <c r="H62">
        <v>480.9</v>
      </c>
      <c r="I62">
        <v>495.8</v>
      </c>
      <c r="J62">
        <v>495.7</v>
      </c>
    </row>
    <row r="63" spans="1:30" x14ac:dyDescent="0.2">
      <c r="A63" t="s">
        <v>24</v>
      </c>
      <c r="D63">
        <v>1295.5</v>
      </c>
      <c r="E63">
        <v>1301.5999999999999</v>
      </c>
      <c r="F63">
        <v>1312.4</v>
      </c>
      <c r="G63">
        <v>1326.5</v>
      </c>
      <c r="H63">
        <v>1330.4</v>
      </c>
      <c r="I63">
        <v>1346.2</v>
      </c>
      <c r="J63">
        <v>1301.4000000000001</v>
      </c>
    </row>
    <row r="64" spans="1:30" x14ac:dyDescent="0.2">
      <c r="A64" t="s">
        <v>25</v>
      </c>
      <c r="D64">
        <v>21.6</v>
      </c>
      <c r="E64">
        <v>22</v>
      </c>
      <c r="F64">
        <v>22.1</v>
      </c>
      <c r="G64">
        <v>21.8</v>
      </c>
      <c r="H64">
        <v>21.1</v>
      </c>
      <c r="I64">
        <v>20.399999999999999</v>
      </c>
      <c r="J64">
        <v>19.100000000000001</v>
      </c>
    </row>
    <row r="65" spans="1:28" x14ac:dyDescent="0.2">
      <c r="A65" t="s">
        <v>22</v>
      </c>
      <c r="D65">
        <v>63.5</v>
      </c>
      <c r="E65">
        <v>68.5</v>
      </c>
      <c r="F65">
        <v>68.7</v>
      </c>
      <c r="G65">
        <v>69.8</v>
      </c>
      <c r="H65">
        <v>71</v>
      </c>
      <c r="I65">
        <v>62.7</v>
      </c>
      <c r="J65">
        <v>54.4</v>
      </c>
    </row>
    <row r="67" spans="1:28" x14ac:dyDescent="0.2">
      <c r="A67" t="s">
        <v>162</v>
      </c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</row>
    <row r="68" spans="1:28" x14ac:dyDescent="0.2"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</row>
    <row r="69" spans="1:28" x14ac:dyDescent="0.2"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</row>
    <row r="70" spans="1:28" x14ac:dyDescent="0.2"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</row>
    <row r="71" spans="1:28" x14ac:dyDescent="0.2"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</row>
    <row r="72" spans="1:28" x14ac:dyDescent="0.2"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</row>
  </sheetData>
  <mergeCells count="10">
    <mergeCell ref="D2:G2"/>
    <mergeCell ref="A1:B1"/>
    <mergeCell ref="AE1:AH1"/>
    <mergeCell ref="W2:Y2"/>
    <mergeCell ref="H2:K2"/>
    <mergeCell ref="L2:O2"/>
    <mergeCell ref="P2:S2"/>
    <mergeCell ref="AB1:AD1"/>
    <mergeCell ref="W1:Y1"/>
    <mergeCell ref="AB2:AD2"/>
  </mergeCells>
  <pageMargins left="0.7" right="0.7" top="0.75" bottom="0.75" header="0.3" footer="0.3"/>
  <pageSetup orientation="portrait" r:id="rId1"/>
  <ignoredErrors>
    <ignoredError sqref="K6 K12 W8 V6:V12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A70"/>
  <sheetViews>
    <sheetView workbookViewId="0">
      <pane xSplit="2" ySplit="8" topLeftCell="J9" activePane="bottomRight" state="frozen"/>
      <selection pane="topRight" activeCell="C1" sqref="C1"/>
      <selection pane="bottomLeft" activeCell="A9" sqref="A9"/>
      <selection pane="bottomRight" activeCell="F26" sqref="F26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51" customWidth="1"/>
    <col min="8" max="10" width="9.33203125" style="95" bestFit="1" customWidth="1"/>
    <col min="11" max="11" width="9.33203125" style="151" bestFit="1" customWidth="1"/>
  </cols>
  <sheetData>
    <row r="1" spans="1:27" ht="19" x14ac:dyDescent="0.25">
      <c r="A1" s="204" t="s">
        <v>212</v>
      </c>
      <c r="B1" s="205"/>
      <c r="C1" s="35"/>
      <c r="H1"/>
      <c r="I1"/>
      <c r="J1"/>
      <c r="X1" s="200"/>
      <c r="Y1" s="200"/>
      <c r="Z1" s="200"/>
      <c r="AA1" s="200"/>
    </row>
    <row r="2" spans="1:27" x14ac:dyDescent="0.2">
      <c r="A2" s="206" t="s">
        <v>196</v>
      </c>
      <c r="B2" s="127"/>
      <c r="C2" t="s">
        <v>197</v>
      </c>
    </row>
    <row r="3" spans="1:27" x14ac:dyDescent="0.2">
      <c r="A3" s="207"/>
      <c r="B3" s="128"/>
      <c r="C3" t="s">
        <v>198</v>
      </c>
    </row>
    <row r="4" spans="1:27" x14ac:dyDescent="0.2">
      <c r="A4" s="207"/>
      <c r="B4" s="129"/>
      <c r="C4" t="s">
        <v>199</v>
      </c>
    </row>
    <row r="5" spans="1:27" x14ac:dyDescent="0.2">
      <c r="A5" s="208"/>
      <c r="B5" s="130"/>
      <c r="C5" t="s">
        <v>186</v>
      </c>
    </row>
    <row r="7" spans="1:27" x14ac:dyDescent="0.2">
      <c r="C7" s="209" t="s">
        <v>164</v>
      </c>
      <c r="D7" s="210"/>
      <c r="E7" s="210"/>
      <c r="F7" s="211"/>
      <c r="G7" s="209" t="s">
        <v>170</v>
      </c>
      <c r="H7" s="210"/>
      <c r="I7" s="210"/>
      <c r="J7" s="211"/>
      <c r="K7" s="209" t="s">
        <v>181</v>
      </c>
      <c r="L7" s="210"/>
      <c r="M7" s="210"/>
      <c r="N7" s="211"/>
    </row>
    <row r="8" spans="1:27" s="2" customFormat="1" x14ac:dyDescent="0.2">
      <c r="B8" s="2" t="s">
        <v>204</v>
      </c>
      <c r="C8" s="96" t="s">
        <v>5</v>
      </c>
      <c r="D8" s="96" t="s">
        <v>6</v>
      </c>
      <c r="E8" s="96" t="s">
        <v>7</v>
      </c>
      <c r="F8" s="96" t="s">
        <v>8</v>
      </c>
      <c r="G8" s="152" t="s">
        <v>5</v>
      </c>
      <c r="H8" s="96" t="s">
        <v>6</v>
      </c>
      <c r="I8" s="96" t="s">
        <v>7</v>
      </c>
      <c r="J8" s="96" t="s">
        <v>8</v>
      </c>
      <c r="K8" s="158" t="s">
        <v>5</v>
      </c>
      <c r="L8" s="96"/>
      <c r="M8" s="96"/>
      <c r="N8" s="96"/>
    </row>
    <row r="9" spans="1:27" s="2" customFormat="1" ht="19" x14ac:dyDescent="0.25">
      <c r="A9" s="107" t="s">
        <v>169</v>
      </c>
      <c r="B9" s="107"/>
      <c r="C9" s="78"/>
      <c r="D9" s="78"/>
      <c r="E9" s="78"/>
      <c r="F9" s="78"/>
      <c r="G9" s="153"/>
      <c r="H9" s="78"/>
      <c r="I9" s="78"/>
      <c r="J9" s="78"/>
      <c r="K9" s="159"/>
      <c r="L9" s="78"/>
      <c r="M9" s="78"/>
      <c r="N9" s="78"/>
    </row>
    <row r="10" spans="1:27" ht="16" x14ac:dyDescent="0.2">
      <c r="B10" s="86" t="s">
        <v>175</v>
      </c>
      <c r="D10" s="104">
        <v>200.67099999999999</v>
      </c>
      <c r="E10" s="104">
        <v>145.06</v>
      </c>
      <c r="F10" s="104">
        <v>149.61865426211199</v>
      </c>
      <c r="G10" s="154">
        <v>155.32838416881799</v>
      </c>
      <c r="H10" s="104">
        <v>161.03811407552399</v>
      </c>
      <c r="I10" s="104">
        <v>166.74784398222999</v>
      </c>
      <c r="J10" s="104">
        <v>172.457573888936</v>
      </c>
      <c r="K10" s="154">
        <v>170.74098861102999</v>
      </c>
    </row>
    <row r="11" spans="1:27" ht="16" x14ac:dyDescent="0.2">
      <c r="B11" s="86" t="s">
        <v>176</v>
      </c>
      <c r="D11">
        <v>186.02099999999999</v>
      </c>
      <c r="E11">
        <v>465.21800000000002</v>
      </c>
      <c r="F11">
        <v>388.40322568460698</v>
      </c>
      <c r="G11" s="151">
        <v>405.18627458436998</v>
      </c>
      <c r="H11">
        <v>396.87729395733902</v>
      </c>
      <c r="I11">
        <v>389.90154105720802</v>
      </c>
      <c r="J11">
        <v>378.62983214817598</v>
      </c>
      <c r="K11" s="151">
        <v>398.51061280911199</v>
      </c>
    </row>
    <row r="12" spans="1:27" ht="16" x14ac:dyDescent="0.2">
      <c r="B12" s="86" t="s">
        <v>177</v>
      </c>
      <c r="D12" s="104">
        <v>1862.4</v>
      </c>
      <c r="E12" s="104">
        <v>1816.2</v>
      </c>
      <c r="F12" s="104">
        <v>1895.1488054536601</v>
      </c>
      <c r="G12" s="154">
        <v>1933.47191075455</v>
      </c>
      <c r="H12" s="104">
        <v>1965.5383751259999</v>
      </c>
      <c r="I12" s="104">
        <v>1996.7932691808101</v>
      </c>
      <c r="J12" s="104">
        <v>2030.19976826113</v>
      </c>
      <c r="K12" s="154">
        <v>2052.5745731536199</v>
      </c>
    </row>
    <row r="13" spans="1:27" ht="16" x14ac:dyDescent="0.2">
      <c r="B13" s="86" t="s">
        <v>178</v>
      </c>
      <c r="D13" s="104">
        <v>62.7</v>
      </c>
      <c r="E13" s="104">
        <v>54.4</v>
      </c>
      <c r="F13" s="104">
        <v>56.7647258103067</v>
      </c>
      <c r="G13" s="154">
        <v>57.912604308472503</v>
      </c>
      <c r="H13" s="104">
        <v>58.8730798407964</v>
      </c>
      <c r="I13" s="104">
        <v>59.809246692784903</v>
      </c>
      <c r="J13" s="104">
        <v>60.809859813569702</v>
      </c>
      <c r="K13" s="154">
        <v>61.480044477236603</v>
      </c>
    </row>
    <row r="14" spans="1:27" ht="16" x14ac:dyDescent="0.2">
      <c r="B14" s="86" t="s">
        <v>179</v>
      </c>
      <c r="D14" s="104">
        <v>0.6</v>
      </c>
      <c r="E14" s="104">
        <v>0.6</v>
      </c>
      <c r="F14" s="104">
        <v>0.60199647986336002</v>
      </c>
      <c r="G14" s="154">
        <v>0.60396796467365799</v>
      </c>
      <c r="H14" s="104">
        <v>0.60601443464314297</v>
      </c>
      <c r="I14" s="104">
        <v>0.60820462616773796</v>
      </c>
      <c r="J14" s="104">
        <v>0.61056978306376897</v>
      </c>
      <c r="K14" s="154">
        <v>0.61311927847613501</v>
      </c>
    </row>
    <row r="15" spans="1:27" ht="16" x14ac:dyDescent="0.2">
      <c r="B15" s="86" t="s">
        <v>180</v>
      </c>
      <c r="D15" s="104">
        <v>1228.1289999999999</v>
      </c>
      <c r="E15" s="104">
        <v>1336.74</v>
      </c>
      <c r="F15" s="104">
        <v>1374.0954430862901</v>
      </c>
      <c r="G15" s="154">
        <v>1381.4436026585299</v>
      </c>
      <c r="H15" s="104">
        <v>1388.79176223077</v>
      </c>
      <c r="I15" s="104">
        <v>1396.1399218030001</v>
      </c>
      <c r="J15" s="104">
        <v>1403.48808137524</v>
      </c>
      <c r="K15" s="154">
        <v>1437.5133426509401</v>
      </c>
    </row>
    <row r="16" spans="1:27" ht="16" x14ac:dyDescent="0.2">
      <c r="B16" s="86" t="s">
        <v>171</v>
      </c>
      <c r="D16" s="104">
        <v>1574.779</v>
      </c>
      <c r="E16" s="104">
        <v>3690.1819999999998</v>
      </c>
      <c r="F16" s="104">
        <v>4022.3023522170502</v>
      </c>
      <c r="G16" s="154">
        <v>3550.4202533538501</v>
      </c>
      <c r="H16" s="104">
        <v>3177.8359541396499</v>
      </c>
      <c r="I16" s="104">
        <v>2876.7404548976301</v>
      </c>
      <c r="J16" s="104">
        <v>2665.0830973586999</v>
      </c>
      <c r="K16" s="154">
        <v>2744.7441275841602</v>
      </c>
    </row>
    <row r="17" spans="1:11" ht="16" x14ac:dyDescent="0.2">
      <c r="B17" s="86" t="s">
        <v>172</v>
      </c>
      <c r="D17" s="104">
        <v>3376.8</v>
      </c>
      <c r="E17" s="104">
        <v>3097</v>
      </c>
      <c r="F17" s="104">
        <v>3089.7317557359202</v>
      </c>
      <c r="G17" s="154">
        <v>3117.4031672383799</v>
      </c>
      <c r="H17" s="104">
        <v>3145.07457874083</v>
      </c>
      <c r="I17" s="104">
        <v>3172.7459902432902</v>
      </c>
      <c r="J17" s="104">
        <v>3200.4174017457399</v>
      </c>
      <c r="K17" s="154">
        <v>3246.3114308992499</v>
      </c>
    </row>
    <row r="18" spans="1:11" ht="16" x14ac:dyDescent="0.2">
      <c r="B18" s="86" t="s">
        <v>173</v>
      </c>
      <c r="D18" s="104">
        <v>180.5</v>
      </c>
      <c r="E18" s="104">
        <v>173.4</v>
      </c>
      <c r="F18" s="104">
        <v>179.704320447226</v>
      </c>
      <c r="G18" s="154">
        <v>188.57281638621899</v>
      </c>
      <c r="H18" s="104">
        <v>197.44131232521099</v>
      </c>
      <c r="I18" s="104">
        <v>206.30980826420301</v>
      </c>
      <c r="J18" s="104">
        <v>215.17830420319501</v>
      </c>
      <c r="K18" s="154">
        <v>252.77338989879101</v>
      </c>
    </row>
    <row r="19" spans="1:11" ht="16" x14ac:dyDescent="0.2">
      <c r="B19" s="86" t="s">
        <v>174</v>
      </c>
      <c r="D19" s="104">
        <v>74.5</v>
      </c>
      <c r="E19" s="104">
        <v>1086.2</v>
      </c>
      <c r="F19" s="104">
        <v>1089.81429404597</v>
      </c>
      <c r="G19" s="154">
        <v>1093.3833387142099</v>
      </c>
      <c r="H19" s="104">
        <v>1097.08813151564</v>
      </c>
      <c r="I19" s="104">
        <v>1101.05310823899</v>
      </c>
      <c r="J19" s="104">
        <v>1105.3348306064399</v>
      </c>
      <c r="K19" s="154">
        <v>1109.9502671346299</v>
      </c>
    </row>
    <row r="20" spans="1:11" x14ac:dyDescent="0.2">
      <c r="B20" t="s">
        <v>200</v>
      </c>
      <c r="D20" s="104">
        <v>204.37100000000001</v>
      </c>
      <c r="E20" s="104">
        <v>181.51</v>
      </c>
      <c r="F20" s="104">
        <v>880.48278777228302</v>
      </c>
      <c r="G20" s="154">
        <v>871.04934848738606</v>
      </c>
      <c r="H20" s="104">
        <v>856.57058781930402</v>
      </c>
      <c r="I20" s="104">
        <v>842.93271404842005</v>
      </c>
      <c r="J20" s="104">
        <v>830.41602280713198</v>
      </c>
      <c r="K20" s="154">
        <v>847.53371437451995</v>
      </c>
    </row>
    <row r="23" spans="1:11" ht="19" x14ac:dyDescent="0.25">
      <c r="A23" s="111" t="s">
        <v>189</v>
      </c>
      <c r="B23" s="111"/>
    </row>
    <row r="24" spans="1:11" x14ac:dyDescent="0.2">
      <c r="B24" t="s">
        <v>189</v>
      </c>
      <c r="D24" s="102">
        <f>main!J59/1000</f>
        <v>145.39500000000001</v>
      </c>
      <c r="E24" s="102">
        <f>main!K59/1000</f>
        <v>209.43641084597633</v>
      </c>
      <c r="F24" s="102">
        <f>main!L59/1000</f>
        <v>189.08094681995385</v>
      </c>
      <c r="G24" s="155">
        <f>main!M59/1000</f>
        <v>189.08094681995385</v>
      </c>
      <c r="H24" s="102">
        <f>main!N59/1000</f>
        <v>189.08094681995385</v>
      </c>
      <c r="I24" s="102">
        <f>main!O59/1000</f>
        <v>189.08094681995385</v>
      </c>
      <c r="J24" s="102">
        <f>main!P59/1000</f>
        <v>189.08094681995385</v>
      </c>
      <c r="K24" s="155">
        <f>main!Q59/1000</f>
        <v>189.08094681995385</v>
      </c>
    </row>
    <row r="25" spans="1:11" x14ac:dyDescent="0.2">
      <c r="B25" t="s">
        <v>182</v>
      </c>
      <c r="D25" s="102">
        <f>D10</f>
        <v>200.67099999999999</v>
      </c>
      <c r="E25" s="102">
        <f t="shared" ref="E25:K25" si="0">E10</f>
        <v>145.06</v>
      </c>
      <c r="F25" s="102">
        <f t="shared" si="0"/>
        <v>149.61865426211199</v>
      </c>
      <c r="G25" s="155">
        <f t="shared" si="0"/>
        <v>155.32838416881799</v>
      </c>
      <c r="H25" s="102">
        <f t="shared" si="0"/>
        <v>161.03811407552399</v>
      </c>
      <c r="I25" s="102">
        <f t="shared" si="0"/>
        <v>166.74784398222999</v>
      </c>
      <c r="J25" s="102">
        <f t="shared" si="0"/>
        <v>172.457573888936</v>
      </c>
      <c r="K25" s="155">
        <f t="shared" si="0"/>
        <v>170.74098861102999</v>
      </c>
    </row>
    <row r="26" spans="1:11" s="97" customFormat="1" x14ac:dyDescent="0.2">
      <c r="B26" s="99" t="s">
        <v>183</v>
      </c>
      <c r="D26" s="103"/>
      <c r="E26" s="103"/>
      <c r="F26" s="103">
        <f t="shared" ref="F26" si="1">F24-F25</f>
        <v>39.462292557841863</v>
      </c>
      <c r="G26" s="156">
        <f t="shared" ref="G26" si="2">G24-G25</f>
        <v>33.752562651135861</v>
      </c>
      <c r="H26" s="103">
        <f t="shared" ref="H26" si="3">H24-H25</f>
        <v>28.042832744429859</v>
      </c>
      <c r="I26" s="103">
        <f t="shared" ref="I26" si="4">I24-I25</f>
        <v>22.333102837723857</v>
      </c>
      <c r="J26" s="103">
        <f t="shared" ref="J26" si="5">J24-J25</f>
        <v>16.623372931017855</v>
      </c>
      <c r="K26" s="156">
        <f t="shared" ref="K26" si="6">K24-K25</f>
        <v>18.339958208923861</v>
      </c>
    </row>
    <row r="27" spans="1:11" x14ac:dyDescent="0.2">
      <c r="D27" s="102"/>
      <c r="E27" s="102"/>
      <c r="F27" s="102"/>
      <c r="G27" s="155"/>
      <c r="H27" s="105"/>
      <c r="I27" s="105"/>
      <c r="J27" s="105"/>
      <c r="K27" s="155"/>
    </row>
    <row r="28" spans="1:11" x14ac:dyDescent="0.2">
      <c r="D28" s="102"/>
      <c r="E28" s="102"/>
      <c r="F28" s="102"/>
      <c r="G28" s="155"/>
      <c r="H28" s="105"/>
      <c r="I28" s="105"/>
      <c r="J28" s="105"/>
      <c r="K28" s="155"/>
    </row>
    <row r="29" spans="1:11" ht="19" x14ac:dyDescent="0.25">
      <c r="A29" s="111" t="s">
        <v>192</v>
      </c>
      <c r="B29" s="111"/>
      <c r="D29" s="102"/>
      <c r="E29" s="102"/>
      <c r="F29" s="102"/>
      <c r="G29" s="155"/>
      <c r="H29" s="105"/>
      <c r="I29" s="105"/>
      <c r="J29" s="105"/>
      <c r="K29" s="155"/>
    </row>
    <row r="30" spans="1:11" x14ac:dyDescent="0.2">
      <c r="B30" t="s">
        <v>192</v>
      </c>
      <c r="D30" s="102"/>
      <c r="E30" s="102">
        <f>main!J58/1000</f>
        <v>566.32899999999995</v>
      </c>
      <c r="F30" s="102">
        <f>main!K58/1000</f>
        <v>707.93041084597633</v>
      </c>
      <c r="G30" s="155">
        <f>main!L58/1000</f>
        <v>437.57400006843989</v>
      </c>
      <c r="H30" s="102">
        <f>main!M58/1000</f>
        <v>435.86345738357494</v>
      </c>
      <c r="I30" s="102">
        <f>main!N58/1000</f>
        <v>434.32655331530782</v>
      </c>
      <c r="J30" s="102">
        <f>main!O58/1000</f>
        <v>400.2301470380047</v>
      </c>
      <c r="K30" s="155">
        <f>main!P58/1000</f>
        <v>381.80575670712858</v>
      </c>
    </row>
    <row r="31" spans="1:11" x14ac:dyDescent="0.2">
      <c r="B31" t="s">
        <v>182</v>
      </c>
      <c r="D31" s="102">
        <f>D11</f>
        <v>186.02099999999999</v>
      </c>
      <c r="E31" s="102">
        <f t="shared" ref="E31:K31" si="7">E11</f>
        <v>465.21800000000002</v>
      </c>
      <c r="F31" s="102">
        <f t="shared" si="7"/>
        <v>388.40322568460698</v>
      </c>
      <c r="G31" s="155">
        <f t="shared" si="7"/>
        <v>405.18627458436998</v>
      </c>
      <c r="H31" s="102">
        <f t="shared" si="7"/>
        <v>396.87729395733902</v>
      </c>
      <c r="I31" s="102">
        <f t="shared" si="7"/>
        <v>389.90154105720802</v>
      </c>
      <c r="J31" s="102">
        <f t="shared" si="7"/>
        <v>378.62983214817598</v>
      </c>
      <c r="K31" s="155">
        <f t="shared" si="7"/>
        <v>398.51061280911199</v>
      </c>
    </row>
    <row r="32" spans="1:11" s="97" customFormat="1" x14ac:dyDescent="0.2">
      <c r="B32" s="99" t="s">
        <v>183</v>
      </c>
      <c r="D32" s="103"/>
      <c r="E32" s="103"/>
      <c r="F32" s="103">
        <f t="shared" ref="F32" si="8">F30-F31</f>
        <v>319.52718516136935</v>
      </c>
      <c r="G32" s="156">
        <f t="shared" ref="G32" si="9">G30-G31</f>
        <v>32.387725484069904</v>
      </c>
      <c r="H32" s="103">
        <f t="shared" ref="H32" si="10">H30-H31</f>
        <v>38.986163426235919</v>
      </c>
      <c r="I32" s="103">
        <f t="shared" ref="I32" si="11">I30-I31</f>
        <v>44.425012258099798</v>
      </c>
      <c r="J32" s="103">
        <f t="shared" ref="J32" si="12">J30-J31</f>
        <v>21.600314889828724</v>
      </c>
      <c r="K32" s="156">
        <f t="shared" ref="K32" si="13">K30-K31</f>
        <v>-16.70485610198341</v>
      </c>
    </row>
    <row r="33" spans="1:11" s="97" customFormat="1" x14ac:dyDescent="0.2">
      <c r="B33" s="99"/>
      <c r="D33" s="103"/>
      <c r="E33" s="103"/>
      <c r="F33" s="103"/>
      <c r="G33" s="156"/>
      <c r="H33" s="103"/>
      <c r="I33" s="103"/>
      <c r="J33" s="103"/>
      <c r="K33" s="156"/>
    </row>
    <row r="34" spans="1:11" s="97" customFormat="1" x14ac:dyDescent="0.2">
      <c r="B34" s="99"/>
      <c r="D34" s="103"/>
      <c r="E34" s="103"/>
      <c r="F34" s="103"/>
      <c r="G34" s="156"/>
      <c r="H34" s="103"/>
      <c r="I34" s="103"/>
      <c r="J34" s="103"/>
      <c r="K34" s="156"/>
    </row>
    <row r="35" spans="1:11" ht="19" x14ac:dyDescent="0.25">
      <c r="A35" s="111" t="s">
        <v>188</v>
      </c>
      <c r="B35" s="111"/>
      <c r="D35" s="102"/>
      <c r="E35" s="102"/>
      <c r="F35" s="102"/>
      <c r="G35" s="155"/>
      <c r="H35" s="105"/>
      <c r="I35" s="105"/>
      <c r="J35" s="105"/>
      <c r="K35" s="155"/>
    </row>
    <row r="36" spans="1:11" x14ac:dyDescent="0.2">
      <c r="B36" t="s">
        <v>184</v>
      </c>
      <c r="D36" s="100">
        <v>1835.9308286849882</v>
      </c>
      <c r="E36" s="100">
        <v>1798.0730623309571</v>
      </c>
      <c r="F36" s="100">
        <v>1841.3301065807598</v>
      </c>
      <c r="G36" s="157">
        <v>1846.9122859552808</v>
      </c>
      <c r="H36" s="100">
        <v>1851.7583227938521</v>
      </c>
      <c r="I36" s="100">
        <v>1864.8797418812585</v>
      </c>
      <c r="J36" s="100">
        <v>1876.08695894171</v>
      </c>
      <c r="K36" s="157">
        <v>1892.015583446143</v>
      </c>
    </row>
    <row r="37" spans="1:11" x14ac:dyDescent="0.2">
      <c r="B37" t="s">
        <v>185</v>
      </c>
      <c r="D37" s="101">
        <v>1842.1</v>
      </c>
      <c r="E37" s="101">
        <v>1797.1</v>
      </c>
      <c r="F37" s="102">
        <f>F36/E36*E37</f>
        <v>1840.3336348560522</v>
      </c>
      <c r="G37" s="155">
        <f t="shared" ref="G37:K37" si="14">G36/F36*F37</f>
        <v>1845.9127933252564</v>
      </c>
      <c r="H37" s="102">
        <f t="shared" si="14"/>
        <v>1850.7562076364118</v>
      </c>
      <c r="I37" s="102">
        <f t="shared" si="14"/>
        <v>1863.8705258117864</v>
      </c>
      <c r="J37" s="102">
        <f t="shared" si="14"/>
        <v>1875.0716778679925</v>
      </c>
      <c r="K37" s="155">
        <f t="shared" si="14"/>
        <v>1890.9916822863934</v>
      </c>
    </row>
    <row r="38" spans="1:11" x14ac:dyDescent="0.2">
      <c r="B38" t="s">
        <v>182</v>
      </c>
      <c r="D38" s="102">
        <f>D12</f>
        <v>1862.4</v>
      </c>
      <c r="E38" s="102">
        <f t="shared" ref="E38:K38" si="15">E12</f>
        <v>1816.2</v>
      </c>
      <c r="F38" s="102">
        <f t="shared" si="15"/>
        <v>1895.1488054536601</v>
      </c>
      <c r="G38" s="155">
        <f t="shared" si="15"/>
        <v>1933.47191075455</v>
      </c>
      <c r="H38" s="102">
        <f t="shared" si="15"/>
        <v>1965.5383751259999</v>
      </c>
      <c r="I38" s="102">
        <f t="shared" si="15"/>
        <v>1996.7932691808101</v>
      </c>
      <c r="J38" s="102">
        <f t="shared" si="15"/>
        <v>2030.19976826113</v>
      </c>
      <c r="K38" s="155">
        <f t="shared" si="15"/>
        <v>2052.5745731536199</v>
      </c>
    </row>
    <row r="39" spans="1:11" s="97" customFormat="1" x14ac:dyDescent="0.2">
      <c r="B39" s="99" t="s">
        <v>183</v>
      </c>
      <c r="D39" s="103"/>
      <c r="E39" s="103"/>
      <c r="F39" s="103">
        <f t="shared" ref="F39:K39" si="16">F37-F38</f>
        <v>-54.815170597607903</v>
      </c>
      <c r="G39" s="156">
        <f t="shared" si="16"/>
        <v>-87.559117429293565</v>
      </c>
      <c r="H39" s="103">
        <f t="shared" si="16"/>
        <v>-114.78216748958812</v>
      </c>
      <c r="I39" s="103">
        <f t="shared" si="16"/>
        <v>-132.92274336902369</v>
      </c>
      <c r="J39" s="103">
        <f t="shared" si="16"/>
        <v>-155.12809039313743</v>
      </c>
      <c r="K39" s="156">
        <f t="shared" si="16"/>
        <v>-161.58289086722652</v>
      </c>
    </row>
    <row r="40" spans="1:11" x14ac:dyDescent="0.2">
      <c r="D40" s="102"/>
      <c r="E40" s="102"/>
      <c r="F40" s="102"/>
      <c r="G40" s="155"/>
      <c r="H40" s="105"/>
      <c r="I40" s="105"/>
      <c r="J40" s="105"/>
      <c r="K40" s="155"/>
    </row>
    <row r="41" spans="1:11" x14ac:dyDescent="0.2">
      <c r="D41" s="102"/>
      <c r="E41" s="102"/>
      <c r="F41" s="102"/>
      <c r="G41" s="155"/>
      <c r="H41" s="105"/>
      <c r="I41" s="105"/>
      <c r="J41" s="105"/>
      <c r="K41" s="155"/>
    </row>
    <row r="42" spans="1:11" ht="19" x14ac:dyDescent="0.25">
      <c r="A42" s="111" t="s">
        <v>187</v>
      </c>
      <c r="B42" s="111"/>
      <c r="D42" s="102"/>
      <c r="E42" s="102"/>
      <c r="F42" s="102"/>
      <c r="G42" s="155"/>
      <c r="H42" s="105"/>
      <c r="I42" s="105"/>
      <c r="J42" s="105"/>
      <c r="K42" s="155"/>
    </row>
    <row r="43" spans="1:11" x14ac:dyDescent="0.2">
      <c r="B43" t="s">
        <v>184</v>
      </c>
      <c r="D43" s="100">
        <v>58.885625915856416</v>
      </c>
      <c r="E43" s="100">
        <v>51.906166397249173</v>
      </c>
      <c r="F43" s="100">
        <v>67.757273586954582</v>
      </c>
      <c r="G43" s="157">
        <v>67.375517870649134</v>
      </c>
      <c r="H43" s="100">
        <v>70.683858752401591</v>
      </c>
      <c r="I43" s="100">
        <v>72.126034518054027</v>
      </c>
      <c r="J43" s="100">
        <v>73.732959467368829</v>
      </c>
      <c r="K43" s="157">
        <v>74.827748020610457</v>
      </c>
    </row>
    <row r="44" spans="1:11" x14ac:dyDescent="0.2">
      <c r="B44" t="s">
        <v>185</v>
      </c>
      <c r="D44" s="101">
        <v>62.7</v>
      </c>
      <c r="E44" s="101">
        <v>67.833333333333329</v>
      </c>
      <c r="F44" s="102">
        <f>F43/E43*E44</f>
        <v>88.548279404917352</v>
      </c>
      <c r="G44" s="155">
        <f t="shared" ref="G44" si="17">G43/F43*F44</f>
        <v>88.04938371383767</v>
      </c>
      <c r="H44" s="102">
        <f t="shared" ref="H44" si="18">H43/G43*G44</f>
        <v>92.372873684079465</v>
      </c>
      <c r="I44" s="102">
        <f t="shared" ref="I44" si="19">I43/H43*H44</f>
        <v>94.257574409000313</v>
      </c>
      <c r="J44" s="102">
        <f t="shared" ref="J44" si="20">J43/I43*I44</f>
        <v>96.357576842127358</v>
      </c>
      <c r="K44" s="155">
        <f t="shared" ref="K44" si="21">K43/J43*J44</f>
        <v>97.788296196225005</v>
      </c>
    </row>
    <row r="45" spans="1:11" x14ac:dyDescent="0.2">
      <c r="B45" t="s">
        <v>182</v>
      </c>
      <c r="D45" s="102">
        <f>D13</f>
        <v>62.7</v>
      </c>
      <c r="E45" s="102">
        <f t="shared" ref="E45:K45" si="22">E13</f>
        <v>54.4</v>
      </c>
      <c r="F45" s="102">
        <f t="shared" si="22"/>
        <v>56.7647258103067</v>
      </c>
      <c r="G45" s="155">
        <f t="shared" si="22"/>
        <v>57.912604308472503</v>
      </c>
      <c r="H45" s="102">
        <f t="shared" si="22"/>
        <v>58.8730798407964</v>
      </c>
      <c r="I45" s="102">
        <f t="shared" si="22"/>
        <v>59.809246692784903</v>
      </c>
      <c r="J45" s="102">
        <f t="shared" si="22"/>
        <v>60.809859813569702</v>
      </c>
      <c r="K45" s="155">
        <f t="shared" si="22"/>
        <v>61.480044477236603</v>
      </c>
    </row>
    <row r="46" spans="1:11" s="97" customFormat="1" x14ac:dyDescent="0.2">
      <c r="B46" s="99" t="s">
        <v>183</v>
      </c>
      <c r="D46" s="103"/>
      <c r="E46" s="103"/>
      <c r="F46" s="103">
        <f t="shared" ref="F46" si="23">F44-F45</f>
        <v>31.783553594610652</v>
      </c>
      <c r="G46" s="156">
        <f t="shared" ref="G46" si="24">G44-G45</f>
        <v>30.136779405365168</v>
      </c>
      <c r="H46" s="103">
        <f t="shared" ref="H46" si="25">H44-H45</f>
        <v>33.499793843283065</v>
      </c>
      <c r="I46" s="103">
        <f t="shared" ref="I46" si="26">I44-I45</f>
        <v>34.44832771621541</v>
      </c>
      <c r="J46" s="103">
        <f t="shared" ref="J46" si="27">J44-J45</f>
        <v>35.547717028557656</v>
      </c>
      <c r="K46" s="156">
        <f t="shared" ref="K46" si="28">K44-K45</f>
        <v>36.308251718988402</v>
      </c>
    </row>
    <row r="47" spans="1:11" x14ac:dyDescent="0.2">
      <c r="D47" s="102"/>
      <c r="E47" s="102"/>
      <c r="F47" s="102"/>
      <c r="G47" s="155"/>
      <c r="H47" s="105"/>
      <c r="I47" s="105"/>
      <c r="J47" s="105"/>
      <c r="K47" s="155"/>
    </row>
    <row r="48" spans="1:11" x14ac:dyDescent="0.2">
      <c r="D48" s="102"/>
      <c r="E48" s="102"/>
      <c r="F48" s="102"/>
      <c r="G48" s="155"/>
      <c r="H48" s="105"/>
      <c r="I48" s="105"/>
      <c r="J48" s="105"/>
      <c r="K48" s="155"/>
    </row>
    <row r="49" spans="1:11" ht="19" x14ac:dyDescent="0.25">
      <c r="A49" s="106" t="s">
        <v>193</v>
      </c>
      <c r="B49" s="106"/>
      <c r="D49" s="102"/>
      <c r="E49" s="102"/>
      <c r="F49" s="102"/>
      <c r="G49" s="155"/>
      <c r="H49" s="105"/>
      <c r="I49" s="105"/>
      <c r="J49" s="105"/>
      <c r="K49" s="155"/>
    </row>
    <row r="50" spans="1:11" x14ac:dyDescent="0.2">
      <c r="B50" t="s">
        <v>193</v>
      </c>
      <c r="D50" s="102"/>
      <c r="E50" s="102">
        <f>main!J47/1000</f>
        <v>1336.3979999999999</v>
      </c>
      <c r="F50" s="102">
        <f>main!K47/1000</f>
        <v>1351.4449999999999</v>
      </c>
      <c r="G50" s="155">
        <f>main!L47/1000</f>
        <v>1375.8745247178911</v>
      </c>
      <c r="H50" s="102">
        <f>main!M47/1000</f>
        <v>1382.9539433909342</v>
      </c>
      <c r="I50" s="102">
        <f>main!N47/1000</f>
        <v>1403.3249889957183</v>
      </c>
      <c r="J50" s="102">
        <f>main!O47/1000</f>
        <v>1413.392398999546</v>
      </c>
      <c r="K50" s="155">
        <f>main!P47/1000</f>
        <v>1490.9394991347497</v>
      </c>
    </row>
    <row r="51" spans="1:11" x14ac:dyDescent="0.2">
      <c r="B51" t="s">
        <v>182</v>
      </c>
      <c r="D51" s="102">
        <f>D15</f>
        <v>1228.1289999999999</v>
      </c>
      <c r="E51" s="102">
        <f t="shared" ref="E51:K51" si="29">E15</f>
        <v>1336.74</v>
      </c>
      <c r="F51" s="102">
        <f t="shared" si="29"/>
        <v>1374.0954430862901</v>
      </c>
      <c r="G51" s="155">
        <f t="shared" si="29"/>
        <v>1381.4436026585299</v>
      </c>
      <c r="H51" s="102">
        <f t="shared" si="29"/>
        <v>1388.79176223077</v>
      </c>
      <c r="I51" s="102">
        <f t="shared" si="29"/>
        <v>1396.1399218030001</v>
      </c>
      <c r="J51" s="102">
        <f t="shared" si="29"/>
        <v>1403.48808137524</v>
      </c>
      <c r="K51" s="155">
        <f t="shared" si="29"/>
        <v>1437.5133426509401</v>
      </c>
    </row>
    <row r="52" spans="1:11" s="97" customFormat="1" x14ac:dyDescent="0.2">
      <c r="B52" s="99" t="s">
        <v>183</v>
      </c>
      <c r="D52" s="103"/>
      <c r="E52" s="103"/>
      <c r="F52" s="103">
        <f t="shared" ref="F52" si="30">F50-F51</f>
        <v>-22.650443086290124</v>
      </c>
      <c r="G52" s="156">
        <f t="shared" ref="G52" si="31">G50-G51</f>
        <v>-5.5690779406388629</v>
      </c>
      <c r="H52" s="103">
        <f t="shared" ref="H52" si="32">H50-H51</f>
        <v>-5.8378188398357906</v>
      </c>
      <c r="I52" s="103">
        <f t="shared" ref="I52" si="33">I50-I51</f>
        <v>7.1850671927181793</v>
      </c>
      <c r="J52" s="103">
        <f t="shared" ref="J52" si="34">J50-J51</f>
        <v>9.9043176243060316</v>
      </c>
      <c r="K52" s="156">
        <f t="shared" ref="K52" si="35">K50-K51</f>
        <v>53.426156483809564</v>
      </c>
    </row>
    <row r="53" spans="1:11" x14ac:dyDescent="0.2">
      <c r="D53" s="102"/>
      <c r="E53" s="102"/>
      <c r="F53" s="102"/>
      <c r="G53" s="155"/>
      <c r="H53" s="105"/>
      <c r="I53" s="105"/>
      <c r="J53" s="105"/>
      <c r="K53" s="155"/>
    </row>
    <row r="54" spans="1:11" x14ac:dyDescent="0.2">
      <c r="D54" s="102"/>
      <c r="E54" s="102"/>
      <c r="F54" s="102"/>
      <c r="G54" s="155"/>
      <c r="H54" s="105"/>
      <c r="I54" s="105"/>
      <c r="J54" s="105"/>
      <c r="K54" s="155"/>
    </row>
    <row r="55" spans="1:11" ht="19" x14ac:dyDescent="0.25">
      <c r="A55" s="106" t="s">
        <v>194</v>
      </c>
      <c r="B55" s="106"/>
      <c r="D55" s="102"/>
      <c r="E55" s="102"/>
      <c r="F55" s="102"/>
      <c r="G55" s="155"/>
      <c r="H55" s="105"/>
      <c r="I55" s="105"/>
      <c r="J55" s="105"/>
      <c r="K55" s="155"/>
    </row>
    <row r="56" spans="1:11" ht="16" x14ac:dyDescent="0.2">
      <c r="B56" s="86" t="s">
        <v>194</v>
      </c>
      <c r="D56" s="102">
        <f>main!I46/1000</f>
        <v>1574.462</v>
      </c>
      <c r="E56" s="102">
        <f>main!J46/1000</f>
        <v>3734.400333333333</v>
      </c>
      <c r="F56" s="102">
        <f>main!K46/1000</f>
        <v>2531.9095288670983</v>
      </c>
      <c r="G56" s="155">
        <f>main!L46/1000</f>
        <v>2004.2958183418673</v>
      </c>
      <c r="H56" s="102">
        <f>main!M46/1000</f>
        <v>1748.3234820038233</v>
      </c>
      <c r="I56" s="102">
        <f>main!N46/1000</f>
        <v>1764.5653453198872</v>
      </c>
      <c r="J56" s="102">
        <f>main!O46/1000</f>
        <v>1765.3509987730861</v>
      </c>
      <c r="K56" s="155">
        <f>main!P46/1000</f>
        <v>1750.3509987730861</v>
      </c>
    </row>
    <row r="57" spans="1:11" x14ac:dyDescent="0.2">
      <c r="B57" t="s">
        <v>182</v>
      </c>
      <c r="D57" s="102">
        <f>D16</f>
        <v>1574.779</v>
      </c>
      <c r="E57" s="102">
        <f t="shared" ref="E57:K57" si="36">E16</f>
        <v>3690.1819999999998</v>
      </c>
      <c r="F57" s="102">
        <f t="shared" si="36"/>
        <v>4022.3023522170502</v>
      </c>
      <c r="G57" s="155">
        <f t="shared" si="36"/>
        <v>3550.4202533538501</v>
      </c>
      <c r="H57" s="102">
        <f t="shared" si="36"/>
        <v>3177.8359541396499</v>
      </c>
      <c r="I57" s="102">
        <f t="shared" si="36"/>
        <v>2876.7404548976301</v>
      </c>
      <c r="J57" s="102">
        <f t="shared" si="36"/>
        <v>2665.0830973586999</v>
      </c>
      <c r="K57" s="155">
        <f t="shared" si="36"/>
        <v>2744.7441275841602</v>
      </c>
    </row>
    <row r="58" spans="1:11" s="97" customFormat="1" x14ac:dyDescent="0.2">
      <c r="B58" s="99" t="s">
        <v>183</v>
      </c>
      <c r="D58" s="103"/>
      <c r="E58" s="103"/>
      <c r="F58" s="103">
        <f t="shared" ref="F58" si="37">F56-F57</f>
        <v>-1490.3928233499519</v>
      </c>
      <c r="G58" s="156">
        <f t="shared" ref="G58" si="38">G56-G57</f>
        <v>-1546.1244350119828</v>
      </c>
      <c r="H58" s="103">
        <f t="shared" ref="H58" si="39">H56-H57</f>
        <v>-1429.5124721358266</v>
      </c>
      <c r="I58" s="103">
        <f t="shared" ref="I58" si="40">I56-I57</f>
        <v>-1112.1751095777429</v>
      </c>
      <c r="J58" s="103">
        <f t="shared" ref="J58" si="41">J56-J57</f>
        <v>-899.73209858561381</v>
      </c>
      <c r="K58" s="156">
        <f t="shared" ref="K58" si="42">K56-K57</f>
        <v>-994.39312881107412</v>
      </c>
    </row>
    <row r="59" spans="1:11" s="97" customFormat="1" x14ac:dyDescent="0.2">
      <c r="B59" s="99"/>
      <c r="D59" s="103"/>
      <c r="E59" s="103"/>
      <c r="F59" s="103"/>
      <c r="G59" s="156"/>
      <c r="H59" s="103"/>
      <c r="I59" s="103"/>
      <c r="J59" s="103"/>
      <c r="K59" s="156"/>
    </row>
    <row r="60" spans="1:11" s="97" customFormat="1" x14ac:dyDescent="0.2">
      <c r="B60" s="99"/>
      <c r="D60" s="103"/>
      <c r="E60" s="103"/>
      <c r="F60" s="103"/>
      <c r="G60" s="156"/>
      <c r="H60" s="103"/>
      <c r="I60" s="103"/>
      <c r="J60" s="103"/>
      <c r="K60" s="156"/>
    </row>
    <row r="61" spans="1:11" ht="19" x14ac:dyDescent="0.25">
      <c r="A61" s="106" t="s">
        <v>195</v>
      </c>
      <c r="B61" s="106"/>
      <c r="D61" s="102"/>
      <c r="E61" s="102"/>
      <c r="F61" s="102"/>
      <c r="G61" s="155"/>
      <c r="H61" s="105"/>
      <c r="I61" s="105"/>
      <c r="J61" s="105"/>
      <c r="K61" s="155"/>
    </row>
    <row r="62" spans="1:11" x14ac:dyDescent="0.2">
      <c r="B62" t="s">
        <v>216</v>
      </c>
      <c r="D62" s="100"/>
      <c r="E62" s="102">
        <f>main!J29/1000</f>
        <v>1086.78</v>
      </c>
      <c r="F62" s="102">
        <f>main!K29/1000</f>
        <v>1209.7866824324324</v>
      </c>
      <c r="G62" s="155">
        <f>main!L29/1000</f>
        <v>377.71200834658191</v>
      </c>
      <c r="H62" s="102">
        <f>main!M29/1000</f>
        <v>107.15305445151033</v>
      </c>
      <c r="I62" s="102">
        <f>main!N29/1000</f>
        <v>95.030249999999995</v>
      </c>
      <c r="J62" s="102">
        <f>main!O29/1000</f>
        <v>95.030249999999995</v>
      </c>
      <c r="K62" s="155">
        <f>main!P29/1000</f>
        <v>95.030249999999995</v>
      </c>
    </row>
    <row r="63" spans="1:11" x14ac:dyDescent="0.2">
      <c r="B63" t="s">
        <v>182</v>
      </c>
      <c r="D63" s="102">
        <f>D19</f>
        <v>74.5</v>
      </c>
      <c r="E63" s="102">
        <f t="shared" ref="E63:K63" si="43">E19</f>
        <v>1086.2</v>
      </c>
      <c r="F63" s="102">
        <f t="shared" si="43"/>
        <v>1089.81429404597</v>
      </c>
      <c r="G63" s="155">
        <f t="shared" si="43"/>
        <v>1093.3833387142099</v>
      </c>
      <c r="H63" s="102">
        <f t="shared" si="43"/>
        <v>1097.08813151564</v>
      </c>
      <c r="I63" s="102">
        <f t="shared" si="43"/>
        <v>1101.05310823899</v>
      </c>
      <c r="J63" s="102">
        <f t="shared" si="43"/>
        <v>1105.3348306064399</v>
      </c>
      <c r="K63" s="155">
        <f t="shared" si="43"/>
        <v>1109.9502671346299</v>
      </c>
    </row>
    <row r="64" spans="1:11" s="97" customFormat="1" x14ac:dyDescent="0.2">
      <c r="B64" s="99" t="s">
        <v>183</v>
      </c>
      <c r="D64" s="103"/>
      <c r="E64" s="103"/>
      <c r="F64" s="103">
        <f>F62-F63</f>
        <v>119.9723883864624</v>
      </c>
      <c r="G64" s="156">
        <f t="shared" ref="G64:K64" si="44">G62-G63</f>
        <v>-715.671330367628</v>
      </c>
      <c r="H64" s="103">
        <f t="shared" si="44"/>
        <v>-989.9350770641297</v>
      </c>
      <c r="I64" s="103">
        <f t="shared" si="44"/>
        <v>-1006.02285823899</v>
      </c>
      <c r="J64" s="103">
        <f t="shared" si="44"/>
        <v>-1010.3045806064399</v>
      </c>
      <c r="K64" s="156">
        <f t="shared" si="44"/>
        <v>-1014.9200171346299</v>
      </c>
    </row>
    <row r="65" spans="1:11" x14ac:dyDescent="0.2">
      <c r="D65" s="102"/>
      <c r="E65" s="102"/>
      <c r="F65" s="102"/>
      <c r="G65" s="155"/>
      <c r="H65" s="105"/>
      <c r="I65" s="105"/>
      <c r="J65" s="105"/>
      <c r="K65" s="155"/>
    </row>
    <row r="66" spans="1:11" x14ac:dyDescent="0.2">
      <c r="D66" s="102"/>
      <c r="E66" s="102"/>
      <c r="F66" s="102"/>
      <c r="G66" s="155"/>
      <c r="H66" s="105"/>
      <c r="I66" s="105"/>
      <c r="J66" s="105"/>
      <c r="K66" s="155"/>
    </row>
    <row r="67" spans="1:11" ht="19" x14ac:dyDescent="0.25">
      <c r="A67" s="106" t="s">
        <v>201</v>
      </c>
      <c r="B67" s="106"/>
      <c r="D67" s="102"/>
      <c r="E67" s="102"/>
      <c r="F67" s="102"/>
      <c r="G67" s="155"/>
      <c r="H67" s="105"/>
      <c r="I67" s="105"/>
      <c r="J67" s="105"/>
      <c r="K67" s="155"/>
    </row>
    <row r="68" spans="1:11" x14ac:dyDescent="0.2">
      <c r="B68" t="s">
        <v>213</v>
      </c>
      <c r="D68" s="100"/>
      <c r="E68" s="100"/>
      <c r="F68" s="100">
        <f>main!K40/1000</f>
        <v>346.2499933114841</v>
      </c>
      <c r="G68" s="157">
        <f>main!L40/1000</f>
        <v>342.73104809042934</v>
      </c>
      <c r="H68" s="100">
        <f>main!M40/1000</f>
        <v>326.51665106012985</v>
      </c>
      <c r="I68" s="100">
        <f>main!N40/1000</f>
        <v>309.41816266470516</v>
      </c>
      <c r="J68" s="100">
        <f>main!O40/1000</f>
        <v>310.47421911577845</v>
      </c>
      <c r="K68" s="157">
        <f>main!P40/1000</f>
        <v>255.99754108393631</v>
      </c>
    </row>
    <row r="69" spans="1:11" x14ac:dyDescent="0.2">
      <c r="B69" t="s">
        <v>182</v>
      </c>
      <c r="D69" s="102">
        <f>D20</f>
        <v>204.37100000000001</v>
      </c>
      <c r="E69" s="102">
        <f t="shared" ref="E69:K69" si="45">E20</f>
        <v>181.51</v>
      </c>
      <c r="F69" s="102">
        <f t="shared" si="45"/>
        <v>880.48278777228302</v>
      </c>
      <c r="G69" s="155">
        <f t="shared" si="45"/>
        <v>871.04934848738606</v>
      </c>
      <c r="H69" s="102">
        <f t="shared" si="45"/>
        <v>856.57058781930402</v>
      </c>
      <c r="I69" s="102">
        <f t="shared" si="45"/>
        <v>842.93271404842005</v>
      </c>
      <c r="J69" s="102">
        <f t="shared" si="45"/>
        <v>830.41602280713198</v>
      </c>
      <c r="K69" s="155">
        <f t="shared" si="45"/>
        <v>847.53371437451995</v>
      </c>
    </row>
    <row r="70" spans="1:11" s="97" customFormat="1" x14ac:dyDescent="0.2">
      <c r="B70" s="99" t="s">
        <v>183</v>
      </c>
      <c r="D70" s="103"/>
      <c r="E70" s="103"/>
      <c r="F70" s="103">
        <f>F68-F69</f>
        <v>-534.23279446079891</v>
      </c>
      <c r="G70" s="156">
        <f t="shared" ref="G70:K70" si="46">G68-G69</f>
        <v>-528.31830039695672</v>
      </c>
      <c r="H70" s="103">
        <f t="shared" si="46"/>
        <v>-530.05393675917412</v>
      </c>
      <c r="I70" s="103">
        <f t="shared" si="46"/>
        <v>-533.51455138371489</v>
      </c>
      <c r="J70" s="103">
        <f t="shared" si="46"/>
        <v>-519.94180369135347</v>
      </c>
      <c r="K70" s="156">
        <f t="shared" si="46"/>
        <v>-591.53617329058363</v>
      </c>
    </row>
  </sheetData>
  <mergeCells count="6">
    <mergeCell ref="X1:AA1"/>
    <mergeCell ref="A1:B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I7"/>
  <sheetViews>
    <sheetView tabSelected="1" zoomScale="130" zoomScaleNormal="130" workbookViewId="0">
      <selection activeCell="C17" sqref="C17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9" x14ac:dyDescent="0.2">
      <c r="A1" t="s">
        <v>263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264</v>
      </c>
    </row>
    <row r="2" spans="1:9" x14ac:dyDescent="0.2">
      <c r="A2" s="199">
        <v>44104</v>
      </c>
      <c r="B2">
        <f t="array" ref="B2:B7">TRANSPOSE('add-ons calculations'!F26:K26)</f>
        <v>39.462292557841863</v>
      </c>
      <c r="C2">
        <f t="array" ref="C2:C7">TRANSPOSE('add-ons calculations'!F32:K32)</f>
        <v>319.52718516136935</v>
      </c>
      <c r="D2">
        <f t="array" ref="D2:D7">TRANSPOSE('add-ons calculations'!F39:K39)</f>
        <v>-54.815170597607903</v>
      </c>
      <c r="E2">
        <f t="array" ref="E2:E7">TRANSPOSE('add-ons calculations'!F46:K46)</f>
        <v>31.783553594610652</v>
      </c>
      <c r="F2">
        <f t="array" ref="F2:F7">TRANSPOSE('add-ons calculations'!F52:K52)</f>
        <v>-22.650443086290124</v>
      </c>
      <c r="G2">
        <f t="array" ref="G2:G7">TRANSPOSE('add-ons calculations'!F58:K58)</f>
        <v>-1490.3928233499519</v>
      </c>
      <c r="H2">
        <f t="array" ref="H2:H7">TRANSPOSE('add-ons calculations'!F64:K64)</f>
        <v>119.9723883864624</v>
      </c>
      <c r="I2">
        <f t="array" ref="I2:I7">TRANSPOSE('add-ons calculations'!F70:K70)</f>
        <v>-534.23279446079891</v>
      </c>
    </row>
    <row r="3" spans="1:9" x14ac:dyDescent="0.2">
      <c r="A3" s="199">
        <v>44196</v>
      </c>
      <c r="B3">
        <v>33.752562651135861</v>
      </c>
      <c r="C3">
        <v>32.387725484069904</v>
      </c>
      <c r="D3">
        <v>-87.559117429293565</v>
      </c>
      <c r="E3">
        <v>30.136779405365168</v>
      </c>
      <c r="F3">
        <v>-5.5690779406388629</v>
      </c>
      <c r="G3">
        <v>-1546.1244350119828</v>
      </c>
      <c r="H3">
        <v>-715.671330367628</v>
      </c>
      <c r="I3">
        <v>-528.31830039695672</v>
      </c>
    </row>
    <row r="4" spans="1:9" x14ac:dyDescent="0.2">
      <c r="A4" s="199">
        <v>44286</v>
      </c>
      <c r="B4">
        <v>28.042832744429859</v>
      </c>
      <c r="C4">
        <v>38.986163426235919</v>
      </c>
      <c r="D4">
        <v>-114.78216748958812</v>
      </c>
      <c r="E4">
        <v>33.499793843283065</v>
      </c>
      <c r="F4">
        <v>-5.8378188398357906</v>
      </c>
      <c r="G4">
        <v>-1429.5124721358266</v>
      </c>
      <c r="H4">
        <v>-989.9350770641297</v>
      </c>
      <c r="I4">
        <v>-530.05393675917412</v>
      </c>
    </row>
    <row r="5" spans="1:9" x14ac:dyDescent="0.2">
      <c r="A5" s="199">
        <v>44377</v>
      </c>
      <c r="B5">
        <v>22.333102837723857</v>
      </c>
      <c r="C5">
        <v>44.425012258099798</v>
      </c>
      <c r="D5">
        <v>-132.92274336902369</v>
      </c>
      <c r="E5">
        <v>34.44832771621541</v>
      </c>
      <c r="F5">
        <v>7.1850671927181793</v>
      </c>
      <c r="G5">
        <v>-1112.1751095777429</v>
      </c>
      <c r="H5">
        <v>-1006.02285823899</v>
      </c>
      <c r="I5">
        <v>-533.51455138371489</v>
      </c>
    </row>
    <row r="6" spans="1:9" x14ac:dyDescent="0.2">
      <c r="A6" s="199">
        <v>44469</v>
      </c>
      <c r="B6">
        <v>16.623372931017855</v>
      </c>
      <c r="C6">
        <v>21.600314889828724</v>
      </c>
      <c r="D6">
        <v>-155.12809039313743</v>
      </c>
      <c r="E6">
        <v>35.547717028557656</v>
      </c>
      <c r="F6">
        <v>9.9043176243060316</v>
      </c>
      <c r="G6">
        <v>-899.73209858561381</v>
      </c>
      <c r="H6">
        <v>-1010.3045806064399</v>
      </c>
      <c r="I6">
        <v>-519.94180369135347</v>
      </c>
    </row>
    <row r="7" spans="1:9" x14ac:dyDescent="0.2">
      <c r="A7" s="199">
        <v>44561</v>
      </c>
      <c r="B7">
        <v>18.339958208923861</v>
      </c>
      <c r="C7">
        <v>-16.70485610198341</v>
      </c>
      <c r="D7">
        <v>-161.58289086722652</v>
      </c>
      <c r="E7">
        <v>36.308251718988402</v>
      </c>
      <c r="F7">
        <v>53.426156483809564</v>
      </c>
      <c r="G7">
        <v>-994.39312881107412</v>
      </c>
      <c r="H7">
        <v>-1014.9200171346299</v>
      </c>
      <c r="I7">
        <v>-591.53617329058363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6" sqref="B6"/>
    </sheetView>
  </sheetViews>
  <sheetFormatPr baseColWidth="10" defaultColWidth="12" defaultRowHeight="16" x14ac:dyDescent="0.2"/>
  <cols>
    <col min="1" max="1" width="24.6640625" style="166" customWidth="1"/>
    <col min="2" max="2" width="16.6640625" style="166" customWidth="1"/>
    <col min="3" max="3" width="7.5" style="166" bestFit="1" customWidth="1"/>
    <col min="4" max="16384" width="12" style="166"/>
  </cols>
  <sheetData>
    <row r="2" spans="1:16" x14ac:dyDescent="0.2">
      <c r="B2" s="166" t="s">
        <v>237</v>
      </c>
    </row>
    <row r="3" spans="1:16" x14ac:dyDescent="0.2">
      <c r="B3" s="166" t="s">
        <v>238</v>
      </c>
    </row>
    <row r="4" spans="1:16" x14ac:dyDescent="0.2">
      <c r="A4" s="166" t="s">
        <v>239</v>
      </c>
      <c r="C4" s="166" t="s">
        <v>240</v>
      </c>
      <c r="D4" s="166">
        <v>1</v>
      </c>
      <c r="E4" s="166">
        <v>2</v>
      </c>
      <c r="F4" s="166">
        <v>3</v>
      </c>
      <c r="G4" s="166">
        <v>4</v>
      </c>
      <c r="H4" s="166">
        <v>5</v>
      </c>
      <c r="I4" s="166">
        <v>6</v>
      </c>
      <c r="J4" s="166">
        <v>7</v>
      </c>
      <c r="K4" s="166">
        <v>8</v>
      </c>
      <c r="L4" s="166">
        <v>9</v>
      </c>
      <c r="M4" s="166">
        <v>10</v>
      </c>
      <c r="N4" s="166">
        <v>11</v>
      </c>
      <c r="O4" s="166">
        <v>12</v>
      </c>
    </row>
    <row r="5" spans="1:16" x14ac:dyDescent="0.2">
      <c r="A5" s="166" t="s">
        <v>241</v>
      </c>
      <c r="B5" s="166">
        <v>0.4</v>
      </c>
      <c r="C5" s="167">
        <v>0.9</v>
      </c>
      <c r="D5" s="166">
        <f>1/12</f>
        <v>8.3333333333333329E-2</v>
      </c>
      <c r="E5" s="166">
        <f>D5</f>
        <v>8.3333333333333329E-2</v>
      </c>
      <c r="F5" s="166">
        <f t="shared" ref="F5:O5" si="0">E5</f>
        <v>8.3333333333333329E-2</v>
      </c>
      <c r="G5" s="166">
        <f t="shared" si="0"/>
        <v>8.3333333333333329E-2</v>
      </c>
      <c r="H5" s="166">
        <f t="shared" si="0"/>
        <v>8.3333333333333329E-2</v>
      </c>
      <c r="I5" s="166">
        <f t="shared" si="0"/>
        <v>8.3333333333333329E-2</v>
      </c>
      <c r="J5" s="166">
        <f t="shared" si="0"/>
        <v>8.3333333333333329E-2</v>
      </c>
      <c r="K5" s="166">
        <f t="shared" si="0"/>
        <v>8.3333333333333329E-2</v>
      </c>
      <c r="L5" s="166">
        <f t="shared" si="0"/>
        <v>8.3333333333333329E-2</v>
      </c>
      <c r="M5" s="166">
        <f t="shared" si="0"/>
        <v>8.3333333333333329E-2</v>
      </c>
      <c r="N5" s="166">
        <f t="shared" si="0"/>
        <v>8.3333333333333329E-2</v>
      </c>
      <c r="O5" s="166">
        <f t="shared" si="0"/>
        <v>8.3333333333333329E-2</v>
      </c>
      <c r="P5" s="166">
        <f>SUM(D5:O5)</f>
        <v>1</v>
      </c>
    </row>
    <row r="6" spans="1:16" x14ac:dyDescent="0.2">
      <c r="A6" s="166" t="s">
        <v>13</v>
      </c>
      <c r="B6" s="166">
        <v>0.9</v>
      </c>
      <c r="C6" s="167">
        <f>1-C5</f>
        <v>9.9999999999999978E-2</v>
      </c>
      <c r="D6" s="168">
        <f>D16</f>
        <v>0.35</v>
      </c>
      <c r="E6" s="168">
        <v>0.2</v>
      </c>
      <c r="F6" s="168">
        <v>0.15</v>
      </c>
      <c r="G6" s="168">
        <v>0.1</v>
      </c>
      <c r="H6" s="166">
        <v>0.05</v>
      </c>
      <c r="I6" s="168">
        <v>0.05</v>
      </c>
      <c r="J6" s="168">
        <v>0.05</v>
      </c>
      <c r="K6" s="168">
        <v>0.05</v>
      </c>
      <c r="P6" s="166">
        <f>SUM(D6:O6)</f>
        <v>1.0000000000000002</v>
      </c>
    </row>
    <row r="7" spans="1:16" x14ac:dyDescent="0.2">
      <c r="B7" s="166" t="s">
        <v>242</v>
      </c>
      <c r="D7" s="166">
        <f>SUMPRODUCT(C5:C6,B5:B6)</f>
        <v>0.45</v>
      </c>
      <c r="E7" s="166">
        <f>SUMPRODUCT(E5:E6,$C5:$C6)</f>
        <v>9.5000000000000001E-2</v>
      </c>
      <c r="F7" s="166">
        <f t="shared" ref="F7:O7" si="1">SUMPRODUCT(F5:F6,$C5:$C6)</f>
        <v>0.09</v>
      </c>
      <c r="G7" s="166">
        <f t="shared" si="1"/>
        <v>8.4999999999999992E-2</v>
      </c>
      <c r="H7" s="166">
        <f t="shared" si="1"/>
        <v>0.08</v>
      </c>
      <c r="I7" s="166">
        <f t="shared" si="1"/>
        <v>0.08</v>
      </c>
      <c r="J7" s="166">
        <f t="shared" si="1"/>
        <v>0.08</v>
      </c>
      <c r="K7" s="166">
        <f t="shared" si="1"/>
        <v>0.08</v>
      </c>
      <c r="L7" s="166">
        <f t="shared" si="1"/>
        <v>7.4999999999999997E-2</v>
      </c>
      <c r="M7" s="166">
        <f t="shared" si="1"/>
        <v>7.4999999999999997E-2</v>
      </c>
      <c r="N7" s="166">
        <f t="shared" si="1"/>
        <v>7.4999999999999997E-2</v>
      </c>
      <c r="O7" s="166">
        <f t="shared" si="1"/>
        <v>7.4999999999999997E-2</v>
      </c>
    </row>
    <row r="8" spans="1:16" x14ac:dyDescent="0.2">
      <c r="B8" s="169" t="s">
        <v>243</v>
      </c>
      <c r="C8" s="169"/>
      <c r="D8" s="170">
        <f>SUMPRODUCT(B5:B6,C5:C6)</f>
        <v>0.45</v>
      </c>
    </row>
    <row r="9" spans="1:16" x14ac:dyDescent="0.2">
      <c r="B9" s="166" t="s">
        <v>244</v>
      </c>
      <c r="D9" s="171">
        <f>SUMPRODUCT(D5:D6,$C5:$C6)</f>
        <v>0.10999999999999999</v>
      </c>
      <c r="E9" s="171">
        <f t="shared" ref="E9:O9" si="2">SUMPRODUCT(E5:E6,$C5:$C6)</f>
        <v>9.5000000000000001E-2</v>
      </c>
      <c r="F9" s="171">
        <f t="shared" si="2"/>
        <v>0.09</v>
      </c>
      <c r="G9" s="171">
        <f t="shared" si="2"/>
        <v>8.4999999999999992E-2</v>
      </c>
      <c r="H9" s="171">
        <f t="shared" si="2"/>
        <v>0.08</v>
      </c>
      <c r="I9" s="171">
        <f t="shared" si="2"/>
        <v>0.08</v>
      </c>
      <c r="J9" s="171">
        <f t="shared" si="2"/>
        <v>0.08</v>
      </c>
      <c r="K9" s="171">
        <f t="shared" si="2"/>
        <v>0.08</v>
      </c>
      <c r="L9" s="171">
        <f t="shared" si="2"/>
        <v>7.4999999999999997E-2</v>
      </c>
      <c r="M9" s="171">
        <f t="shared" si="2"/>
        <v>7.4999999999999997E-2</v>
      </c>
      <c r="N9" s="171">
        <f t="shared" si="2"/>
        <v>7.4999999999999997E-2</v>
      </c>
      <c r="O9" s="171">
        <f t="shared" si="2"/>
        <v>7.4999999999999997E-2</v>
      </c>
      <c r="P9" s="167">
        <f>SUM(D9:O9)</f>
        <v>0.99999999999999978</v>
      </c>
    </row>
    <row r="11" spans="1:16" x14ac:dyDescent="0.2">
      <c r="D11" s="172"/>
    </row>
    <row r="14" spans="1:16" x14ac:dyDescent="0.2">
      <c r="A14" s="166" t="s">
        <v>245</v>
      </c>
      <c r="C14" s="166" t="s">
        <v>240</v>
      </c>
      <c r="D14" s="166">
        <v>1</v>
      </c>
      <c r="E14" s="166">
        <v>2</v>
      </c>
      <c r="F14" s="166">
        <v>3</v>
      </c>
      <c r="G14" s="166">
        <v>4</v>
      </c>
    </row>
    <row r="15" spans="1:16" x14ac:dyDescent="0.2">
      <c r="A15" s="166" t="s">
        <v>159</v>
      </c>
      <c r="B15" s="166">
        <v>0.9</v>
      </c>
      <c r="C15" s="167">
        <f>D28</f>
        <v>0.62091040922434837</v>
      </c>
      <c r="D15" s="166">
        <v>0.25</v>
      </c>
      <c r="E15" s="166">
        <v>0.25</v>
      </c>
      <c r="F15" s="166">
        <v>0.25</v>
      </c>
      <c r="G15" s="166">
        <v>0.25</v>
      </c>
      <c r="L15" s="166">
        <f>SUM(D15:K15)</f>
        <v>1</v>
      </c>
    </row>
    <row r="16" spans="1:16" x14ac:dyDescent="0.2">
      <c r="A16" s="166" t="s">
        <v>246</v>
      </c>
      <c r="B16" s="166">
        <v>0.9</v>
      </c>
      <c r="C16" s="167">
        <f>D26</f>
        <v>0.18843065822516181</v>
      </c>
      <c r="D16" s="168">
        <v>0.35</v>
      </c>
      <c r="E16" s="168">
        <v>0.35</v>
      </c>
      <c r="F16" s="168">
        <v>0.1</v>
      </c>
      <c r="G16" s="168">
        <v>0.1</v>
      </c>
      <c r="H16" s="166">
        <v>0.05</v>
      </c>
      <c r="I16" s="168">
        <v>0.05</v>
      </c>
      <c r="J16" s="168">
        <v>0</v>
      </c>
      <c r="K16" s="168">
        <v>0</v>
      </c>
      <c r="L16" s="166">
        <f>SUM(D16:K16)</f>
        <v>1</v>
      </c>
    </row>
    <row r="17" spans="1:12" x14ac:dyDescent="0.2">
      <c r="A17" s="166" t="s">
        <v>20</v>
      </c>
      <c r="B17" s="166">
        <v>0.7</v>
      </c>
      <c r="C17" s="167">
        <f>D27</f>
        <v>0.19065893255048985</v>
      </c>
      <c r="D17" s="173">
        <v>0.35</v>
      </c>
      <c r="E17" s="173">
        <v>0.15</v>
      </c>
      <c r="F17" s="173">
        <f>(1-D17-E17)/6</f>
        <v>8.3333333333333329E-2</v>
      </c>
      <c r="G17" s="173">
        <f>F17</f>
        <v>8.3333333333333329E-2</v>
      </c>
      <c r="H17" s="173">
        <f t="shared" ref="H17:K17" si="3">G17</f>
        <v>8.3333333333333329E-2</v>
      </c>
      <c r="I17" s="173">
        <f t="shared" si="3"/>
        <v>8.3333333333333329E-2</v>
      </c>
      <c r="J17" s="173">
        <f t="shared" si="3"/>
        <v>8.3333333333333329E-2</v>
      </c>
      <c r="K17" s="173">
        <f t="shared" si="3"/>
        <v>8.3333333333333329E-2</v>
      </c>
      <c r="L17" s="166">
        <f>SUM(D17:K17)</f>
        <v>1.0000000000000002</v>
      </c>
    </row>
    <row r="18" spans="1:12" x14ac:dyDescent="0.2">
      <c r="B18" s="166" t="s">
        <v>242</v>
      </c>
      <c r="D18" s="166">
        <f>D15*$C$15+D16*$C$16+D17*$C17</f>
        <v>0.2879089590775652</v>
      </c>
      <c r="E18" s="166">
        <f t="shared" ref="E18:K18" si="4">E15*$C$15+E16*$C$16+E17*$C17</f>
        <v>0.2497771725674672</v>
      </c>
      <c r="F18" s="166">
        <f t="shared" si="4"/>
        <v>0.18995891250781077</v>
      </c>
      <c r="G18" s="166">
        <f t="shared" si="4"/>
        <v>0.18995891250781077</v>
      </c>
      <c r="H18" s="166">
        <f t="shared" si="4"/>
        <v>2.5309777290465581E-2</v>
      </c>
      <c r="I18" s="166">
        <f t="shared" si="4"/>
        <v>2.5309777290465581E-2</v>
      </c>
      <c r="J18" s="166">
        <f t="shared" si="4"/>
        <v>1.5888244379207488E-2</v>
      </c>
      <c r="K18" s="166">
        <f t="shared" si="4"/>
        <v>1.5888244379207488E-2</v>
      </c>
    </row>
    <row r="19" spans="1:12" x14ac:dyDescent="0.2">
      <c r="B19" s="166" t="s">
        <v>247</v>
      </c>
      <c r="D19" s="166">
        <f>SUMPRODUCT(C15:C17,B15:B17)</f>
        <v>0.86186821348990206</v>
      </c>
    </row>
    <row r="20" spans="1:12" x14ac:dyDescent="0.2">
      <c r="B20" s="170" t="s">
        <v>244</v>
      </c>
      <c r="C20" s="170"/>
      <c r="D20" s="174">
        <f>SUMPRODUCT(D15:D17,$C15:$C17)</f>
        <v>0.2879089590775652</v>
      </c>
      <c r="E20" s="174">
        <f t="shared" ref="E20:K20" si="5">SUMPRODUCT(E15:E17,$C15:$C17)</f>
        <v>0.2497771725674672</v>
      </c>
      <c r="F20" s="174">
        <f t="shared" si="5"/>
        <v>0.18995891250781077</v>
      </c>
      <c r="G20" s="174">
        <f t="shared" si="5"/>
        <v>0.18995891250781077</v>
      </c>
      <c r="H20" s="174">
        <f t="shared" si="5"/>
        <v>2.5309777290465581E-2</v>
      </c>
      <c r="I20" s="174">
        <f t="shared" si="5"/>
        <v>2.5309777290465581E-2</v>
      </c>
      <c r="J20" s="174">
        <f t="shared" si="5"/>
        <v>1.5888244379207488E-2</v>
      </c>
      <c r="K20" s="174">
        <f t="shared" si="5"/>
        <v>1.5888244379207488E-2</v>
      </c>
      <c r="L20" s="172">
        <f>SUM(D20:K20)</f>
        <v>1</v>
      </c>
    </row>
    <row r="21" spans="1:12" x14ac:dyDescent="0.2">
      <c r="B21" s="170"/>
      <c r="C21" s="170"/>
      <c r="D21" s="175">
        <v>0.2879089590775652</v>
      </c>
      <c r="E21" s="175">
        <v>0.2497771725674672</v>
      </c>
      <c r="F21" s="175">
        <v>0.18995891250781077</v>
      </c>
      <c r="G21" s="175">
        <v>0.18995891250781077</v>
      </c>
      <c r="H21" s="175">
        <v>2.5309777290465581E-2</v>
      </c>
      <c r="I21" s="175">
        <v>2.5309777290465581E-2</v>
      </c>
      <c r="J21" s="175">
        <v>1.5888244379207488E-2</v>
      </c>
      <c r="K21" s="175">
        <v>1.5888244379207488E-2</v>
      </c>
      <c r="L21" s="172">
        <f>SUM(D21:K21)</f>
        <v>1</v>
      </c>
    </row>
    <row r="22" spans="1:12" x14ac:dyDescent="0.2">
      <c r="A22" s="166" t="s">
        <v>248</v>
      </c>
    </row>
    <row r="23" spans="1:12" x14ac:dyDescent="0.2">
      <c r="A23" s="166" t="s">
        <v>249</v>
      </c>
    </row>
    <row r="24" spans="1:12" x14ac:dyDescent="0.2">
      <c r="C24" s="166" t="s">
        <v>112</v>
      </c>
    </row>
    <row r="25" spans="1:12" x14ac:dyDescent="0.2">
      <c r="B25" s="166" t="s">
        <v>35</v>
      </c>
      <c r="C25" s="166">
        <v>5654.6</v>
      </c>
    </row>
    <row r="26" spans="1:12" x14ac:dyDescent="0.2">
      <c r="B26" s="166" t="s">
        <v>250</v>
      </c>
      <c r="C26" s="166">
        <v>1065.5</v>
      </c>
      <c r="D26" s="166">
        <f>C26/C25</f>
        <v>0.18843065822516181</v>
      </c>
    </row>
    <row r="27" spans="1:12" x14ac:dyDescent="0.2">
      <c r="B27" s="166" t="s">
        <v>251</v>
      </c>
      <c r="C27" s="166">
        <v>1078.0999999999999</v>
      </c>
      <c r="D27" s="166">
        <f>C27/C25</f>
        <v>0.19065893255048985</v>
      </c>
    </row>
    <row r="28" spans="1:12" x14ac:dyDescent="0.2">
      <c r="B28" s="166" t="s">
        <v>159</v>
      </c>
      <c r="D28" s="166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F11" sqref="F11:H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31</v>
      </c>
      <c r="B1" s="5"/>
      <c r="C1" s="5"/>
      <c r="D1" s="5"/>
      <c r="E1" s="5"/>
    </row>
    <row r="2" spans="1:19" s="6" customFormat="1" ht="15" customHeight="1" x14ac:dyDescent="0.15">
      <c r="A2" s="7" t="s">
        <v>32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212" t="s">
        <v>33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</row>
    <row r="6" spans="1:19" s="6" customFormat="1" ht="15" customHeight="1" x14ac:dyDescent="0.15">
      <c r="A6" s="214" t="s">
        <v>34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1"/>
      <c r="B8" s="131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2"/>
      <c r="R8" s="215"/>
      <c r="S8" s="216"/>
    </row>
    <row r="9" spans="1:19" s="6" customFormat="1" ht="15" customHeight="1" x14ac:dyDescent="0.15">
      <c r="A9" s="131"/>
      <c r="B9" s="131"/>
      <c r="C9" s="14"/>
      <c r="D9" s="14"/>
      <c r="E9" s="14"/>
      <c r="F9" s="15" t="s">
        <v>36</v>
      </c>
      <c r="G9" s="16"/>
      <c r="H9" s="17"/>
      <c r="I9" s="16"/>
      <c r="J9" s="17"/>
      <c r="K9" s="132"/>
      <c r="L9" s="132"/>
      <c r="M9" s="132"/>
      <c r="N9" s="132"/>
      <c r="O9" s="132"/>
      <c r="P9" s="132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1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1"/>
      <c r="B12" s="28"/>
      <c r="C12" s="28"/>
      <c r="D12" s="28" t="s">
        <v>225</v>
      </c>
      <c r="E12" s="28" t="s">
        <v>223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231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1" t="s">
        <v>224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230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229</v>
      </c>
    </row>
    <row r="15" spans="1:19" x14ac:dyDescent="0.2">
      <c r="A15" t="s">
        <v>228</v>
      </c>
      <c r="F15" s="94">
        <f>main!I53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226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9" customWidth="1"/>
    <col min="8" max="10" width="9.33203125" style="95" bestFit="1" customWidth="1"/>
    <col min="11" max="11" width="9.33203125" style="119" bestFit="1" customWidth="1"/>
  </cols>
  <sheetData>
    <row r="1" spans="1:32" ht="19" x14ac:dyDescent="0.25">
      <c r="A1" s="201" t="s">
        <v>212</v>
      </c>
      <c r="B1" s="201"/>
      <c r="C1" s="35"/>
      <c r="H1"/>
      <c r="I1"/>
      <c r="J1"/>
      <c r="X1" t="s">
        <v>29</v>
      </c>
      <c r="Z1" s="217" t="s">
        <v>85</v>
      </c>
      <c r="AA1" s="217"/>
      <c r="AB1" s="217"/>
      <c r="AC1" s="200"/>
      <c r="AD1" s="200"/>
      <c r="AE1" s="200"/>
      <c r="AF1" s="200"/>
    </row>
    <row r="2" spans="1:32" x14ac:dyDescent="0.2">
      <c r="A2" s="218" t="s">
        <v>196</v>
      </c>
      <c r="B2" s="108"/>
      <c r="C2" t="s">
        <v>197</v>
      </c>
    </row>
    <row r="3" spans="1:32" x14ac:dyDescent="0.2">
      <c r="A3" s="218"/>
      <c r="B3" s="109"/>
      <c r="C3" t="s">
        <v>198</v>
      </c>
    </row>
    <row r="4" spans="1:32" x14ac:dyDescent="0.2">
      <c r="A4" s="218"/>
      <c r="B4" s="110"/>
      <c r="C4" t="s">
        <v>199</v>
      </c>
    </row>
    <row r="5" spans="1:32" x14ac:dyDescent="0.2">
      <c r="A5" s="218"/>
      <c r="B5" s="98"/>
      <c r="C5" t="s">
        <v>186</v>
      </c>
    </row>
    <row r="7" spans="1:32" x14ac:dyDescent="0.2">
      <c r="C7" s="209" t="s">
        <v>164</v>
      </c>
      <c r="D7" s="210"/>
      <c r="E7" s="210"/>
      <c r="F7" s="211"/>
      <c r="G7" s="209" t="s">
        <v>170</v>
      </c>
      <c r="H7" s="210"/>
      <c r="I7" s="210"/>
      <c r="J7" s="211"/>
      <c r="K7" s="209" t="s">
        <v>181</v>
      </c>
      <c r="L7" s="210"/>
      <c r="M7" s="210"/>
      <c r="N7" s="211"/>
    </row>
    <row r="8" spans="1:32" s="2" customFormat="1" x14ac:dyDescent="0.2">
      <c r="B8" s="2" t="s">
        <v>204</v>
      </c>
      <c r="C8" s="96" t="s">
        <v>5</v>
      </c>
      <c r="D8" s="96" t="s">
        <v>6</v>
      </c>
      <c r="E8" s="96" t="s">
        <v>7</v>
      </c>
      <c r="F8" s="96" t="s">
        <v>8</v>
      </c>
      <c r="G8" s="120" t="s">
        <v>5</v>
      </c>
      <c r="H8" s="96" t="s">
        <v>6</v>
      </c>
      <c r="I8" s="96" t="s">
        <v>7</v>
      </c>
      <c r="J8" s="96" t="s">
        <v>8</v>
      </c>
      <c r="K8" s="125" t="s">
        <v>5</v>
      </c>
      <c r="L8" s="96"/>
      <c r="M8" s="96"/>
      <c r="N8" s="96"/>
    </row>
    <row r="9" spans="1:32" s="2" customFormat="1" ht="19" x14ac:dyDescent="0.25">
      <c r="A9" s="107" t="s">
        <v>169</v>
      </c>
      <c r="B9" s="107"/>
      <c r="C9" s="78"/>
      <c r="D9" s="78"/>
      <c r="E9" s="78"/>
      <c r="F9" s="78"/>
      <c r="G9" s="121"/>
      <c r="H9" s="78"/>
      <c r="I9" s="78"/>
      <c r="J9" s="78"/>
      <c r="K9" s="126"/>
      <c r="L9" s="78"/>
      <c r="M9" s="78"/>
      <c r="N9" s="78"/>
    </row>
    <row r="10" spans="1:32" ht="16" x14ac:dyDescent="0.2">
      <c r="B10" s="86" t="s">
        <v>175</v>
      </c>
      <c r="D10">
        <v>179.27799999999999</v>
      </c>
      <c r="E10">
        <v>61.09</v>
      </c>
      <c r="F10">
        <v>63.009813793412498</v>
      </c>
      <c r="G10" s="119">
        <v>65.414387073439201</v>
      </c>
      <c r="H10">
        <v>67.818960353465997</v>
      </c>
      <c r="I10">
        <v>70.223533633492494</v>
      </c>
      <c r="J10">
        <v>72.628106913519204</v>
      </c>
      <c r="K10" s="119">
        <v>71.905190915813407</v>
      </c>
    </row>
    <row r="11" spans="1:32" ht="16" x14ac:dyDescent="0.2">
      <c r="B11" s="86" t="s">
        <v>176</v>
      </c>
      <c r="D11">
        <v>186.02099999999999</v>
      </c>
      <c r="E11">
        <v>465.21800000000002</v>
      </c>
      <c r="F11">
        <v>405.08098280863499</v>
      </c>
      <c r="G11" s="119">
        <v>404.20608325604502</v>
      </c>
      <c r="H11">
        <v>395.88157173561501</v>
      </c>
      <c r="I11">
        <v>388.889110037249</v>
      </c>
      <c r="J11">
        <v>377.60448780112102</v>
      </c>
      <c r="K11" s="119">
        <v>397.47458006632002</v>
      </c>
    </row>
    <row r="12" spans="1:32" ht="16" x14ac:dyDescent="0.2">
      <c r="B12" s="86" t="s">
        <v>177</v>
      </c>
      <c r="D12">
        <v>1862.4</v>
      </c>
      <c r="E12">
        <v>1816.2</v>
      </c>
      <c r="F12">
        <v>1895.1488054536601</v>
      </c>
      <c r="G12" s="119">
        <v>1933.47191075455</v>
      </c>
      <c r="H12">
        <v>1965.5383751259999</v>
      </c>
      <c r="I12">
        <v>1996.7932691808101</v>
      </c>
      <c r="J12">
        <v>2030.19976826113</v>
      </c>
      <c r="K12" s="119">
        <v>2052.5745731536199</v>
      </c>
    </row>
    <row r="13" spans="1:32" ht="16" x14ac:dyDescent="0.2">
      <c r="B13" s="86" t="s">
        <v>178</v>
      </c>
      <c r="D13">
        <v>62.7</v>
      </c>
      <c r="E13">
        <v>54.4</v>
      </c>
      <c r="F13">
        <v>56.7647258103067</v>
      </c>
      <c r="G13" s="119">
        <v>57.912604308472503</v>
      </c>
      <c r="H13">
        <v>58.8730798407964</v>
      </c>
      <c r="I13">
        <v>59.809246692784903</v>
      </c>
      <c r="J13">
        <v>60.809859813569702</v>
      </c>
      <c r="K13" s="119">
        <v>61.480044477236603</v>
      </c>
    </row>
    <row r="14" spans="1:32" ht="16" x14ac:dyDescent="0.2">
      <c r="B14" s="86" t="s">
        <v>179</v>
      </c>
      <c r="D14">
        <v>0.6</v>
      </c>
      <c r="E14">
        <v>0.6</v>
      </c>
      <c r="F14">
        <v>0.60199647986336002</v>
      </c>
      <c r="G14" s="119">
        <v>0.60396796467365799</v>
      </c>
      <c r="H14">
        <v>0.60601443464314297</v>
      </c>
      <c r="I14">
        <v>0.60820462616773796</v>
      </c>
      <c r="J14">
        <v>0.61056978306376897</v>
      </c>
      <c r="K14" s="119">
        <v>0.61311927847613501</v>
      </c>
    </row>
    <row r="15" spans="1:32" ht="16" x14ac:dyDescent="0.2">
      <c r="B15" s="86" t="s">
        <v>180</v>
      </c>
      <c r="D15">
        <v>1249.5219999999999</v>
      </c>
      <c r="E15">
        <v>1420.71</v>
      </c>
      <c r="F15">
        <v>1460.7042835549901</v>
      </c>
      <c r="G15" s="119">
        <v>1471.3575997539101</v>
      </c>
      <c r="H15">
        <v>1482.0109159528199</v>
      </c>
      <c r="I15">
        <v>1492.66423215174</v>
      </c>
      <c r="J15">
        <v>1503.31754835066</v>
      </c>
      <c r="K15" s="119">
        <v>1536.3491403461601</v>
      </c>
    </row>
    <row r="16" spans="1:32" ht="16" x14ac:dyDescent="0.2">
      <c r="B16" s="86" t="s">
        <v>171</v>
      </c>
      <c r="D16">
        <v>1574.779</v>
      </c>
      <c r="E16">
        <v>3690.1819999999998</v>
      </c>
      <c r="F16">
        <v>4022.3023522170502</v>
      </c>
      <c r="G16" s="119">
        <v>3550.4202533538501</v>
      </c>
      <c r="H16">
        <v>3177.8359541396499</v>
      </c>
      <c r="I16">
        <v>2876.7404548976301</v>
      </c>
      <c r="J16">
        <v>2665.0830973586999</v>
      </c>
      <c r="K16" s="119">
        <v>2744.7441275841602</v>
      </c>
    </row>
    <row r="17" spans="1:12" ht="16" x14ac:dyDescent="0.2">
      <c r="B17" s="86" t="s">
        <v>172</v>
      </c>
      <c r="D17">
        <v>3376.8</v>
      </c>
      <c r="E17">
        <v>3097</v>
      </c>
      <c r="F17">
        <v>3089.7317557359202</v>
      </c>
      <c r="G17" s="119">
        <v>3117.4031672383799</v>
      </c>
      <c r="H17">
        <v>3145.07457874083</v>
      </c>
      <c r="I17">
        <v>3172.7459902432902</v>
      </c>
      <c r="J17">
        <v>3200.4174017457399</v>
      </c>
      <c r="K17" s="119">
        <v>3246.3114308992499</v>
      </c>
    </row>
    <row r="18" spans="1:12" ht="16" x14ac:dyDescent="0.2">
      <c r="B18" s="86" t="s">
        <v>173</v>
      </c>
      <c r="D18">
        <v>180.5</v>
      </c>
      <c r="E18">
        <v>173.4</v>
      </c>
      <c r="F18">
        <v>179.704320447226</v>
      </c>
      <c r="G18" s="119">
        <v>188.57281638621899</v>
      </c>
      <c r="H18">
        <v>197.44131232521099</v>
      </c>
      <c r="I18">
        <v>206.30980826420301</v>
      </c>
      <c r="J18">
        <v>215.17830420319501</v>
      </c>
      <c r="K18" s="119">
        <v>252.77338989879101</v>
      </c>
    </row>
    <row r="19" spans="1:12" ht="16" x14ac:dyDescent="0.2">
      <c r="B19" s="86" t="s">
        <v>174</v>
      </c>
      <c r="D19">
        <v>74.5</v>
      </c>
      <c r="E19">
        <v>1086.2</v>
      </c>
      <c r="F19">
        <v>1089.81429404597</v>
      </c>
      <c r="G19" s="119">
        <v>1093.3833387142099</v>
      </c>
      <c r="H19">
        <v>1097.08813151564</v>
      </c>
      <c r="I19">
        <v>1101.05310823899</v>
      </c>
      <c r="J19">
        <v>1105.3348306064399</v>
      </c>
      <c r="K19" s="119">
        <v>1109.9502671346299</v>
      </c>
    </row>
    <row r="20" spans="1:12" x14ac:dyDescent="0.2">
      <c r="B20" t="s">
        <v>200</v>
      </c>
      <c r="D20">
        <v>182.97800000000001</v>
      </c>
      <c r="E20">
        <v>181.51</v>
      </c>
      <c r="F20">
        <v>793.87394730358403</v>
      </c>
      <c r="G20" s="119">
        <v>781.13535139200803</v>
      </c>
      <c r="H20">
        <v>763.35143409724697</v>
      </c>
      <c r="I20">
        <v>746.40840369968305</v>
      </c>
      <c r="J20">
        <v>730.58655583171605</v>
      </c>
      <c r="K20" s="119">
        <v>748.69791667930303</v>
      </c>
    </row>
    <row r="23" spans="1:12" ht="19" x14ac:dyDescent="0.25">
      <c r="A23" s="111" t="s">
        <v>189</v>
      </c>
      <c r="B23" s="111"/>
    </row>
    <row r="24" spans="1:12" x14ac:dyDescent="0.2">
      <c r="B24" t="s">
        <v>190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2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2">
        <f t="shared" si="0"/>
        <v>239.86837218421365</v>
      </c>
      <c r="L24" s="100"/>
    </row>
    <row r="25" spans="1:12" x14ac:dyDescent="0.2">
      <c r="B25" t="s">
        <v>191</v>
      </c>
      <c r="D25" s="102"/>
      <c r="E25" s="102">
        <v>-142.69999999999999</v>
      </c>
      <c r="F25" s="102">
        <v>-128.40406144067796</v>
      </c>
      <c r="G25" s="123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3">
        <v>-46.377972457627124</v>
      </c>
    </row>
    <row r="26" spans="1:12" x14ac:dyDescent="0.2">
      <c r="B26" t="s">
        <v>184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3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3">
        <f t="shared" si="1"/>
        <v>193.49039972658653</v>
      </c>
    </row>
    <row r="27" spans="1:12" x14ac:dyDescent="0.2">
      <c r="B27" t="s">
        <v>182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3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3">
        <f t="shared" si="2"/>
        <v>71.905190915813407</v>
      </c>
    </row>
    <row r="28" spans="1:12" s="97" customFormat="1" x14ac:dyDescent="0.2">
      <c r="B28" s="99" t="s">
        <v>183</v>
      </c>
      <c r="D28" s="103"/>
      <c r="E28" s="103"/>
      <c r="F28" s="103">
        <f t="shared" ref="F28:K28" si="3">F26-F27</f>
        <v>18.780427482549435</v>
      </c>
      <c r="G28" s="124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4">
        <f t="shared" si="3"/>
        <v>121.58520881077312</v>
      </c>
    </row>
    <row r="29" spans="1:12" x14ac:dyDescent="0.2">
      <c r="D29" s="102"/>
      <c r="E29" s="102"/>
      <c r="F29" s="102"/>
      <c r="G29" s="123"/>
      <c r="H29" s="105"/>
      <c r="I29" s="105"/>
      <c r="J29" s="105"/>
      <c r="K29" s="123"/>
    </row>
    <row r="30" spans="1:12" x14ac:dyDescent="0.2">
      <c r="D30" s="102"/>
      <c r="E30" s="102"/>
      <c r="F30" s="102"/>
      <c r="G30" s="123"/>
      <c r="H30" s="105"/>
      <c r="I30" s="105"/>
      <c r="J30" s="105"/>
      <c r="K30" s="123"/>
    </row>
    <row r="31" spans="1:12" ht="19" x14ac:dyDescent="0.25">
      <c r="A31" s="111" t="s">
        <v>192</v>
      </c>
      <c r="B31" s="111"/>
    </row>
    <row r="32" spans="1:12" x14ac:dyDescent="0.2">
      <c r="B32" t="s">
        <v>190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2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2">
        <f t="shared" si="4"/>
        <v>148.84423247697106</v>
      </c>
      <c r="L32" s="100"/>
    </row>
    <row r="33" spans="1:11" x14ac:dyDescent="0.2">
      <c r="B33" t="s">
        <v>191</v>
      </c>
      <c r="D33" s="102">
        <v>16</v>
      </c>
      <c r="E33" s="102">
        <v>325</v>
      </c>
      <c r="F33" s="102">
        <f>305</f>
        <v>305</v>
      </c>
      <c r="G33" s="123">
        <f>47</f>
        <v>47</v>
      </c>
      <c r="H33" s="102">
        <v>47</v>
      </c>
      <c r="I33" s="102">
        <v>47</v>
      </c>
      <c r="J33" s="102">
        <v>47</v>
      </c>
      <c r="K33" s="123">
        <v>43</v>
      </c>
    </row>
    <row r="34" spans="1:11" x14ac:dyDescent="0.2">
      <c r="B34" t="s">
        <v>184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3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3">
        <f t="shared" si="5"/>
        <v>191.84423247697106</v>
      </c>
    </row>
    <row r="35" spans="1:11" x14ac:dyDescent="0.2">
      <c r="B35" t="s">
        <v>182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3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3">
        <f t="shared" si="6"/>
        <v>397.47458006632002</v>
      </c>
    </row>
    <row r="36" spans="1:11" s="97" customFormat="1" x14ac:dyDescent="0.2">
      <c r="B36" s="99" t="s">
        <v>183</v>
      </c>
      <c r="D36" s="103"/>
      <c r="E36" s="103"/>
      <c r="F36" s="103">
        <f t="shared" ref="F36:K36" si="7">F34-F35</f>
        <v>41.53919719136502</v>
      </c>
      <c r="G36" s="124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4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4"/>
      <c r="H37" s="103"/>
      <c r="I37" s="103"/>
      <c r="J37" s="103"/>
      <c r="K37" s="124"/>
    </row>
    <row r="38" spans="1:11" s="97" customFormat="1" x14ac:dyDescent="0.2">
      <c r="B38" s="99"/>
      <c r="D38" s="103"/>
      <c r="E38" s="103"/>
      <c r="F38" s="103"/>
      <c r="G38" s="124"/>
      <c r="H38" s="103"/>
      <c r="I38" s="103"/>
      <c r="J38" s="103"/>
      <c r="K38" s="124"/>
    </row>
    <row r="39" spans="1:11" ht="19" x14ac:dyDescent="0.25">
      <c r="A39" s="111" t="s">
        <v>188</v>
      </c>
      <c r="B39" s="111"/>
      <c r="D39" s="102"/>
      <c r="E39" s="102"/>
      <c r="F39" s="102"/>
      <c r="G39" s="123"/>
      <c r="H39" s="105"/>
      <c r="I39" s="105"/>
      <c r="J39" s="105"/>
      <c r="K39" s="123"/>
    </row>
    <row r="40" spans="1:11" x14ac:dyDescent="0.2">
      <c r="B40" t="s">
        <v>184</v>
      </c>
      <c r="D40" s="100">
        <v>1835.9308286849882</v>
      </c>
      <c r="E40" s="100">
        <v>1798.0730623309571</v>
      </c>
      <c r="F40" s="100">
        <v>1841.3301065807598</v>
      </c>
      <c r="G40" s="122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2">
        <v>1892.015583446143</v>
      </c>
    </row>
    <row r="41" spans="1:11" x14ac:dyDescent="0.2">
      <c r="B41" t="s">
        <v>185</v>
      </c>
      <c r="D41" s="101">
        <v>1842.1</v>
      </c>
      <c r="E41" s="101">
        <v>1797.1</v>
      </c>
      <c r="F41" s="102">
        <f>F40/E40*E41</f>
        <v>1840.3336348560522</v>
      </c>
      <c r="G41" s="123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3">
        <f t="shared" si="8"/>
        <v>1890.9916822863934</v>
      </c>
    </row>
    <row r="42" spans="1:11" x14ac:dyDescent="0.2">
      <c r="B42" t="s">
        <v>182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3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3">
        <f t="shared" si="9"/>
        <v>2052.5745731536199</v>
      </c>
    </row>
    <row r="43" spans="1:11" s="97" customFormat="1" x14ac:dyDescent="0.2">
      <c r="B43" s="99" t="s">
        <v>183</v>
      </c>
      <c r="D43" s="103"/>
      <c r="E43" s="103"/>
      <c r="F43" s="103">
        <f t="shared" ref="F43:K43" si="10">F41-F42</f>
        <v>-54.815170597607903</v>
      </c>
      <c r="G43" s="124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4">
        <f t="shared" si="10"/>
        <v>-161.58289086722652</v>
      </c>
    </row>
    <row r="44" spans="1:11" x14ac:dyDescent="0.2">
      <c r="D44" s="102"/>
      <c r="E44" s="102"/>
      <c r="F44" s="102"/>
      <c r="G44" s="123"/>
      <c r="H44" s="105"/>
      <c r="I44" s="105"/>
      <c r="J44" s="105"/>
      <c r="K44" s="123"/>
    </row>
    <row r="45" spans="1:11" x14ac:dyDescent="0.2">
      <c r="D45" s="102"/>
      <c r="E45" s="102"/>
      <c r="F45" s="102"/>
      <c r="G45" s="123"/>
      <c r="H45" s="105"/>
      <c r="I45" s="105"/>
      <c r="J45" s="105"/>
      <c r="K45" s="123"/>
    </row>
    <row r="46" spans="1:11" ht="19" x14ac:dyDescent="0.25">
      <c r="A46" s="111" t="s">
        <v>187</v>
      </c>
      <c r="B46" s="111"/>
      <c r="D46" s="102"/>
      <c r="E46" s="102"/>
      <c r="F46" s="102"/>
      <c r="G46" s="123"/>
      <c r="H46" s="105"/>
      <c r="I46" s="105"/>
      <c r="J46" s="105"/>
      <c r="K46" s="123"/>
    </row>
    <row r="47" spans="1:11" x14ac:dyDescent="0.2">
      <c r="B47" t="s">
        <v>184</v>
      </c>
      <c r="D47" s="100">
        <v>58.885625915856416</v>
      </c>
      <c r="E47" s="100">
        <v>51.906166397249173</v>
      </c>
      <c r="F47" s="100">
        <v>67.757273586954582</v>
      </c>
      <c r="G47" s="122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2">
        <v>74.827748020610457</v>
      </c>
    </row>
    <row r="48" spans="1:11" x14ac:dyDescent="0.2">
      <c r="B48" t="s">
        <v>185</v>
      </c>
      <c r="D48" s="101">
        <v>62.7</v>
      </c>
      <c r="E48" s="101">
        <v>67.833333333333329</v>
      </c>
      <c r="F48" s="102">
        <f>F47/E47*E48</f>
        <v>88.548279404917352</v>
      </c>
      <c r="G48" s="123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3">
        <f t="shared" si="11"/>
        <v>97.788296196225005</v>
      </c>
    </row>
    <row r="49" spans="1:12" x14ac:dyDescent="0.2">
      <c r="B49" t="s">
        <v>182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3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3">
        <f t="shared" si="12"/>
        <v>61.480044477236603</v>
      </c>
    </row>
    <row r="50" spans="1:12" s="97" customFormat="1" x14ac:dyDescent="0.2">
      <c r="B50" s="99" t="s">
        <v>183</v>
      </c>
      <c r="D50" s="103"/>
      <c r="E50" s="103"/>
      <c r="F50" s="103">
        <f t="shared" ref="F50:K50" si="13">F48-F49</f>
        <v>31.783553594610652</v>
      </c>
      <c r="G50" s="124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4">
        <f t="shared" si="13"/>
        <v>36.308251718988402</v>
      </c>
    </row>
    <row r="51" spans="1:12" x14ac:dyDescent="0.2">
      <c r="D51" s="102"/>
      <c r="E51" s="102"/>
      <c r="F51" s="102"/>
      <c r="G51" s="123"/>
      <c r="H51" s="105"/>
      <c r="I51" s="105"/>
      <c r="J51" s="105"/>
      <c r="K51" s="123"/>
    </row>
    <row r="53" spans="1:12" ht="19" x14ac:dyDescent="0.25">
      <c r="A53" s="106" t="s">
        <v>193</v>
      </c>
      <c r="B53" s="106"/>
    </row>
    <row r="54" spans="1:12" x14ac:dyDescent="0.2">
      <c r="B54" t="s">
        <v>190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2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2">
        <f t="shared" si="14"/>
        <v>1389.2655192702591</v>
      </c>
      <c r="L54" s="100"/>
    </row>
    <row r="55" spans="1:12" x14ac:dyDescent="0.2">
      <c r="B55" t="s">
        <v>191</v>
      </c>
      <c r="D55" s="102"/>
      <c r="E55" s="100">
        <v>153.80000000000001</v>
      </c>
      <c r="F55" s="100">
        <v>286.06375423728815</v>
      </c>
      <c r="G55" s="122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2">
        <v>77.568110169491518</v>
      </c>
    </row>
    <row r="56" spans="1:12" x14ac:dyDescent="0.2">
      <c r="B56" t="s">
        <v>184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3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3">
        <f t="shared" si="15"/>
        <v>1466.8336294397507</v>
      </c>
    </row>
    <row r="57" spans="1:12" x14ac:dyDescent="0.2">
      <c r="B57" t="s">
        <v>182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3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3">
        <f t="shared" si="16"/>
        <v>1536.3491403461601</v>
      </c>
    </row>
    <row r="58" spans="1:12" s="97" customFormat="1" x14ac:dyDescent="0.2">
      <c r="B58" s="99" t="s">
        <v>183</v>
      </c>
      <c r="D58" s="103"/>
      <c r="E58" s="103"/>
      <c r="F58" s="103">
        <f t="shared" ref="F58:K58" si="17">F56-F57</f>
        <v>146.22205438907508</v>
      </c>
      <c r="G58" s="124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4">
        <f t="shared" si="17"/>
        <v>-69.515510906409418</v>
      </c>
    </row>
    <row r="59" spans="1:12" x14ac:dyDescent="0.2">
      <c r="D59" s="102"/>
      <c r="E59" s="102"/>
      <c r="F59" s="102"/>
      <c r="G59" s="123"/>
      <c r="H59" s="105"/>
      <c r="I59" s="105"/>
      <c r="J59" s="105"/>
      <c r="K59" s="123"/>
    </row>
    <row r="60" spans="1:12" x14ac:dyDescent="0.2">
      <c r="D60" s="102"/>
      <c r="E60" s="102"/>
      <c r="F60" s="102"/>
      <c r="G60" s="123"/>
      <c r="H60" s="105"/>
      <c r="I60" s="105"/>
      <c r="J60" s="105"/>
      <c r="K60" s="123"/>
    </row>
    <row r="61" spans="1:12" ht="19" x14ac:dyDescent="0.25">
      <c r="A61" s="106" t="s">
        <v>194</v>
      </c>
      <c r="B61" s="106"/>
    </row>
    <row r="62" spans="1:12" x14ac:dyDescent="0.2">
      <c r="B62" t="s">
        <v>190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2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2">
        <f t="shared" si="18"/>
        <v>1921.5847294471066</v>
      </c>
      <c r="L62" s="100"/>
    </row>
    <row r="63" spans="1:12" x14ac:dyDescent="0.2">
      <c r="B63" t="s">
        <v>191</v>
      </c>
      <c r="D63" s="102"/>
      <c r="E63" s="100">
        <v>1879.9622614871093</v>
      </c>
      <c r="F63" s="100">
        <v>528.73890499481013</v>
      </c>
      <c r="G63" s="122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2">
        <v>85.98974092242338</v>
      </c>
    </row>
    <row r="64" spans="1:12" x14ac:dyDescent="0.2">
      <c r="B64" t="s">
        <v>184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3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3">
        <f t="shared" si="19"/>
        <v>2007.57447036953</v>
      </c>
    </row>
    <row r="65" spans="1:11" x14ac:dyDescent="0.2">
      <c r="B65" t="s">
        <v>182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3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3">
        <f t="shared" si="20"/>
        <v>2744.7441275841602</v>
      </c>
    </row>
    <row r="66" spans="1:11" s="97" customFormat="1" x14ac:dyDescent="0.2">
      <c r="B66" s="99" t="s">
        <v>183</v>
      </c>
      <c r="D66" s="103"/>
      <c r="E66" s="103"/>
      <c r="F66" s="103">
        <f t="shared" ref="F66:K66" si="21">F64-F65</f>
        <v>-1665.2415113242209</v>
      </c>
      <c r="G66" s="124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4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4"/>
      <c r="H67" s="103"/>
      <c r="I67" s="103"/>
      <c r="J67" s="103"/>
      <c r="K67" s="124"/>
    </row>
    <row r="68" spans="1:11" s="97" customFormat="1" x14ac:dyDescent="0.2">
      <c r="B68" s="99"/>
      <c r="D68" s="103"/>
      <c r="E68" s="103"/>
      <c r="F68" s="103"/>
      <c r="G68" s="124"/>
      <c r="H68" s="103"/>
      <c r="I68" s="103"/>
      <c r="J68" s="103"/>
      <c r="K68" s="124"/>
    </row>
    <row r="69" spans="1:11" ht="19" x14ac:dyDescent="0.25">
      <c r="A69" s="106" t="s">
        <v>195</v>
      </c>
      <c r="B69" s="106"/>
      <c r="D69" s="102"/>
      <c r="E69" s="102"/>
      <c r="F69" s="102"/>
      <c r="G69" s="123"/>
      <c r="H69" s="105"/>
      <c r="I69" s="105"/>
      <c r="J69" s="105"/>
      <c r="K69" s="123"/>
    </row>
    <row r="70" spans="1:11" x14ac:dyDescent="0.2">
      <c r="B70" t="s">
        <v>4</v>
      </c>
      <c r="D70" s="100"/>
      <c r="E70" s="102">
        <f>main!J29/1000</f>
        <v>1086.78</v>
      </c>
      <c r="F70" s="102">
        <f>main!K29/1000</f>
        <v>1209.7866824324324</v>
      </c>
      <c r="G70" s="102">
        <f>main!L29/1000</f>
        <v>377.71200834658191</v>
      </c>
      <c r="H70" s="102">
        <f>main!M29/1000</f>
        <v>107.15305445151033</v>
      </c>
      <c r="I70" s="102">
        <f>main!N29/1000</f>
        <v>95.030249999999995</v>
      </c>
      <c r="J70" s="102">
        <f>main!O29/1000</f>
        <v>95.030249999999995</v>
      </c>
      <c r="K70" s="102">
        <f>main!P29/1000</f>
        <v>95.030249999999995</v>
      </c>
    </row>
    <row r="71" spans="1:11" x14ac:dyDescent="0.2">
      <c r="B71" t="s">
        <v>182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3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3">
        <f t="shared" si="22"/>
        <v>1109.9502671346299</v>
      </c>
    </row>
    <row r="72" spans="1:11" s="97" customFormat="1" x14ac:dyDescent="0.2">
      <c r="B72" s="99" t="s">
        <v>183</v>
      </c>
      <c r="D72" s="103"/>
      <c r="E72" s="103"/>
      <c r="F72" s="103">
        <f>F70-F71</f>
        <v>119.9723883864624</v>
      </c>
      <c r="G72" s="103">
        <f t="shared" ref="G72:K72" si="23">G70-G71</f>
        <v>-715.671330367628</v>
      </c>
      <c r="H72" s="103">
        <f t="shared" si="23"/>
        <v>-989.9350770641297</v>
      </c>
      <c r="I72" s="103">
        <f t="shared" si="23"/>
        <v>-1006.02285823899</v>
      </c>
      <c r="J72" s="103">
        <f t="shared" si="23"/>
        <v>-1010.3045806064399</v>
      </c>
      <c r="K72" s="103">
        <f t="shared" si="23"/>
        <v>-1014.9200171346299</v>
      </c>
    </row>
    <row r="73" spans="1:11" x14ac:dyDescent="0.2">
      <c r="D73" s="102"/>
      <c r="E73" s="102"/>
      <c r="F73" s="102"/>
      <c r="G73" s="123"/>
      <c r="H73" s="105"/>
      <c r="I73" s="105"/>
      <c r="J73" s="105"/>
      <c r="K73" s="123"/>
    </row>
    <row r="74" spans="1:11" x14ac:dyDescent="0.2">
      <c r="D74" s="102"/>
      <c r="E74" s="102"/>
      <c r="F74" s="102"/>
      <c r="G74" s="123"/>
      <c r="H74" s="105"/>
      <c r="I74" s="105"/>
      <c r="J74" s="105"/>
      <c r="K74" s="123"/>
    </row>
    <row r="75" spans="1:11" ht="19" x14ac:dyDescent="0.25">
      <c r="A75" s="106" t="s">
        <v>201</v>
      </c>
      <c r="B75" s="106"/>
      <c r="D75" s="102"/>
      <c r="E75" s="102"/>
      <c r="F75" s="102"/>
      <c r="G75" s="123"/>
      <c r="H75" s="105"/>
      <c r="I75" s="105"/>
      <c r="J75" s="105"/>
      <c r="K75" s="123"/>
    </row>
    <row r="76" spans="1:11" x14ac:dyDescent="0.2">
      <c r="B76" t="s">
        <v>190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2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2">
        <f t="shared" si="24"/>
        <v>3301.0791480964817</v>
      </c>
    </row>
    <row r="77" spans="1:11" x14ac:dyDescent="0.2">
      <c r="B77" t="s">
        <v>191</v>
      </c>
      <c r="F77" s="102">
        <f>((SUM($F$78:$I$79)/4)/6)*4</f>
        <v>120</v>
      </c>
      <c r="G77" s="123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3">
        <f t="shared" si="25"/>
        <v>120</v>
      </c>
    </row>
    <row r="78" spans="1:11" x14ac:dyDescent="0.2">
      <c r="B78" s="112" t="s">
        <v>202</v>
      </c>
      <c r="F78" s="102">
        <v>300</v>
      </c>
      <c r="G78" s="123">
        <v>150</v>
      </c>
      <c r="H78" s="102">
        <v>100</v>
      </c>
      <c r="I78" s="102">
        <v>50</v>
      </c>
      <c r="J78" s="102"/>
      <c r="K78" s="123"/>
    </row>
    <row r="79" spans="1:11" x14ac:dyDescent="0.2">
      <c r="B79" s="113" t="s">
        <v>203</v>
      </c>
      <c r="F79" s="102">
        <v>17</v>
      </c>
      <c r="G79" s="123">
        <v>50</v>
      </c>
      <c r="H79" s="102">
        <v>35</v>
      </c>
      <c r="I79" s="102">
        <v>18</v>
      </c>
      <c r="J79" s="102"/>
      <c r="K79" s="123"/>
    </row>
    <row r="80" spans="1:11" x14ac:dyDescent="0.2">
      <c r="B80" t="s">
        <v>184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3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3">
        <f t="shared" si="26"/>
        <v>3421.0791480964817</v>
      </c>
    </row>
    <row r="81" spans="2:11" x14ac:dyDescent="0.2">
      <c r="B81" t="s">
        <v>182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3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3">
        <f t="shared" si="27"/>
        <v>748.69791667930303</v>
      </c>
    </row>
    <row r="82" spans="2:11" s="97" customFormat="1" x14ac:dyDescent="0.2">
      <c r="B82" s="99" t="s">
        <v>183</v>
      </c>
      <c r="D82" s="103"/>
      <c r="E82" s="103"/>
      <c r="F82" s="103">
        <f>F80-F81</f>
        <v>2826.3905455966024</v>
      </c>
      <c r="G82" s="124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4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W38"/>
  <sheetViews>
    <sheetView topLeftCell="A13" workbookViewId="0">
      <selection activeCell="J5" sqref="J5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10" width="12.5" customWidth="1"/>
  </cols>
  <sheetData>
    <row r="1" spans="1:23" x14ac:dyDescent="0.2">
      <c r="K1" s="46"/>
      <c r="L1" s="46"/>
    </row>
    <row r="2" spans="1:23" x14ac:dyDescent="0.2">
      <c r="A2" s="223" t="s">
        <v>105</v>
      </c>
      <c r="B2" s="223"/>
      <c r="C2" s="223"/>
      <c r="D2" s="223"/>
      <c r="E2" s="223"/>
      <c r="F2" s="223"/>
      <c r="G2" s="223"/>
      <c r="H2" s="223"/>
      <c r="I2" s="223"/>
      <c r="J2" s="77"/>
    </row>
    <row r="3" spans="1:23" x14ac:dyDescent="0.2">
      <c r="A3" s="223" t="s">
        <v>106</v>
      </c>
      <c r="B3" s="223"/>
      <c r="C3" s="223"/>
      <c r="D3" s="223"/>
      <c r="E3" s="223"/>
      <c r="F3" s="223"/>
      <c r="G3" s="223"/>
      <c r="H3" s="223"/>
      <c r="I3" s="223"/>
      <c r="J3" s="77"/>
    </row>
    <row r="4" spans="1:23" ht="16" thickBot="1" x14ac:dyDescent="0.25">
      <c r="A4" s="224"/>
      <c r="B4" s="224"/>
      <c r="C4" s="224"/>
      <c r="D4" s="224"/>
      <c r="E4" s="224"/>
      <c r="F4" s="224"/>
      <c r="G4" s="224"/>
      <c r="H4" s="224"/>
      <c r="I4" s="224"/>
      <c r="J4" s="229" t="s">
        <v>164</v>
      </c>
      <c r="K4" s="229"/>
      <c r="L4" s="229"/>
      <c r="M4" s="229"/>
    </row>
    <row r="5" spans="1:23" x14ac:dyDescent="0.2">
      <c r="A5" s="47"/>
      <c r="B5" s="48"/>
      <c r="C5" s="225" t="s">
        <v>107</v>
      </c>
      <c r="D5" s="226"/>
      <c r="E5" s="226"/>
      <c r="F5" s="226"/>
      <c r="G5" s="226"/>
      <c r="H5" s="226"/>
      <c r="I5" s="227"/>
      <c r="J5" s="78"/>
      <c r="K5" s="228" t="s">
        <v>108</v>
      </c>
      <c r="L5" s="200"/>
      <c r="M5" s="200"/>
    </row>
    <row r="6" spans="1:23" x14ac:dyDescent="0.2">
      <c r="A6" s="1" t="s">
        <v>110</v>
      </c>
      <c r="B6" s="49"/>
      <c r="C6" s="219">
        <v>2020</v>
      </c>
      <c r="D6" s="220"/>
      <c r="E6" s="220"/>
      <c r="F6" s="220"/>
      <c r="G6" s="220"/>
      <c r="H6" s="220"/>
      <c r="I6" s="221"/>
      <c r="J6" s="78" t="s">
        <v>136</v>
      </c>
      <c r="K6" t="s">
        <v>111</v>
      </c>
      <c r="L6" t="s">
        <v>112</v>
      </c>
      <c r="M6" t="s">
        <v>113</v>
      </c>
      <c r="N6" t="s">
        <v>136</v>
      </c>
      <c r="O6" t="s">
        <v>111</v>
      </c>
      <c r="P6" t="s">
        <v>112</v>
      </c>
      <c r="Q6" t="s">
        <v>113</v>
      </c>
      <c r="R6" t="s">
        <v>136</v>
      </c>
    </row>
    <row r="7" spans="1:23" x14ac:dyDescent="0.2">
      <c r="A7" s="50"/>
      <c r="B7" s="51"/>
      <c r="C7" s="52" t="s">
        <v>114</v>
      </c>
      <c r="D7" s="53" t="s">
        <v>115</v>
      </c>
      <c r="E7" s="54" t="s">
        <v>116</v>
      </c>
      <c r="F7" s="55" t="s">
        <v>117</v>
      </c>
      <c r="G7" s="55" t="s">
        <v>118</v>
      </c>
      <c r="H7" s="55" t="s">
        <v>119</v>
      </c>
      <c r="I7" s="56" t="s">
        <v>120</v>
      </c>
      <c r="J7" s="78"/>
    </row>
    <row r="8" spans="1:23" x14ac:dyDescent="0.2">
      <c r="A8" s="57">
        <v>23</v>
      </c>
      <c r="B8" s="58" t="s">
        <v>131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61">
        <v>1364</v>
      </c>
      <c r="J8" s="82">
        <v>27.8</v>
      </c>
      <c r="K8" s="73">
        <v>43.4</v>
      </c>
      <c r="L8" s="73">
        <f>AVERAGE(F8:H8)</f>
        <v>1112.5333333333333</v>
      </c>
      <c r="M8" s="73">
        <f>4*M26</f>
        <v>1044.2666666666667</v>
      </c>
    </row>
    <row r="9" spans="1:23" ht="17" x14ac:dyDescent="0.2">
      <c r="B9" s="74" t="s">
        <v>132</v>
      </c>
      <c r="C9" s="62"/>
      <c r="D9" s="63"/>
      <c r="E9" s="64"/>
      <c r="F9" s="63"/>
      <c r="G9" s="64"/>
      <c r="H9" s="63"/>
      <c r="I9" s="64"/>
      <c r="J9" s="82"/>
      <c r="K9" s="73"/>
      <c r="L9" s="73"/>
      <c r="M9" s="73"/>
      <c r="W9" s="72"/>
    </row>
    <row r="10" spans="1:23" x14ac:dyDescent="0.2">
      <c r="A10">
        <v>24</v>
      </c>
      <c r="B10" s="75" t="s">
        <v>133</v>
      </c>
      <c r="C10" s="62"/>
      <c r="D10" s="63"/>
      <c r="E10" s="64"/>
      <c r="F10" s="63">
        <v>1</v>
      </c>
      <c r="G10" s="64">
        <v>7.4</v>
      </c>
      <c r="H10" s="63">
        <v>12.8</v>
      </c>
      <c r="I10" s="64">
        <v>16.899999999999999</v>
      </c>
      <c r="J10" s="82" t="s">
        <v>145</v>
      </c>
      <c r="K10" s="73"/>
      <c r="L10" s="73">
        <f t="shared" ref="L10:L12" si="0">AVERAGE(F10:H10)</f>
        <v>7.0666666666666673</v>
      </c>
      <c r="M10" s="73">
        <f t="shared" ref="M10:N12" si="1">4*M28</f>
        <v>37.413333333333327</v>
      </c>
      <c r="N10">
        <f t="shared" si="1"/>
        <v>60</v>
      </c>
    </row>
    <row r="11" spans="1:23" x14ac:dyDescent="0.2">
      <c r="A11" s="57">
        <v>25</v>
      </c>
      <c r="B11" s="76" t="s">
        <v>134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61">
        <v>184.3</v>
      </c>
      <c r="J11" s="82" t="s">
        <v>144</v>
      </c>
      <c r="K11" s="73"/>
      <c r="L11" s="73">
        <f t="shared" si="0"/>
        <v>122.73333333333335</v>
      </c>
      <c r="M11" s="73">
        <f t="shared" si="1"/>
        <v>146.10666666666663</v>
      </c>
      <c r="N11">
        <f t="shared" si="1"/>
        <v>40</v>
      </c>
      <c r="O11">
        <v>0</v>
      </c>
      <c r="P11">
        <v>0</v>
      </c>
      <c r="Q11">
        <v>0</v>
      </c>
      <c r="R11">
        <v>0</v>
      </c>
    </row>
    <row r="12" spans="1:23" x14ac:dyDescent="0.2">
      <c r="A12">
        <v>26</v>
      </c>
      <c r="B12" s="75" t="s">
        <v>135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64">
        <v>901.7</v>
      </c>
      <c r="J12" s="82" t="s">
        <v>143</v>
      </c>
      <c r="K12" s="73"/>
      <c r="L12" s="73">
        <f t="shared" si="0"/>
        <v>686.06666666666661</v>
      </c>
      <c r="M12" s="73">
        <f t="shared" si="1"/>
        <v>456.1733333333334</v>
      </c>
      <c r="N12">
        <f t="shared" si="1"/>
        <v>20</v>
      </c>
    </row>
    <row r="13" spans="1:23" x14ac:dyDescent="0.2">
      <c r="J13" s="35" t="s">
        <v>141</v>
      </c>
      <c r="L13" s="73">
        <f>12</f>
        <v>12</v>
      </c>
      <c r="M13" s="73">
        <f>12</f>
        <v>12</v>
      </c>
      <c r="N13">
        <f>4*N31</f>
        <v>8</v>
      </c>
    </row>
    <row r="15" spans="1:23" x14ac:dyDescent="0.2">
      <c r="J15" t="s">
        <v>138</v>
      </c>
    </row>
    <row r="17" spans="3:19" x14ac:dyDescent="0.2">
      <c r="D17" t="s">
        <v>121</v>
      </c>
      <c r="I17" s="79" t="s">
        <v>139</v>
      </c>
      <c r="J17" s="80">
        <f t="shared" ref="J17:K17" si="2">4*J37</f>
        <v>0</v>
      </c>
      <c r="K17" s="80">
        <f t="shared" si="2"/>
        <v>0</v>
      </c>
      <c r="L17" s="80">
        <f>4*L37</f>
        <v>834.93333333333328</v>
      </c>
      <c r="M17" s="80">
        <f t="shared" ref="M17:R17" si="3">4*M37</f>
        <v>689.10666666666668</v>
      </c>
      <c r="N17" s="80">
        <f t="shared" si="3"/>
        <v>188</v>
      </c>
      <c r="O17" s="80">
        <f t="shared" si="3"/>
        <v>40</v>
      </c>
      <c r="P17" s="80">
        <f t="shared" si="3"/>
        <v>40</v>
      </c>
      <c r="Q17" s="80">
        <f t="shared" si="3"/>
        <v>40</v>
      </c>
      <c r="R17" s="80">
        <f t="shared" si="3"/>
        <v>40</v>
      </c>
    </row>
    <row r="18" spans="3:19" x14ac:dyDescent="0.2">
      <c r="I18" s="79" t="s">
        <v>140</v>
      </c>
      <c r="J18" s="80">
        <f t="shared" ref="J18:K18" si="4">4*J38</f>
        <v>27.8</v>
      </c>
      <c r="K18" s="80">
        <f t="shared" si="4"/>
        <v>43.4</v>
      </c>
      <c r="L18" s="80">
        <f>4*L38</f>
        <v>277.60000000000002</v>
      </c>
      <c r="M18" s="80">
        <f t="shared" ref="M18:R18" si="5">4*M38</f>
        <v>355.15999999999997</v>
      </c>
      <c r="N18" s="80">
        <f t="shared" si="5"/>
        <v>104</v>
      </c>
      <c r="O18" s="80">
        <f t="shared" si="5"/>
        <v>100</v>
      </c>
      <c r="P18" s="80">
        <f t="shared" si="5"/>
        <v>96</v>
      </c>
      <c r="Q18" s="80">
        <f t="shared" si="5"/>
        <v>60</v>
      </c>
      <c r="R18" s="80">
        <f t="shared" si="5"/>
        <v>40</v>
      </c>
    </row>
    <row r="19" spans="3:19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19" ht="48" x14ac:dyDescent="0.2">
      <c r="C20" s="67"/>
      <c r="D20" s="67"/>
      <c r="E20" s="67"/>
      <c r="F20" s="68"/>
      <c r="G20" s="68"/>
      <c r="M20" s="81" t="s">
        <v>137</v>
      </c>
    </row>
    <row r="21" spans="3:19" x14ac:dyDescent="0.2">
      <c r="C21" s="69" t="s">
        <v>122</v>
      </c>
      <c r="D21" s="69"/>
      <c r="E21" s="69"/>
      <c r="F21" s="70"/>
      <c r="G21" s="67"/>
    </row>
    <row r="22" spans="3:19" x14ac:dyDescent="0.2">
      <c r="C22" s="69"/>
      <c r="D22" s="71" t="s">
        <v>123</v>
      </c>
      <c r="E22" s="69"/>
      <c r="F22" s="70">
        <v>285.56</v>
      </c>
      <c r="G22" s="70">
        <v>5</v>
      </c>
      <c r="H22">
        <v>0</v>
      </c>
    </row>
    <row r="23" spans="3:19" x14ac:dyDescent="0.2">
      <c r="C23" s="67"/>
      <c r="D23" s="69" t="s">
        <v>124</v>
      </c>
      <c r="E23" s="67"/>
      <c r="F23" s="70">
        <v>67.209999999999994</v>
      </c>
      <c r="G23" s="70">
        <v>13.68</v>
      </c>
      <c r="H23">
        <v>0</v>
      </c>
      <c r="J23" s="222" t="s">
        <v>109</v>
      </c>
      <c r="K23" s="222"/>
      <c r="L23" s="222"/>
      <c r="M23" s="222"/>
      <c r="N23" s="35" t="s">
        <v>149</v>
      </c>
      <c r="O23" s="35"/>
      <c r="P23" s="35"/>
      <c r="Q23" s="35"/>
    </row>
    <row r="24" spans="3:19" x14ac:dyDescent="0.2">
      <c r="C24" s="67"/>
      <c r="D24" s="69" t="s">
        <v>125</v>
      </c>
      <c r="E24" s="67"/>
      <c r="F24" s="70">
        <v>11.12</v>
      </c>
      <c r="G24" s="70">
        <v>47.8</v>
      </c>
      <c r="H24">
        <v>0</v>
      </c>
      <c r="J24" s="35" t="s">
        <v>136</v>
      </c>
      <c r="K24" s="35" t="s">
        <v>111</v>
      </c>
      <c r="L24" s="35" t="s">
        <v>112</v>
      </c>
      <c r="M24" s="35" t="s">
        <v>113</v>
      </c>
      <c r="N24" s="35" t="s">
        <v>136</v>
      </c>
      <c r="O24" s="35" t="s">
        <v>6</v>
      </c>
      <c r="P24" s="35" t="s">
        <v>7</v>
      </c>
      <c r="Q24" s="35" t="s">
        <v>8</v>
      </c>
      <c r="R24" s="35" t="s">
        <v>5</v>
      </c>
    </row>
    <row r="25" spans="3:19" x14ac:dyDescent="0.2">
      <c r="C25" s="67"/>
      <c r="D25" s="69" t="s">
        <v>59</v>
      </c>
      <c r="E25" s="67"/>
      <c r="F25" s="70">
        <v>6.2149999999999999</v>
      </c>
      <c r="G25" s="70">
        <v>5.0049999999999999</v>
      </c>
      <c r="H25">
        <v>0</v>
      </c>
      <c r="J25" s="35"/>
      <c r="K25" s="35"/>
      <c r="L25" s="35"/>
      <c r="M25" s="35"/>
      <c r="N25" s="35"/>
      <c r="O25" s="35"/>
      <c r="P25" s="35"/>
      <c r="Q25" s="35"/>
    </row>
    <row r="26" spans="3:19" x14ac:dyDescent="0.2">
      <c r="C26" s="67"/>
      <c r="D26" s="69"/>
      <c r="E26" s="67"/>
      <c r="F26" s="70" t="s">
        <v>98</v>
      </c>
      <c r="G26" s="70" t="s">
        <v>98</v>
      </c>
      <c r="J26" s="83">
        <f>J8/4</f>
        <v>6.95</v>
      </c>
      <c r="K26" s="83">
        <f>K8/4</f>
        <v>10.85</v>
      </c>
      <c r="L26" s="83">
        <f>L8/4</f>
        <v>278.13333333333333</v>
      </c>
      <c r="M26" s="83">
        <f>F29-L26-K26-J26</f>
        <v>261.06666666666666</v>
      </c>
      <c r="N26" s="84">
        <f>N33+N34</f>
        <v>57</v>
      </c>
      <c r="O26" s="84">
        <f>O33+O34</f>
        <v>51</v>
      </c>
      <c r="P26" s="84">
        <f>P33+P34</f>
        <v>37</v>
      </c>
      <c r="Q26" s="84">
        <f>Q33+Q34</f>
        <v>22</v>
      </c>
      <c r="R26" s="72">
        <v>20</v>
      </c>
      <c r="S26" s="72"/>
    </row>
    <row r="27" spans="3:19" x14ac:dyDescent="0.2">
      <c r="C27" s="67"/>
      <c r="D27" s="69"/>
      <c r="E27" s="67" t="s">
        <v>126</v>
      </c>
      <c r="F27" s="70">
        <v>370.10500000000002</v>
      </c>
      <c r="G27" s="70">
        <v>71.484999999999999</v>
      </c>
      <c r="H27">
        <v>0</v>
      </c>
      <c r="J27" s="83"/>
      <c r="K27" s="83"/>
      <c r="L27" s="83"/>
      <c r="M27" s="83"/>
      <c r="N27" s="84"/>
      <c r="O27" s="35"/>
      <c r="P27" s="35"/>
      <c r="Q27" s="35"/>
      <c r="R27" s="72"/>
    </row>
    <row r="28" spans="3:19" x14ac:dyDescent="0.2">
      <c r="I28" s="82" t="s">
        <v>145</v>
      </c>
      <c r="J28" s="83">
        <v>0</v>
      </c>
      <c r="K28" s="83">
        <f t="shared" ref="K28:L30" si="6">K10/4</f>
        <v>0</v>
      </c>
      <c r="L28" s="83">
        <f t="shared" si="6"/>
        <v>1.7666666666666668</v>
      </c>
      <c r="M28" s="83">
        <f>F24-L28</f>
        <v>9.3533333333333317</v>
      </c>
      <c r="N28" s="84">
        <v>15</v>
      </c>
      <c r="O28" s="35">
        <v>20</v>
      </c>
      <c r="P28" s="35">
        <v>13</v>
      </c>
      <c r="Q28" s="35">
        <v>0</v>
      </c>
      <c r="R28" s="72">
        <v>0</v>
      </c>
    </row>
    <row r="29" spans="3:19" x14ac:dyDescent="0.2">
      <c r="C29" t="s">
        <v>127</v>
      </c>
      <c r="F29">
        <f>557</f>
        <v>557</v>
      </c>
      <c r="G29">
        <v>166</v>
      </c>
      <c r="H29">
        <v>67</v>
      </c>
      <c r="I29" s="82" t="s">
        <v>144</v>
      </c>
      <c r="J29" s="83">
        <v>0</v>
      </c>
      <c r="K29" s="83">
        <f t="shared" si="6"/>
        <v>0</v>
      </c>
      <c r="L29" s="83">
        <f t="shared" si="6"/>
        <v>30.683333333333337</v>
      </c>
      <c r="M29" s="83">
        <f>F23-L29</f>
        <v>36.526666666666657</v>
      </c>
      <c r="N29" s="84">
        <v>10</v>
      </c>
      <c r="O29" s="35">
        <v>4</v>
      </c>
      <c r="P29" s="35">
        <v>0</v>
      </c>
      <c r="Q29" s="35">
        <v>0</v>
      </c>
      <c r="R29" s="72"/>
    </row>
    <row r="30" spans="3:19" x14ac:dyDescent="0.2">
      <c r="C30" t="s">
        <v>128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82" t="s">
        <v>143</v>
      </c>
      <c r="J30" s="83">
        <v>0</v>
      </c>
      <c r="K30" s="83">
        <f t="shared" si="6"/>
        <v>0</v>
      </c>
      <c r="L30" s="83">
        <f t="shared" si="6"/>
        <v>171.51666666666665</v>
      </c>
      <c r="M30" s="83">
        <f>F22-L30</f>
        <v>114.04333333333335</v>
      </c>
      <c r="N30" s="84">
        <v>5</v>
      </c>
      <c r="O30" s="84">
        <v>0</v>
      </c>
      <c r="P30" s="35">
        <v>0</v>
      </c>
      <c r="Q30" s="35">
        <v>0</v>
      </c>
      <c r="R30" s="72"/>
    </row>
    <row r="31" spans="3:19" x14ac:dyDescent="0.2">
      <c r="C31" t="s">
        <v>129</v>
      </c>
      <c r="F31" s="72">
        <f>F24</f>
        <v>11.12</v>
      </c>
      <c r="G31" s="72">
        <f>G24</f>
        <v>47.8</v>
      </c>
      <c r="H31">
        <f>24</f>
        <v>24</v>
      </c>
      <c r="I31" s="35" t="s">
        <v>141</v>
      </c>
      <c r="J31" s="35"/>
      <c r="K31" s="35"/>
      <c r="L31" s="83">
        <f>L13/4</f>
        <v>3</v>
      </c>
      <c r="M31" s="83">
        <f>M13/4</f>
        <v>3</v>
      </c>
      <c r="N31" s="84">
        <v>2</v>
      </c>
      <c r="O31" s="35">
        <v>2</v>
      </c>
      <c r="P31" s="35">
        <v>1</v>
      </c>
      <c r="Q31" s="35">
        <v>0</v>
      </c>
      <c r="R31" s="72"/>
    </row>
    <row r="32" spans="3:19" x14ac:dyDescent="0.2">
      <c r="C32" t="s">
        <v>130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M32" s="72"/>
    </row>
    <row r="33" spans="4:19" x14ac:dyDescent="0.2">
      <c r="I33" s="85" t="s">
        <v>146</v>
      </c>
      <c r="L33" s="72">
        <f t="shared" ref="L33:Q33" si="7">SUM(L28:L31)</f>
        <v>206.96666666666664</v>
      </c>
      <c r="M33" s="72">
        <f t="shared" si="7"/>
        <v>162.92333333333335</v>
      </c>
      <c r="N33" s="72">
        <f t="shared" si="7"/>
        <v>32</v>
      </c>
      <c r="O33" s="72">
        <f t="shared" si="7"/>
        <v>26</v>
      </c>
      <c r="P33" s="72">
        <f t="shared" si="7"/>
        <v>14</v>
      </c>
      <c r="Q33" s="72">
        <f t="shared" si="7"/>
        <v>0</v>
      </c>
      <c r="R33" s="72"/>
    </row>
    <row r="34" spans="4:19" x14ac:dyDescent="0.2">
      <c r="I34" t="s">
        <v>147</v>
      </c>
      <c r="J34" s="72">
        <f>J26-J33</f>
        <v>6.95</v>
      </c>
      <c r="K34" s="72">
        <f>K26-K33</f>
        <v>10.85</v>
      </c>
      <c r="L34" s="72">
        <f>L26-L33</f>
        <v>71.166666666666686</v>
      </c>
      <c r="M34" s="72">
        <f>M26-M33</f>
        <v>98.143333333333317</v>
      </c>
      <c r="N34" s="72">
        <v>25</v>
      </c>
      <c r="O34" s="72">
        <v>25</v>
      </c>
      <c r="P34" s="72">
        <v>23</v>
      </c>
      <c r="Q34" s="72">
        <v>22</v>
      </c>
      <c r="R34" s="72">
        <v>20</v>
      </c>
      <c r="S34" s="72"/>
    </row>
    <row r="35" spans="4:19" x14ac:dyDescent="0.2">
      <c r="M35" s="72">
        <f>SUM(J34:M34)</f>
        <v>187.11</v>
      </c>
      <c r="Q35" s="72"/>
    </row>
    <row r="37" spans="4:19" x14ac:dyDescent="0.2">
      <c r="D37" s="72"/>
      <c r="E37" s="72"/>
      <c r="I37" t="s">
        <v>148</v>
      </c>
      <c r="J37" s="72">
        <f>J33+J28</f>
        <v>0</v>
      </c>
      <c r="K37" s="72">
        <f t="shared" ref="K37:N37" si="8">K33+K28</f>
        <v>0</v>
      </c>
      <c r="L37" s="72">
        <f t="shared" si="8"/>
        <v>208.73333333333332</v>
      </c>
      <c r="M37" s="72">
        <f t="shared" si="8"/>
        <v>172.27666666666667</v>
      </c>
      <c r="N37" s="72">
        <f t="shared" si="8"/>
        <v>47</v>
      </c>
      <c r="O37" s="72">
        <v>10</v>
      </c>
      <c r="P37" s="72">
        <v>10</v>
      </c>
      <c r="Q37" s="72">
        <v>10</v>
      </c>
      <c r="R37" s="72">
        <v>10</v>
      </c>
    </row>
    <row r="38" spans="4:19" x14ac:dyDescent="0.2">
      <c r="I38" t="s">
        <v>130</v>
      </c>
      <c r="J38" s="72">
        <f>J26-J37</f>
        <v>6.95</v>
      </c>
      <c r="K38" s="72">
        <f t="shared" ref="K38:R38" si="9">K26-K37</f>
        <v>10.85</v>
      </c>
      <c r="L38" s="72">
        <f t="shared" si="9"/>
        <v>69.400000000000006</v>
      </c>
      <c r="M38" s="72">
        <f t="shared" si="9"/>
        <v>88.789999999999992</v>
      </c>
      <c r="N38" s="72">
        <v>26</v>
      </c>
      <c r="O38" s="72">
        <v>25</v>
      </c>
      <c r="P38" s="72">
        <v>24</v>
      </c>
      <c r="Q38" s="72">
        <v>15</v>
      </c>
      <c r="R38" s="72">
        <f t="shared" si="9"/>
        <v>10</v>
      </c>
    </row>
  </sheetData>
  <mergeCells count="8">
    <mergeCell ref="C6:I6"/>
    <mergeCell ref="J23:M23"/>
    <mergeCell ref="A2:I2"/>
    <mergeCell ref="A3:I3"/>
    <mergeCell ref="A4:I4"/>
    <mergeCell ref="C5:I5"/>
    <mergeCell ref="K5:M5"/>
    <mergeCell ref="J4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18" x14ac:dyDescent="0.2">
      <c r="A1" t="s">
        <v>86</v>
      </c>
    </row>
    <row r="2" spans="1:18" x14ac:dyDescent="0.2">
      <c r="A2" t="s">
        <v>87</v>
      </c>
    </row>
    <row r="4" spans="1:18" x14ac:dyDescent="0.2">
      <c r="A4" s="36" t="s">
        <v>95</v>
      </c>
      <c r="B4" s="36"/>
      <c r="C4" s="36"/>
      <c r="D4" s="36"/>
      <c r="E4" s="37" t="s">
        <v>36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37</v>
      </c>
      <c r="R4" s="18" t="s">
        <v>37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233" t="s">
        <v>88</v>
      </c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</row>
    <row r="7" spans="1:18" x14ac:dyDescent="0.2">
      <c r="A7" s="230" t="s">
        <v>89</v>
      </c>
      <c r="B7" s="230"/>
      <c r="C7" s="230"/>
      <c r="D7" s="230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230" t="s">
        <v>90</v>
      </c>
      <c r="C8" s="230"/>
      <c r="D8" s="230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230" t="s">
        <v>91</v>
      </c>
      <c r="C9" s="230"/>
      <c r="D9" s="230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230" t="s">
        <v>92</v>
      </c>
      <c r="C10" s="230"/>
      <c r="D10" s="230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230" t="s">
        <v>59</v>
      </c>
      <c r="C11" s="230"/>
      <c r="D11" s="230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41</v>
      </c>
      <c r="F12" s="43" t="s">
        <v>41</v>
      </c>
      <c r="G12" s="43" t="s">
        <v>41</v>
      </c>
      <c r="H12" s="43" t="s">
        <v>41</v>
      </c>
      <c r="I12" s="43" t="s">
        <v>41</v>
      </c>
      <c r="J12" s="43" t="s">
        <v>41</v>
      </c>
      <c r="K12" s="43" t="s">
        <v>41</v>
      </c>
      <c r="L12" s="43" t="s">
        <v>41</v>
      </c>
      <c r="M12" s="43" t="s">
        <v>41</v>
      </c>
      <c r="N12" s="43" t="s">
        <v>41</v>
      </c>
      <c r="O12" s="43" t="s">
        <v>41</v>
      </c>
      <c r="P12" s="43" t="s">
        <v>41</v>
      </c>
      <c r="Q12" s="43" t="s">
        <v>41</v>
      </c>
      <c r="R12" s="43" t="s">
        <v>41</v>
      </c>
    </row>
    <row r="13" spans="1:18" x14ac:dyDescent="0.2">
      <c r="A13" s="36"/>
      <c r="B13" s="36"/>
      <c r="C13" s="230" t="s">
        <v>35</v>
      </c>
      <c r="D13" s="230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93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94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104</v>
      </c>
    </row>
    <row r="19" spans="1:20" x14ac:dyDescent="0.2">
      <c r="A19" s="36"/>
      <c r="B19" s="230" t="s">
        <v>90</v>
      </c>
      <c r="C19" s="230"/>
      <c r="D19" s="230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230" t="s">
        <v>91</v>
      </c>
      <c r="C20" s="230"/>
      <c r="D20" s="230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230" t="s">
        <v>92</v>
      </c>
      <c r="C21" s="230"/>
      <c r="D21" s="230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230" t="s">
        <v>59</v>
      </c>
      <c r="C22" s="230"/>
      <c r="D22" s="230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41</v>
      </c>
      <c r="F23" s="43" t="s">
        <v>41</v>
      </c>
      <c r="G23" s="43" t="s">
        <v>41</v>
      </c>
      <c r="H23" s="43" t="s">
        <v>41</v>
      </c>
      <c r="I23" s="43" t="s">
        <v>41</v>
      </c>
      <c r="J23" s="43" t="s">
        <v>41</v>
      </c>
      <c r="K23" s="43" t="s">
        <v>41</v>
      </c>
      <c r="L23" s="43" t="s">
        <v>41</v>
      </c>
      <c r="M23" s="43" t="s">
        <v>41</v>
      </c>
      <c r="N23" s="43" t="s">
        <v>41</v>
      </c>
      <c r="O23" s="43" t="s">
        <v>41</v>
      </c>
      <c r="P23" s="43" t="s">
        <v>41</v>
      </c>
      <c r="Q23" s="43" t="s">
        <v>41</v>
      </c>
      <c r="R23" s="43" t="s">
        <v>41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231" t="s">
        <v>96</v>
      </c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  <c r="T27" s="231"/>
    </row>
    <row r="28" spans="1:20" x14ac:dyDescent="0.2">
      <c r="A28" s="24" t="s">
        <v>97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90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91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92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59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98</v>
      </c>
      <c r="G33" s="26" t="s">
        <v>98</v>
      </c>
      <c r="H33" s="26" t="s">
        <v>98</v>
      </c>
      <c r="I33" s="26" t="s">
        <v>98</v>
      </c>
      <c r="J33" s="26" t="s">
        <v>98</v>
      </c>
      <c r="K33" s="26" t="s">
        <v>98</v>
      </c>
      <c r="L33" s="26" t="s">
        <v>98</v>
      </c>
      <c r="M33" s="26" t="s">
        <v>98</v>
      </c>
      <c r="N33" s="26" t="s">
        <v>98</v>
      </c>
      <c r="O33" s="26" t="s">
        <v>98</v>
      </c>
      <c r="P33" s="26"/>
      <c r="Q33" s="26" t="s">
        <v>98</v>
      </c>
      <c r="R33" s="26" t="s">
        <v>98</v>
      </c>
    </row>
    <row r="34" spans="1:18" x14ac:dyDescent="0.2">
      <c r="A34" s="24"/>
      <c r="B34" s="10"/>
      <c r="C34" s="24"/>
      <c r="D34" s="24" t="s">
        <v>99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232" t="s">
        <v>100</v>
      </c>
      <c r="G37" s="232"/>
      <c r="H37" s="232"/>
      <c r="I37" s="232"/>
      <c r="J37" s="232"/>
      <c r="K37" s="232"/>
      <c r="L37" s="232"/>
      <c r="M37" s="232"/>
      <c r="N37" s="232"/>
      <c r="O37" s="232"/>
      <c r="P37" s="232"/>
      <c r="Q37" s="232"/>
      <c r="R37" s="232"/>
    </row>
    <row r="38" spans="1:18" ht="16" x14ac:dyDescent="0.2">
      <c r="A38" s="24" t="s">
        <v>101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90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92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91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59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98</v>
      </c>
      <c r="G43" s="26" t="s">
        <v>98</v>
      </c>
      <c r="H43" s="26" t="s">
        <v>98</v>
      </c>
      <c r="I43" s="26" t="s">
        <v>98</v>
      </c>
      <c r="J43" s="26" t="s">
        <v>98</v>
      </c>
      <c r="K43" s="26" t="s">
        <v>98</v>
      </c>
      <c r="L43" s="26" t="s">
        <v>98</v>
      </c>
      <c r="M43" s="26" t="s">
        <v>98</v>
      </c>
      <c r="N43" s="26" t="s">
        <v>98</v>
      </c>
      <c r="O43" s="26" t="s">
        <v>98</v>
      </c>
      <c r="P43" s="26" t="s">
        <v>98</v>
      </c>
      <c r="Q43" s="26" t="s">
        <v>98</v>
      </c>
      <c r="R43" s="26" t="s">
        <v>98</v>
      </c>
    </row>
    <row r="44" spans="1:18" x14ac:dyDescent="0.2">
      <c r="A44" s="24"/>
      <c r="B44" s="10"/>
      <c r="C44" s="24" t="s">
        <v>99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231" t="s">
        <v>102</v>
      </c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</row>
    <row r="49" spans="1:18" x14ac:dyDescent="0.2">
      <c r="A49" s="24" t="s">
        <v>97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90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92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91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59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98</v>
      </c>
      <c r="G54" s="26" t="s">
        <v>98</v>
      </c>
      <c r="H54" s="26" t="s">
        <v>98</v>
      </c>
      <c r="I54" s="26" t="s">
        <v>98</v>
      </c>
      <c r="J54" s="26" t="s">
        <v>98</v>
      </c>
      <c r="K54" s="26" t="s">
        <v>98</v>
      </c>
      <c r="L54" s="26" t="s">
        <v>98</v>
      </c>
      <c r="M54" s="26" t="s">
        <v>98</v>
      </c>
      <c r="N54" s="26" t="s">
        <v>98</v>
      </c>
      <c r="O54" s="26" t="s">
        <v>98</v>
      </c>
      <c r="P54" s="26" t="s">
        <v>98</v>
      </c>
      <c r="Q54" s="26" t="s">
        <v>98</v>
      </c>
      <c r="R54" s="26" t="s">
        <v>98</v>
      </c>
    </row>
    <row r="55" spans="1:18" x14ac:dyDescent="0.2">
      <c r="A55" s="10"/>
      <c r="B55" s="24"/>
      <c r="C55" s="10"/>
      <c r="D55" s="24" t="s">
        <v>99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37" activePane="bottomLeft" state="frozen"/>
      <selection activeCell="A6" sqref="A6"/>
      <selection pane="bottomLeft" activeCell="I48" sqref="I4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31</v>
      </c>
      <c r="B1" s="5"/>
      <c r="C1" s="5"/>
      <c r="D1" s="5"/>
      <c r="E1" s="5"/>
    </row>
    <row r="2" spans="1:19" s="6" customFormat="1" ht="15" customHeight="1" x14ac:dyDescent="0.15">
      <c r="A2" s="7" t="s">
        <v>32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212" t="s">
        <v>33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</row>
    <row r="6" spans="1:19" s="6" customFormat="1" ht="15" customHeight="1" x14ac:dyDescent="0.15">
      <c r="A6" s="214" t="s">
        <v>34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215" t="s">
        <v>35</v>
      </c>
      <c r="S8" s="216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36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37</v>
      </c>
      <c r="S9" s="18" t="s">
        <v>37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38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39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40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41</v>
      </c>
      <c r="G14" s="26" t="s">
        <v>41</v>
      </c>
      <c r="H14" s="26" t="s">
        <v>41</v>
      </c>
      <c r="I14" s="26" t="s">
        <v>41</v>
      </c>
      <c r="J14" s="26" t="s">
        <v>41</v>
      </c>
      <c r="K14" s="26" t="s">
        <v>41</v>
      </c>
      <c r="L14" s="26" t="s">
        <v>41</v>
      </c>
      <c r="M14" s="26" t="s">
        <v>41</v>
      </c>
      <c r="N14" s="26" t="s">
        <v>41</v>
      </c>
      <c r="O14" s="26" t="s">
        <v>41</v>
      </c>
      <c r="P14" s="26" t="s">
        <v>41</v>
      </c>
      <c r="Q14" s="26" t="s">
        <v>41</v>
      </c>
      <c r="R14" s="26" t="s">
        <v>41</v>
      </c>
      <c r="S14" s="26" t="s">
        <v>42</v>
      </c>
    </row>
    <row r="15" spans="1:19" s="6" customFormat="1" ht="16.5" customHeight="1" x14ac:dyDescent="0.15">
      <c r="A15" s="10"/>
      <c r="B15" s="10"/>
      <c r="C15" s="10"/>
      <c r="D15" s="10" t="s">
        <v>43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44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45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46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47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41</v>
      </c>
      <c r="G22" s="26" t="s">
        <v>41</v>
      </c>
      <c r="H22" s="26" t="s">
        <v>41</v>
      </c>
      <c r="I22" s="26" t="s">
        <v>41</v>
      </c>
      <c r="J22" s="26" t="s">
        <v>41</v>
      </c>
      <c r="K22" s="26" t="s">
        <v>41</v>
      </c>
      <c r="L22" s="26" t="s">
        <v>41</v>
      </c>
      <c r="M22" s="26" t="s">
        <v>41</v>
      </c>
      <c r="N22" s="26" t="s">
        <v>41</v>
      </c>
      <c r="O22" s="26" t="s">
        <v>41</v>
      </c>
      <c r="P22" s="26" t="s">
        <v>41</v>
      </c>
      <c r="Q22" s="26" t="s">
        <v>41</v>
      </c>
      <c r="R22" s="26" t="s">
        <v>41</v>
      </c>
      <c r="S22" s="26" t="s">
        <v>42</v>
      </c>
    </row>
    <row r="23" spans="1:20" s="6" customFormat="1" ht="15" customHeight="1" x14ac:dyDescent="0.15">
      <c r="A23" s="10"/>
      <c r="B23" s="10"/>
      <c r="C23" s="10"/>
      <c r="D23" s="10" t="s">
        <v>48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49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50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51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52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53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54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55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41</v>
      </c>
      <c r="G32" s="26" t="s">
        <v>41</v>
      </c>
      <c r="H32" s="26" t="s">
        <v>41</v>
      </c>
      <c r="I32" s="26" t="s">
        <v>41</v>
      </c>
      <c r="J32" s="26" t="s">
        <v>41</v>
      </c>
      <c r="K32" s="26" t="s">
        <v>41</v>
      </c>
      <c r="L32" s="26" t="s">
        <v>41</v>
      </c>
      <c r="M32" s="26" t="s">
        <v>41</v>
      </c>
      <c r="N32" s="26" t="s">
        <v>41</v>
      </c>
      <c r="O32" s="26" t="s">
        <v>41</v>
      </c>
      <c r="P32" s="26" t="s">
        <v>41</v>
      </c>
      <c r="Q32" s="26" t="s">
        <v>41</v>
      </c>
      <c r="R32" s="26" t="s">
        <v>41</v>
      </c>
      <c r="S32" s="26" t="s">
        <v>42</v>
      </c>
    </row>
    <row r="33" spans="1:24" s="6" customFormat="1" ht="15" customHeight="1" x14ac:dyDescent="0.15">
      <c r="A33" s="10"/>
      <c r="B33" s="10"/>
      <c r="C33" s="10"/>
      <c r="D33" s="10" t="s">
        <v>43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56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153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57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154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58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59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155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41</v>
      </c>
      <c r="G39" s="26" t="s">
        <v>41</v>
      </c>
      <c r="H39" s="26" t="s">
        <v>41</v>
      </c>
      <c r="I39" s="26" t="s">
        <v>41</v>
      </c>
      <c r="J39" s="26" t="s">
        <v>41</v>
      </c>
      <c r="K39" s="26" t="s">
        <v>41</v>
      </c>
      <c r="L39" s="26" t="s">
        <v>41</v>
      </c>
      <c r="M39" s="26" t="s">
        <v>41</v>
      </c>
      <c r="N39" s="26" t="s">
        <v>41</v>
      </c>
      <c r="O39" s="26" t="s">
        <v>41</v>
      </c>
      <c r="P39" s="26" t="s">
        <v>41</v>
      </c>
      <c r="Q39" s="26" t="s">
        <v>41</v>
      </c>
      <c r="R39" s="26" t="s">
        <v>41</v>
      </c>
      <c r="S39" s="26" t="s">
        <v>42</v>
      </c>
    </row>
    <row r="40" spans="1:24" s="6" customFormat="1" ht="15" customHeight="1" x14ac:dyDescent="0.15">
      <c r="A40" s="10"/>
      <c r="B40" s="10"/>
      <c r="C40" s="10"/>
      <c r="D40" s="10" t="s">
        <v>43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156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157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60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158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61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59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41</v>
      </c>
      <c r="G45" s="26" t="s">
        <v>41</v>
      </c>
      <c r="H45" s="26" t="s">
        <v>41</v>
      </c>
      <c r="I45" s="26" t="s">
        <v>41</v>
      </c>
      <c r="J45" s="26" t="s">
        <v>41</v>
      </c>
      <c r="K45" s="26" t="s">
        <v>41</v>
      </c>
      <c r="L45" s="26" t="s">
        <v>41</v>
      </c>
      <c r="M45" s="26" t="s">
        <v>41</v>
      </c>
      <c r="N45" s="26" t="s">
        <v>41</v>
      </c>
      <c r="O45" s="26" t="s">
        <v>41</v>
      </c>
      <c r="P45" s="26" t="s">
        <v>41</v>
      </c>
      <c r="Q45" s="26" t="s">
        <v>41</v>
      </c>
      <c r="R45" s="26" t="s">
        <v>41</v>
      </c>
      <c r="S45" s="26" t="s">
        <v>42</v>
      </c>
    </row>
    <row r="46" spans="1:24" s="6" customFormat="1" ht="15" customHeight="1" x14ac:dyDescent="0.15">
      <c r="A46" s="10"/>
      <c r="B46" s="10"/>
      <c r="C46" s="10"/>
      <c r="D46" s="10" t="s">
        <v>43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151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159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160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62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63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64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65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66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67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68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69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59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41</v>
      </c>
      <c r="G61" s="26" t="s">
        <v>41</v>
      </c>
      <c r="H61" s="26" t="s">
        <v>41</v>
      </c>
      <c r="I61" s="26" t="s">
        <v>41</v>
      </c>
      <c r="J61" s="26" t="s">
        <v>41</v>
      </c>
      <c r="K61" s="26" t="s">
        <v>41</v>
      </c>
      <c r="L61" s="26" t="s">
        <v>41</v>
      </c>
      <c r="M61" s="26" t="s">
        <v>41</v>
      </c>
      <c r="N61" s="26" t="s">
        <v>41</v>
      </c>
      <c r="O61" s="26" t="s">
        <v>41</v>
      </c>
      <c r="P61" s="26" t="s">
        <v>41</v>
      </c>
      <c r="Q61" s="26" t="s">
        <v>41</v>
      </c>
      <c r="R61" s="26" t="s">
        <v>41</v>
      </c>
      <c r="S61" s="26" t="s">
        <v>42</v>
      </c>
    </row>
    <row r="62" spans="1:19" s="6" customFormat="1" ht="15" customHeight="1" x14ac:dyDescent="0.15">
      <c r="A62" s="10"/>
      <c r="B62" s="10"/>
      <c r="C62" s="10"/>
      <c r="D62" s="10" t="s">
        <v>43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70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71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72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73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74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75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76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77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38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41</v>
      </c>
      <c r="G74" s="26" t="s">
        <v>41</v>
      </c>
      <c r="H74" s="26" t="s">
        <v>41</v>
      </c>
      <c r="I74" s="26" t="s">
        <v>41</v>
      </c>
      <c r="J74" s="26" t="s">
        <v>41</v>
      </c>
      <c r="K74" s="26" t="s">
        <v>41</v>
      </c>
      <c r="L74" s="26" t="s">
        <v>41</v>
      </c>
      <c r="M74" s="26" t="s">
        <v>41</v>
      </c>
      <c r="N74" s="26" t="s">
        <v>41</v>
      </c>
      <c r="O74" s="26" t="s">
        <v>41</v>
      </c>
      <c r="P74" s="26" t="s">
        <v>41</v>
      </c>
      <c r="Q74" s="26" t="s">
        <v>41</v>
      </c>
      <c r="R74" s="26" t="s">
        <v>41</v>
      </c>
      <c r="S74" s="26" t="s">
        <v>42</v>
      </c>
    </row>
    <row r="75" spans="1:19" s="6" customFormat="1" ht="15" customHeight="1" x14ac:dyDescent="0.15">
      <c r="A75" s="10"/>
      <c r="B75" s="10"/>
      <c r="C75" s="10"/>
      <c r="D75" s="234" t="s">
        <v>43</v>
      </c>
      <c r="E75" s="235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78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67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68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59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41</v>
      </c>
      <c r="G81" s="26" t="s">
        <v>41</v>
      </c>
      <c r="H81" s="26" t="s">
        <v>41</v>
      </c>
      <c r="I81" s="26" t="s">
        <v>41</v>
      </c>
      <c r="J81" s="26" t="s">
        <v>41</v>
      </c>
      <c r="K81" s="26" t="s">
        <v>41</v>
      </c>
      <c r="L81" s="26" t="s">
        <v>41</v>
      </c>
      <c r="M81" s="26" t="s">
        <v>41</v>
      </c>
      <c r="N81" s="26" t="s">
        <v>41</v>
      </c>
      <c r="O81" s="26" t="s">
        <v>41</v>
      </c>
      <c r="P81" s="26" t="s">
        <v>41</v>
      </c>
      <c r="Q81" s="26" t="s">
        <v>41</v>
      </c>
      <c r="R81" s="26" t="s">
        <v>41</v>
      </c>
      <c r="S81" s="26" t="s">
        <v>42</v>
      </c>
    </row>
    <row r="82" spans="1:20" s="6" customFormat="1" ht="15" customHeight="1" x14ac:dyDescent="0.15">
      <c r="A82" s="10"/>
      <c r="B82" s="28"/>
      <c r="C82" s="10"/>
      <c r="D82" s="28" t="s">
        <v>43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79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80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81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82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83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84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cac5d118-ba7b-4807-b700-df6f95cfff50"/>
    <ds:schemaRef ds:uri="http://purl.org/dc/elements/1.1/"/>
    <ds:schemaRef ds:uri="http://purl.org/dc/terms/"/>
    <ds:schemaRef ds:uri="http://schemas.openxmlformats.org/package/2006/metadata/core-properties"/>
    <ds:schemaRef ds:uri="66951ee6-cd93-49c7-9437-e871b2a117d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add-ons calculations</vt:lpstr>
      <vt:lpstr>FIM Add Factors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2020-10-14T04:44:10Z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