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682E4341-5469-43A3-9BCC-D702000B5D4F}" xr6:coauthVersionLast="44" xr6:coauthVersionMax="46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2" i="1" l="1"/>
  <c r="L73" i="1"/>
  <c r="M72" i="1" l="1"/>
  <c r="L69" i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O8" i="9"/>
  <c r="O7" i="9"/>
  <c r="O6" i="9"/>
  <c r="O5" i="9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P63" i="1"/>
  <c r="O63" i="1"/>
  <c r="Q92" i="1"/>
  <c r="Z80" i="1"/>
  <c r="X79" i="1"/>
  <c r="V81" i="1"/>
  <c r="Y79" i="1"/>
  <c r="W81" i="1"/>
  <c r="Z79" i="1"/>
  <c r="X81" i="1"/>
  <c r="Y80" i="1"/>
  <c r="O80" i="1"/>
  <c r="Y81" i="1"/>
  <c r="R90" i="1"/>
  <c r="O65" i="1"/>
  <c r="P80" i="1"/>
  <c r="Z81" i="1"/>
  <c r="P65" i="1"/>
  <c r="Q80" i="1"/>
  <c r="Q65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4" i="1"/>
  <c r="U66" i="1"/>
  <c r="Q64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71" i="5" s="1"/>
  <c r="H47" i="5"/>
  <c r="H50" i="5" s="1"/>
  <c r="I68" i="5" l="1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<sst xmlns="http://schemas.openxmlformats.org/spreadsheetml/2006/main" count="1016" uniqueCount="383">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</sst>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134" zoomScaleNormal="110" workbookViewId="0">
      <pane xSplit="2" ySplit="3" topLeftCell="K76" activePane="bottomRight" state="frozen"/>
      <selection pane="topRight" activeCell="C1" sqref="C1"/>
      <selection pane="bottomLeft" activeCell="A4" sqref="A4"/>
      <selection pane="bottomRight" activeCell="L81" sqref="L81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371</v>
      </c>
      <c r="B1" s="341"/>
      <c r="C1" s="268"/>
      <c r="D1" s="268"/>
      <c r="E1" s="35"/>
      <c r="N1" t="s">
        <v>373</v>
      </c>
      <c r="AC1" s="347" t="s">
        <v>247</v>
      </c>
      <c r="AD1" s="347"/>
      <c r="AE1" s="345" t="s">
        <v>245</v>
      </c>
      <c r="AF1" s="346"/>
      <c r="AG1" t="s">
        <v>28</v>
      </c>
      <c r="AI1" s="343" t="s">
        <v>278</v>
      </c>
      <c r="AJ1" s="343"/>
      <c r="AK1" s="343"/>
      <c r="AL1" s="343"/>
      <c r="AM1" s="342" t="s">
        <v>276</v>
      </c>
      <c r="AN1" s="342"/>
      <c r="AO1" s="342"/>
      <c r="AP1" s="342"/>
    </row>
    <row r="2" spans="1:43" ht="23" customHeight="1" x14ac:dyDescent="0.35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265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8.5" x14ac:dyDescent="0.45">
      <c r="A4" s="339" t="s">
        <v>261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259</v>
      </c>
      <c r="B5" t="s">
        <v>280</v>
      </c>
      <c r="C5" s="35" t="s">
        <v>291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260</v>
      </c>
      <c r="B7" t="s">
        <v>280</v>
      </c>
      <c r="C7" s="35" t="s">
        <v>292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280</v>
      </c>
      <c r="C12" t="s">
        <v>293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376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372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280</v>
      </c>
      <c r="C15" t="s">
        <v>294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376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280</v>
      </c>
      <c r="C18" t="s">
        <v>295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376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280</v>
      </c>
      <c r="C21" t="s">
        <v>296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376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297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298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299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300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280</v>
      </c>
      <c r="C34" t="s">
        <v>301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280</v>
      </c>
      <c r="C35" t="s">
        <v>302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338</v>
      </c>
      <c r="B36" t="s">
        <v>280</v>
      </c>
      <c r="C36" t="s">
        <v>303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339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346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350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332</v>
      </c>
      <c r="B41" t="s">
        <v>280</v>
      </c>
      <c r="C41" t="s">
        <v>304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211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344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280</v>
      </c>
      <c r="C48" s="107" t="s">
        <v>305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382</v>
      </c>
      <c r="B49" s="107" t="s">
        <v>280</v>
      </c>
      <c r="C49" s="107" t="s">
        <v>306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214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268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280</v>
      </c>
      <c r="C54" t="s">
        <v>307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794083.58333333337</v>
      </c>
      <c r="P54" s="144">
        <f t="shared" si="39"/>
        <v>794083.58333333337</v>
      </c>
      <c r="Q54" s="144">
        <f t="shared" si="39"/>
        <v>144083.58333333331</v>
      </c>
      <c r="R54" s="144">
        <f t="shared" si="39"/>
        <v>122750.25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719253.33333333337</v>
      </c>
      <c r="P55" s="116">
        <f t="shared" ref="P55:V55" si="41">P57+P58+SUM(P63:P66)</f>
        <v>719253.33333333337</v>
      </c>
      <c r="Q55" s="116">
        <f t="shared" si="41"/>
        <v>69253.333333333328</v>
      </c>
      <c r="R55" s="116">
        <f t="shared" si="41"/>
        <v>47920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336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334</v>
      </c>
      <c r="C57" t="s">
        <v>308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271</v>
      </c>
      <c r="C58" t="s">
        <v>333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281</v>
      </c>
      <c r="B59" s="185" t="s">
        <v>280</v>
      </c>
      <c r="C59" t="s">
        <v>309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282</v>
      </c>
      <c r="B60" s="185" t="s">
        <v>280</v>
      </c>
      <c r="C60" t="s">
        <v>310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283</v>
      </c>
      <c r="B61" s="185" t="s">
        <v>280</v>
      </c>
      <c r="C61" t="s">
        <v>311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337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335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x14ac:dyDescent="0.35">
      <c r="A64" s="273" t="s">
        <v>348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351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280</v>
      </c>
      <c r="C68" t="s">
        <v>312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562900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227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228</v>
      </c>
      <c r="F71" s="197"/>
      <c r="G71" s="197"/>
      <c r="H71" s="197"/>
      <c r="I71" s="202"/>
      <c r="J71" s="202"/>
      <c r="K71" s="202"/>
      <c r="L71" s="202">
        <f>L70-L72</f>
        <v>230950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280</v>
      </c>
      <c r="C72" t="s">
        <v>313</v>
      </c>
      <c r="D72"/>
      <c r="F72" s="204"/>
      <c r="G72" s="204"/>
      <c r="H72" s="204"/>
      <c r="I72" s="205"/>
      <c r="J72" s="205"/>
      <c r="K72" s="205"/>
      <c r="L72" s="205">
        <f>597.9*1000 +L77+L76</f>
        <v>653300</v>
      </c>
      <c r="M72" s="205">
        <f>M75+M76+M77</f>
        <v>87800</v>
      </c>
      <c r="N72" s="205">
        <f>VLOOKUP($C$72,'Haver NA'!$A$1:$J$34,10,0)</f>
        <v>29000</v>
      </c>
      <c r="O72" s="139"/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x14ac:dyDescent="0.35">
      <c r="A73" s="134" t="s">
        <v>209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87200</v>
      </c>
      <c r="O73" s="116">
        <f t="shared" ref="O73:Z73" si="44">O74+O78</f>
        <v>159900</v>
      </c>
      <c r="P73" s="116">
        <f t="shared" si="44"/>
        <v>121000</v>
      </c>
      <c r="Q73" s="116">
        <f t="shared" si="44"/>
        <v>121000</v>
      </c>
      <c r="R73" s="116">
        <f t="shared" si="44"/>
        <v>115000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59000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340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100900</v>
      </c>
      <c r="P74" s="116">
        <f t="shared" si="45"/>
        <v>62000</v>
      </c>
      <c r="Q74" s="116">
        <f t="shared" si="45"/>
        <v>62000</v>
      </c>
      <c r="R74" s="116">
        <f t="shared" si="45"/>
        <v>56000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280</v>
      </c>
      <c r="C75" s="35" t="s">
        <v>377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60000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381</v>
      </c>
      <c r="B76" s="107" t="s">
        <v>280</v>
      </c>
      <c r="C76" s="107" t="s">
        <v>378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28900</v>
      </c>
      <c r="P76" s="337">
        <v>0</v>
      </c>
      <c r="Q76" s="337">
        <v>0</v>
      </c>
      <c r="R76" s="337">
        <v>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280</v>
      </c>
      <c r="C77" s="107" t="s">
        <v>379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12000</v>
      </c>
      <c r="O77" s="337">
        <v>12000</v>
      </c>
      <c r="P77" s="337">
        <v>12000</v>
      </c>
      <c r="Q77" s="337">
        <v>12000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341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59000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342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343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</f>
        <v>27333.333333333332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347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216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321350</v>
      </c>
      <c r="M83" s="206">
        <f t="shared" si="47"/>
        <v>291400</v>
      </c>
      <c r="N83" s="308">
        <f t="shared" si="47"/>
        <v>284151</v>
      </c>
      <c r="O83" s="144">
        <f t="shared" si="47"/>
        <v>357638.804</v>
      </c>
      <c r="P83" s="144">
        <f t="shared" si="47"/>
        <v>319529.75921599998</v>
      </c>
      <c r="Q83" s="144">
        <f t="shared" si="47"/>
        <v>320323.878252864</v>
      </c>
      <c r="R83" s="144">
        <f t="shared" si="47"/>
        <v>315121.17376587546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263972.36794275837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280</v>
      </c>
      <c r="C85" t="s">
        <v>314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280</v>
      </c>
      <c r="C86" t="s">
        <v>315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380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356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280</v>
      </c>
      <c r="C93" t="s">
        <v>316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213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280</v>
      </c>
      <c r="C97" t="s">
        <v>317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229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226</v>
      </c>
      <c r="B100" s="35" t="s">
        <v>280</v>
      </c>
      <c r="C100" t="s">
        <v>318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268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221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280</v>
      </c>
      <c r="C103" t="s">
        <v>319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284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285</v>
      </c>
      <c r="B105" s="35" t="s">
        <v>280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215</v>
      </c>
      <c r="B106" s="35" t="s">
        <v>280</v>
      </c>
      <c r="C106" t="s">
        <v>320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284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285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372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212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230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355</v>
      </c>
      <c r="B1" s="97" t="s">
        <v>357</v>
      </c>
      <c r="C1" s="97" t="s">
        <v>358</v>
      </c>
    </row>
    <row r="2" spans="1:3" x14ac:dyDescent="0.35">
      <c r="A2" s="289" t="s">
        <v>360</v>
      </c>
      <c r="B2" s="289">
        <v>325</v>
      </c>
      <c r="C2" s="290">
        <f>B2*1000</f>
        <v>325000</v>
      </c>
    </row>
    <row r="3" spans="1:3" x14ac:dyDescent="0.35">
      <c r="A3" s="289" t="s">
        <v>361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362</v>
      </c>
      <c r="B6" s="289">
        <v>63</v>
      </c>
      <c r="C6" s="290">
        <f t="shared" si="0"/>
        <v>63000</v>
      </c>
    </row>
    <row r="7" spans="1:3" x14ac:dyDescent="0.35">
      <c r="A7" s="291" t="s">
        <v>352</v>
      </c>
      <c r="B7">
        <v>22</v>
      </c>
      <c r="C7" s="290">
        <f>B7*1000</f>
        <v>22000</v>
      </c>
    </row>
    <row r="8" spans="1:3" x14ac:dyDescent="0.35">
      <c r="A8" s="176" t="s">
        <v>353</v>
      </c>
      <c r="B8">
        <v>20</v>
      </c>
      <c r="C8" s="290">
        <f>B8*1000</f>
        <v>20000</v>
      </c>
    </row>
    <row r="9" spans="1:3" x14ac:dyDescent="0.35">
      <c r="A9" s="176" t="s">
        <v>354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363</v>
      </c>
      <c r="B11" s="289">
        <v>45</v>
      </c>
      <c r="C11" s="290">
        <f t="shared" si="0"/>
        <v>45000</v>
      </c>
    </row>
    <row r="12" spans="1:3" x14ac:dyDescent="0.35">
      <c r="A12" s="291" t="s">
        <v>364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365</v>
      </c>
      <c r="B14" s="289">
        <v>80</v>
      </c>
      <c r="C14" s="290">
        <f t="shared" si="0"/>
        <v>80000</v>
      </c>
    </row>
    <row r="15" spans="1:3" x14ac:dyDescent="0.35">
      <c r="A15" s="291" t="s">
        <v>346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366</v>
      </c>
      <c r="B17">
        <v>30</v>
      </c>
      <c r="C17" s="290">
        <f t="shared" si="0"/>
        <v>30000</v>
      </c>
    </row>
    <row r="18" spans="1:3" x14ac:dyDescent="0.35">
      <c r="A18" s="291" t="s">
        <v>367</v>
      </c>
      <c r="B18">
        <v>20</v>
      </c>
      <c r="C18" s="290">
        <f t="shared" si="0"/>
        <v>20000</v>
      </c>
    </row>
    <row r="19" spans="1:3" x14ac:dyDescent="0.35">
      <c r="A19" s="291" t="s">
        <v>368</v>
      </c>
      <c r="B19">
        <v>5</v>
      </c>
      <c r="C19" s="290">
        <f t="shared" si="0"/>
        <v>5000</v>
      </c>
    </row>
    <row r="20" spans="1:3" ht="15" thickBot="1" x14ac:dyDescent="0.4">
      <c r="A20" s="293" t="s">
        <v>369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G21" activePane="bottomRight" state="frozen"/>
      <selection pane="topRight" activeCell="C1" sqref="C1"/>
      <selection pane="bottomLeft" activeCell="A9" sqref="A9"/>
      <selection pane="bottomRight" activeCell="H57" sqref="H57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50" ht="18.5" x14ac:dyDescent="0.45">
      <c r="A1" s="348" t="s">
        <v>206</v>
      </c>
      <c r="B1" s="349"/>
      <c r="C1" s="35"/>
      <c r="H1"/>
      <c r="I1" s="240"/>
      <c r="J1" s="356" t="s">
        <v>279</v>
      </c>
      <c r="V1" s="340"/>
      <c r="W1" s="340"/>
      <c r="X1" s="340"/>
      <c r="Y1" s="340"/>
    </row>
    <row r="2" spans="1:50" x14ac:dyDescent="0.35">
      <c r="A2" s="350" t="s">
        <v>191</v>
      </c>
      <c r="B2" s="126"/>
      <c r="C2" t="s">
        <v>192</v>
      </c>
      <c r="I2" s="241"/>
      <c r="J2" s="356"/>
    </row>
    <row r="3" spans="1:50" x14ac:dyDescent="0.35">
      <c r="A3" s="351"/>
      <c r="B3" s="127"/>
      <c r="C3" t="s">
        <v>193</v>
      </c>
      <c r="I3" s="241"/>
      <c r="J3" s="356"/>
    </row>
    <row r="4" spans="1:50" x14ac:dyDescent="0.35">
      <c r="A4" s="351"/>
      <c r="B4" s="128"/>
      <c r="C4" t="s">
        <v>194</v>
      </c>
    </row>
    <row r="5" spans="1:50" x14ac:dyDescent="0.35">
      <c r="A5" s="352"/>
      <c r="B5" s="129"/>
      <c r="C5" t="s">
        <v>181</v>
      </c>
    </row>
    <row r="7" spans="1:50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269</v>
      </c>
      <c r="P7" s="354"/>
      <c r="Q7" s="354"/>
      <c r="R7" s="354"/>
      <c r="S7" s="353" t="s">
        <v>273</v>
      </c>
      <c r="T7" s="354"/>
      <c r="U7" s="354"/>
      <c r="V7" s="354"/>
      <c r="W7" s="353" t="s">
        <v>274</v>
      </c>
      <c r="X7" s="354"/>
      <c r="Y7" s="354"/>
      <c r="Z7" s="354"/>
      <c r="AA7" s="222" t="s">
        <v>275</v>
      </c>
    </row>
    <row r="8" spans="1:50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x14ac:dyDescent="0.35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  <c r="AX10">
        <v>252.91473350729501</v>
      </c>
    </row>
    <row r="11" spans="1:50" x14ac:dyDescent="0.35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201.69787045292151</v>
      </c>
      <c r="I11">
        <v>188.86729215584299</v>
      </c>
      <c r="J11">
        <v>193.24899108297839</v>
      </c>
      <c r="K11">
        <v>199.97623704208269</v>
      </c>
      <c r="L11">
        <v>205.88603266163159</v>
      </c>
      <c r="M11">
        <v>212.3326953411578</v>
      </c>
      <c r="N11">
        <v>229.53998058883141</v>
      </c>
      <c r="O11">
        <v>247.744304662177</v>
      </c>
      <c r="P11">
        <v>267.06071050261841</v>
      </c>
      <c r="Q11">
        <v>286.79894046161343</v>
      </c>
      <c r="R11">
        <v>294.89122979125102</v>
      </c>
      <c r="S11">
        <v>303.40534323944189</v>
      </c>
      <c r="T11">
        <v>312.30293315904561</v>
      </c>
      <c r="U11">
        <v>320.66365601867182</v>
      </c>
      <c r="V11">
        <v>321.93933937542943</v>
      </c>
      <c r="W11">
        <v>323.17667508504508</v>
      </c>
      <c r="X11">
        <v>324.3756631475203</v>
      </c>
      <c r="Y11">
        <v>325.57465120999512</v>
      </c>
      <c r="Z11">
        <v>326.81776402783669</v>
      </c>
      <c r="AA11">
        <v>328.06087684567802</v>
      </c>
      <c r="AB11">
        <v>329.34233731066053</v>
      </c>
      <c r="AC11">
        <v>330.62379777564308</v>
      </c>
      <c r="AD11">
        <v>330.39034332990889</v>
      </c>
      <c r="AE11">
        <v>330.15688888417498</v>
      </c>
      <c r="AF11">
        <v>329.96178208558229</v>
      </c>
      <c r="AG11">
        <v>329.80502293413088</v>
      </c>
      <c r="AH11">
        <v>329.54969477270748</v>
      </c>
      <c r="AI11">
        <v>329.2943666112842</v>
      </c>
      <c r="AJ11">
        <v>329.07738609700209</v>
      </c>
      <c r="AK11">
        <v>328.86040558272009</v>
      </c>
      <c r="AL11">
        <v>328.27361872844011</v>
      </c>
      <c r="AM11">
        <v>327.68683187415991</v>
      </c>
      <c r="AN11">
        <v>327.1000450198793</v>
      </c>
      <c r="AO11">
        <v>326.551605812741</v>
      </c>
      <c r="AP11">
        <v>325.38205024445301</v>
      </c>
      <c r="AQ11">
        <v>324.25084232330607</v>
      </c>
      <c r="AR11">
        <v>323.19632969644169</v>
      </c>
      <c r="AS11">
        <v>322.21851236385947</v>
      </c>
      <c r="AT11">
        <v>320.79501015719001</v>
      </c>
      <c r="AU11">
        <v>319.44820324480298</v>
      </c>
      <c r="AV11">
        <v>318.21643927383991</v>
      </c>
      <c r="AW11">
        <v>317.02302295001772</v>
      </c>
      <c r="AX11">
        <v>317.02302295001772</v>
      </c>
    </row>
    <row r="12" spans="1:50" x14ac:dyDescent="0.35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  <c r="AX12">
        <v>2992.3742436238322</v>
      </c>
    </row>
    <row r="13" spans="1:50" x14ac:dyDescent="0.35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  <c r="AX13">
        <v>146.53969767835659</v>
      </c>
    </row>
    <row r="14" spans="1:50" x14ac:dyDescent="0.35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  <c r="AX14">
        <v>2601.1687992696211</v>
      </c>
    </row>
    <row r="15" spans="1:50" x14ac:dyDescent="0.35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  <c r="AX15">
        <v>1835.4218257479581</v>
      </c>
    </row>
    <row r="16" spans="1:50" x14ac:dyDescent="0.35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  <c r="AX16">
        <v>485.09176733597252</v>
      </c>
    </row>
    <row r="17" spans="1:50" x14ac:dyDescent="0.35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  <c r="AX17">
        <v>317.95738112604761</v>
      </c>
    </row>
    <row r="19" spans="1:50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219.23868038063489</v>
      </c>
      <c r="O21" s="149">
        <f t="shared" ref="O21:AA21" si="0">N21*(1+O23)</f>
        <v>216.83787259555652</v>
      </c>
      <c r="P21" s="104">
        <f t="shared" si="0"/>
        <v>214.43706481047812</v>
      </c>
      <c r="Q21" s="104">
        <f t="shared" si="0"/>
        <v>212.03625702539975</v>
      </c>
      <c r="R21" s="104">
        <f t="shared" si="0"/>
        <v>213.29027683898224</v>
      </c>
      <c r="S21" s="149">
        <f t="shared" si="0"/>
        <v>214.54429665256438</v>
      </c>
      <c r="T21" s="104">
        <f t="shared" si="0"/>
        <v>215.79831646614656</v>
      </c>
      <c r="U21" s="104">
        <f t="shared" si="0"/>
        <v>217.05233627972888</v>
      </c>
      <c r="V21" s="104">
        <f t="shared" si="0"/>
        <v>220.27791319795816</v>
      </c>
      <c r="W21" s="149">
        <f t="shared" si="0"/>
        <v>223.50349011618766</v>
      </c>
      <c r="X21" s="104">
        <f t="shared" si="0"/>
        <v>226.72906703441683</v>
      </c>
      <c r="Y21" s="104">
        <f t="shared" si="0"/>
        <v>229.95464395264619</v>
      </c>
      <c r="Z21" s="104">
        <f t="shared" si="0"/>
        <v>233.16685730462561</v>
      </c>
      <c r="AA21" s="149">
        <f t="shared" si="0"/>
        <v>236.37907065660497</v>
      </c>
      <c r="AB21" s="95"/>
    </row>
    <row r="22" spans="1:50" x14ac:dyDescent="0.35">
      <c r="B22" t="s">
        <v>177</v>
      </c>
      <c r="D22" s="102">
        <f t="shared" ref="D22:AA22" si="1">D10</f>
        <v>156.16</v>
      </c>
      <c r="E22" s="104">
        <f t="shared" si="1"/>
        <v>197.62799999999999</v>
      </c>
      <c r="F22" s="104">
        <f t="shared" si="1"/>
        <v>170.20699999999999</v>
      </c>
      <c r="G22" s="149">
        <f t="shared" si="1"/>
        <v>164.13699999999989</v>
      </c>
      <c r="H22" s="104">
        <f t="shared" si="1"/>
        <v>168.2833827902208</v>
      </c>
      <c r="I22" s="104">
        <f t="shared" si="1"/>
        <v>172.42976558044171</v>
      </c>
      <c r="J22" s="104">
        <f t="shared" si="1"/>
        <v>173.0148583315212</v>
      </c>
      <c r="K22" s="149">
        <f t="shared" si="1"/>
        <v>173.59995108260071</v>
      </c>
      <c r="L22" s="104">
        <f t="shared" si="1"/>
        <v>174.1850438336802</v>
      </c>
      <c r="M22" s="223">
        <f t="shared" si="1"/>
        <v>174.77013658475971</v>
      </c>
      <c r="N22" s="104">
        <f t="shared" si="1"/>
        <v>172.87701948733081</v>
      </c>
      <c r="O22" s="149">
        <f t="shared" si="1"/>
        <v>170.98390238990191</v>
      </c>
      <c r="P22" s="104">
        <f t="shared" si="1"/>
        <v>169.09078529247299</v>
      </c>
      <c r="Q22" s="104">
        <f t="shared" si="1"/>
        <v>167.19766819504409</v>
      </c>
      <c r="R22" s="104">
        <f t="shared" si="1"/>
        <v>168.18650468764571</v>
      </c>
      <c r="S22" s="149">
        <f t="shared" si="1"/>
        <v>169.1753411802471</v>
      </c>
      <c r="T22" s="104">
        <f t="shared" si="1"/>
        <v>170.1641776728485</v>
      </c>
      <c r="U22" s="104">
        <f t="shared" si="1"/>
        <v>171.15301416545</v>
      </c>
      <c r="V22" s="104">
        <f t="shared" si="1"/>
        <v>173.69648926200901</v>
      </c>
      <c r="W22" s="149">
        <f t="shared" si="1"/>
        <v>176.23996435856819</v>
      </c>
      <c r="X22" s="104">
        <f t="shared" si="1"/>
        <v>178.78343945512711</v>
      </c>
      <c r="Y22" s="104">
        <f t="shared" si="1"/>
        <v>181.3269145516862</v>
      </c>
      <c r="Z22" s="104">
        <f t="shared" si="1"/>
        <v>183.85985203007041</v>
      </c>
      <c r="AA22" s="149">
        <f t="shared" si="1"/>
        <v>186.3927895084546</v>
      </c>
      <c r="AB22" s="95"/>
    </row>
    <row r="23" spans="1:50" s="170" customFormat="1" ht="12" x14ac:dyDescent="0.3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-1.0832039926402248E-2</v>
      </c>
      <c r="O23" s="246">
        <f t="shared" ref="O23" si="3">(O22/N22)-1</f>
        <v>-1.0950657889885917E-2</v>
      </c>
      <c r="P23" s="230">
        <f t="shared" ref="P23" si="4">(P22/O22)-1</f>
        <v>-1.1071902506424092E-2</v>
      </c>
      <c r="Q23" s="230">
        <f t="shared" ref="Q23" si="5">(Q22/P22)-1</f>
        <v>-1.1195861998951728E-2</v>
      </c>
      <c r="R23" s="230">
        <f t="shared" ref="R23" si="6">(R22/Q22)-1</f>
        <v>5.9141763355701205E-3</v>
      </c>
      <c r="S23" s="246">
        <f t="shared" ref="S23" si="7">(S22/R22)-1</f>
        <v>5.8794045006038687E-3</v>
      </c>
      <c r="T23" s="230">
        <f t="shared" ref="T23" si="8">(T22/S22)-1</f>
        <v>5.8450391511126742E-3</v>
      </c>
      <c r="U23" s="230">
        <f t="shared" ref="U23" si="9">(U22/T22)-1</f>
        <v>5.8110732007450316E-3</v>
      </c>
      <c r="V23" s="230">
        <f t="shared" ref="V23" si="10">(V22/U22)-1</f>
        <v>1.4860825612456274E-2</v>
      </c>
      <c r="W23" s="246">
        <f t="shared" ref="W23" si="11">(W22/V22)-1</f>
        <v>1.4643215342841742E-2</v>
      </c>
      <c r="X23" s="230">
        <f t="shared" ref="X23" si="12">(X22/W22)-1</f>
        <v>1.4431886126486715E-2</v>
      </c>
      <c r="Y23" s="230">
        <f t="shared" ref="Y23" si="13">(Y22/X22)-1</f>
        <v>1.4226569889866481E-2</v>
      </c>
      <c r="Z23" s="230">
        <f t="shared" ref="Z23" si="14">(Z22/Y22)-1</f>
        <v>1.3968899678498792E-2</v>
      </c>
      <c r="AA23" s="246">
        <f t="shared" ref="AA23" si="15">(AA22/Z22)-1</f>
        <v>1.3776457722645796E-2</v>
      </c>
      <c r="AB23" s="243"/>
    </row>
    <row r="24" spans="1:50" s="97" customFormat="1" x14ac:dyDescent="0.35">
      <c r="B24" s="99" t="s">
        <v>178</v>
      </c>
      <c r="D24" s="103"/>
      <c r="E24" s="217"/>
      <c r="F24" s="217">
        <f t="shared" ref="F24" si="16">F21-F22</f>
        <v>-8.7680000000000007</v>
      </c>
      <c r="G24" s="150">
        <f t="shared" ref="G24" si="17">G21-G22</f>
        <v>14.165816906412658</v>
      </c>
      <c r="H24" s="217">
        <f t="shared" ref="H24" si="18">H21-H22</f>
        <v>11.798701344421289</v>
      </c>
      <c r="I24" s="217">
        <f t="shared" ref="I24" si="19">I21-I22</f>
        <v>7.6523185542003773</v>
      </c>
      <c r="J24" s="217">
        <f t="shared" ref="J24" si="20">J21-J22</f>
        <v>7.0672258031208912</v>
      </c>
      <c r="K24" s="150">
        <f t="shared" ref="K24:AA24" si="21">K21-K22</f>
        <v>6.4821330520413767</v>
      </c>
      <c r="L24" s="217">
        <f t="shared" si="21"/>
        <v>47.454444332033063</v>
      </c>
      <c r="M24" s="239">
        <f t="shared" si="21"/>
        <v>46.869351580953548</v>
      </c>
      <c r="N24" s="217">
        <f t="shared" si="21"/>
        <v>46.361660893304077</v>
      </c>
      <c r="O24" s="150">
        <f t="shared" si="21"/>
        <v>45.853970205654605</v>
      </c>
      <c r="P24" s="217">
        <f t="shared" si="21"/>
        <v>45.346279518005133</v>
      </c>
      <c r="Q24" s="217">
        <f t="shared" si="21"/>
        <v>44.838588830355661</v>
      </c>
      <c r="R24" s="217">
        <f t="shared" si="21"/>
        <v>45.103772151336528</v>
      </c>
      <c r="S24" s="150">
        <f t="shared" si="21"/>
        <v>45.368955472317282</v>
      </c>
      <c r="T24" s="217">
        <f t="shared" si="21"/>
        <v>45.634138793298064</v>
      </c>
      <c r="U24" s="217">
        <f t="shared" si="21"/>
        <v>45.899322114278874</v>
      </c>
      <c r="V24" s="217">
        <f t="shared" si="21"/>
        <v>46.581423935949147</v>
      </c>
      <c r="W24" s="150">
        <f t="shared" si="21"/>
        <v>47.263525757619476</v>
      </c>
      <c r="X24" s="217">
        <f t="shared" si="21"/>
        <v>47.94562757928972</v>
      </c>
      <c r="Y24" s="217">
        <f t="shared" si="21"/>
        <v>48.627729400959993</v>
      </c>
      <c r="Z24" s="217">
        <f t="shared" si="21"/>
        <v>49.307005274555195</v>
      </c>
      <c r="AA24" s="150">
        <f t="shared" si="21"/>
        <v>49.986281148150368</v>
      </c>
      <c r="AB24" s="244"/>
    </row>
    <row r="25" spans="1:50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199.18701974948621</v>
      </c>
      <c r="N28" s="104">
        <f t="shared" ref="N28:AA28" si="22">M28*(1 + N30)</f>
        <v>215.32898912898497</v>
      </c>
      <c r="O28" s="104">
        <f t="shared" si="22"/>
        <v>232.40626991655981</v>
      </c>
      <c r="P28" s="104">
        <f t="shared" si="22"/>
        <v>250.52678265929654</v>
      </c>
      <c r="Q28" s="104">
        <f t="shared" si="22"/>
        <v>269.04300407468099</v>
      </c>
      <c r="R28" s="104">
        <f t="shared" si="22"/>
        <v>276.63429373419979</v>
      </c>
      <c r="S28" s="104">
        <f t="shared" si="22"/>
        <v>284.62129206636587</v>
      </c>
      <c r="T28" s="104">
        <f t="shared" si="22"/>
        <v>292.96802555548481</v>
      </c>
      <c r="U28" s="104">
        <f t="shared" si="22"/>
        <v>300.81112982487019</v>
      </c>
      <c r="V28" s="104">
        <f t="shared" si="22"/>
        <v>302.00783467321349</v>
      </c>
      <c r="W28" s="104">
        <f t="shared" si="22"/>
        <v>303.1685660058609</v>
      </c>
      <c r="X28" s="104">
        <f t="shared" si="22"/>
        <v>304.29332382281382</v>
      </c>
      <c r="Y28" s="104">
        <f t="shared" si="22"/>
        <v>305.41808163976634</v>
      </c>
      <c r="Z28" s="104">
        <f t="shared" si="22"/>
        <v>306.58423241555909</v>
      </c>
      <c r="AA28" s="104">
        <f t="shared" si="22"/>
        <v>307.7503831913516</v>
      </c>
      <c r="AB28" s="95"/>
    </row>
    <row r="29" spans="1:50" x14ac:dyDescent="0.35">
      <c r="B29" t="s">
        <v>177</v>
      </c>
      <c r="D29" s="102">
        <f t="shared" ref="D29:AA29" si="23">D11</f>
        <v>440</v>
      </c>
      <c r="E29" s="104">
        <f t="shared" si="23"/>
        <v>363.8</v>
      </c>
      <c r="F29" s="104">
        <f t="shared" si="23"/>
        <v>243.1</v>
      </c>
      <c r="G29" s="149">
        <f t="shared" si="23"/>
        <v>216.8</v>
      </c>
      <c r="H29" s="104">
        <f t="shared" si="23"/>
        <v>201.69787045292151</v>
      </c>
      <c r="I29" s="104">
        <f t="shared" si="23"/>
        <v>188.86729215584299</v>
      </c>
      <c r="J29" s="104">
        <f t="shared" si="23"/>
        <v>193.24899108297839</v>
      </c>
      <c r="K29" s="149">
        <f t="shared" si="23"/>
        <v>199.97623704208269</v>
      </c>
      <c r="L29" s="223">
        <f t="shared" si="23"/>
        <v>205.88603266163159</v>
      </c>
      <c r="M29" s="104">
        <f t="shared" si="23"/>
        <v>212.3326953411578</v>
      </c>
      <c r="N29" s="104">
        <f t="shared" si="23"/>
        <v>229.53998058883141</v>
      </c>
      <c r="O29" s="149">
        <f t="shared" si="23"/>
        <v>247.744304662177</v>
      </c>
      <c r="P29" s="104">
        <f t="shared" si="23"/>
        <v>267.06071050261841</v>
      </c>
      <c r="Q29" s="104">
        <f t="shared" si="23"/>
        <v>286.79894046161343</v>
      </c>
      <c r="R29" s="104">
        <f t="shared" si="23"/>
        <v>294.89122979125102</v>
      </c>
      <c r="S29" s="149">
        <f t="shared" si="23"/>
        <v>303.40534323944189</v>
      </c>
      <c r="T29" s="104">
        <f t="shared" si="23"/>
        <v>312.30293315904561</v>
      </c>
      <c r="U29" s="104">
        <f t="shared" si="23"/>
        <v>320.66365601867182</v>
      </c>
      <c r="V29" s="104">
        <f t="shared" si="23"/>
        <v>321.93933937542943</v>
      </c>
      <c r="W29" s="149">
        <f t="shared" si="23"/>
        <v>323.17667508504508</v>
      </c>
      <c r="X29" s="104">
        <f t="shared" si="23"/>
        <v>324.3756631475203</v>
      </c>
      <c r="Y29" s="104">
        <f t="shared" si="23"/>
        <v>325.57465120999512</v>
      </c>
      <c r="Z29" s="104">
        <f t="shared" si="23"/>
        <v>326.81776402783669</v>
      </c>
      <c r="AA29" s="149">
        <f t="shared" si="23"/>
        <v>328.06087684567802</v>
      </c>
      <c r="AB29" s="95"/>
    </row>
    <row r="30" spans="1:50" s="170" customFormat="1" ht="12" x14ac:dyDescent="0.3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3.1311801952690788E-2</v>
      </c>
      <c r="N30" s="230">
        <f t="shared" ref="N30" si="25">(N29/M29)-1</f>
        <v>8.1039263501207159E-2</v>
      </c>
      <c r="O30" s="246">
        <f t="shared" ref="O30" si="26">(O29/N29)-1</f>
        <v>7.9307857509818724E-2</v>
      </c>
      <c r="P30" s="230">
        <f t="shared" ref="P30" si="27">(P29/O29)-1</f>
        <v>7.7969121699007937E-2</v>
      </c>
      <c r="Q30" s="230">
        <f t="shared" ref="Q30" si="28">(Q29/P29)-1</f>
        <v>7.390914942840876E-2</v>
      </c>
      <c r="R30" s="230">
        <f t="shared" ref="R30" si="29">(R29/Q29)-1</f>
        <v>2.8215896880974478E-2</v>
      </c>
      <c r="S30" s="246">
        <f t="shared" ref="S30" si="30">(S29/R29)-1</f>
        <v>2.8872047006002433E-2</v>
      </c>
      <c r="T30" s="230">
        <f t="shared" ref="T30" si="31">(T29/S29)-1</f>
        <v>2.9325752225074941E-2</v>
      </c>
      <c r="U30" s="230">
        <f t="shared" ref="U30" si="32">(U29/T29)-1</f>
        <v>2.6771195438527462E-2</v>
      </c>
      <c r="V30" s="230">
        <f t="shared" ref="V30" si="33">(V29/U29)-1</f>
        <v>3.9782598770199407E-3</v>
      </c>
      <c r="W30" s="246">
        <f t="shared" ref="W30" si="34">(W29/V29)-1</f>
        <v>3.8433815265201954E-3</v>
      </c>
      <c r="X30" s="230">
        <f t="shared" ref="X30" si="35">(X29/W29)-1</f>
        <v>3.7100080386671674E-3</v>
      </c>
      <c r="Y30" s="230">
        <f t="shared" ref="Y30" si="36">(Y29/X29)-1</f>
        <v>3.6962947554100012E-3</v>
      </c>
      <c r="Z30" s="230">
        <f t="shared" ref="Z30" si="37">(Z29/Y29)-1</f>
        <v>3.8182113171942866E-3</v>
      </c>
      <c r="AA30" s="246">
        <f t="shared" ref="AA30" si="38">(AA29/Z29)-1</f>
        <v>3.8036880325007516E-3</v>
      </c>
      <c r="AB30" s="243"/>
    </row>
    <row r="31" spans="1:50" s="97" customFormat="1" x14ac:dyDescent="0.35">
      <c r="B31" s="99" t="s">
        <v>178</v>
      </c>
      <c r="D31" s="103"/>
      <c r="E31" s="217"/>
      <c r="F31" s="217">
        <f t="shared" ref="F31" si="39">F28-F29</f>
        <v>87.676999999999992</v>
      </c>
      <c r="G31" s="150">
        <f t="shared" ref="G31" si="40">G28-G29</f>
        <v>-34.992000000000019</v>
      </c>
      <c r="H31" s="217">
        <f t="shared" ref="H31" si="41">H28-H29</f>
        <v>3.7728995470785094</v>
      </c>
      <c r="I31" s="217">
        <f t="shared" ref="I31" si="42">I28-I29</f>
        <v>0.96715476915696286</v>
      </c>
      <c r="J31" s="217">
        <f t="shared" ref="J31" si="43">J28-J29</f>
        <v>-2.6853719233534719</v>
      </c>
      <c r="K31" s="150">
        <f t="shared" ref="K31:N31" si="44">K28-K29</f>
        <v>-8.3133907387605745</v>
      </c>
      <c r="L31" s="239">
        <f t="shared" si="44"/>
        <v>-12.746557895276226</v>
      </c>
      <c r="M31" s="217">
        <f t="shared" si="44"/>
        <v>-13.145675591671591</v>
      </c>
      <c r="N31" s="217">
        <f t="shared" si="44"/>
        <v>-14.21099145984644</v>
      </c>
      <c r="O31" s="150">
        <f t="shared" ref="O31:AA31" si="45">O28-O29</f>
        <v>-15.338034745617193</v>
      </c>
      <c r="P31" s="150">
        <f t="shared" si="45"/>
        <v>-16.533927843321862</v>
      </c>
      <c r="Q31" s="150">
        <f t="shared" si="45"/>
        <v>-17.755936386932433</v>
      </c>
      <c r="R31" s="150">
        <f t="shared" si="45"/>
        <v>-18.256936057051234</v>
      </c>
      <c r="S31" s="150">
        <f t="shared" si="45"/>
        <v>-18.784051173076023</v>
      </c>
      <c r="T31" s="150">
        <f t="shared" si="45"/>
        <v>-19.334907603560794</v>
      </c>
      <c r="U31" s="150">
        <f t="shared" si="45"/>
        <v>-19.852526193801623</v>
      </c>
      <c r="V31" s="150">
        <f t="shared" si="45"/>
        <v>-19.931504702215932</v>
      </c>
      <c r="W31" s="150">
        <f t="shared" si="45"/>
        <v>-20.00810907918418</v>
      </c>
      <c r="X31" s="150">
        <f t="shared" si="45"/>
        <v>-20.082339324706481</v>
      </c>
      <c r="Y31" s="150">
        <f t="shared" si="45"/>
        <v>-20.156569570228783</v>
      </c>
      <c r="Z31" s="150">
        <f t="shared" si="45"/>
        <v>-20.233531612277602</v>
      </c>
      <c r="AA31" s="150">
        <f t="shared" si="45"/>
        <v>-20.310493654326422</v>
      </c>
      <c r="AB31" s="244"/>
    </row>
    <row r="32" spans="1:50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1779.8</v>
      </c>
      <c r="E36" s="104">
        <f t="shared" si="46"/>
        <v>1871.3</v>
      </c>
      <c r="F36" s="104">
        <f t="shared" si="46"/>
        <v>1907.1</v>
      </c>
      <c r="G36" s="149">
        <f t="shared" si="46"/>
        <v>1958.3</v>
      </c>
      <c r="H36" s="104">
        <f t="shared" si="46"/>
        <v>1978.3751090344099</v>
      </c>
      <c r="I36" s="104">
        <f t="shared" si="46"/>
        <v>2007.0179878174349</v>
      </c>
      <c r="J36" s="104">
        <f t="shared" si="46"/>
        <v>2033.6981662082569</v>
      </c>
      <c r="K36" s="149">
        <f t="shared" si="46"/>
        <v>2058.944408239478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-35.750999999999976</v>
      </c>
      <c r="G37" s="150">
        <f t="shared" ref="G37:K37" si="47">G35-G36</f>
        <v>-86.951000000000022</v>
      </c>
      <c r="H37" s="217">
        <f t="shared" si="47"/>
        <v>-74.668790726255111</v>
      </c>
      <c r="I37" s="217">
        <f t="shared" si="47"/>
        <v>-83.796216356273817</v>
      </c>
      <c r="J37" s="217">
        <f t="shared" si="47"/>
        <v>-82.632024980574215</v>
      </c>
      <c r="K37" s="150">
        <f t="shared" si="47"/>
        <v>-81.941881281215274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54.2</v>
      </c>
      <c r="E42" s="104">
        <f t="shared" si="48"/>
        <v>90.2</v>
      </c>
      <c r="F42" s="104">
        <f t="shared" si="48"/>
        <v>95.9</v>
      </c>
      <c r="G42" s="149">
        <f t="shared" si="48"/>
        <v>95.9</v>
      </c>
      <c r="H42" s="104">
        <f t="shared" si="48"/>
        <v>96.883099094316492</v>
      </c>
      <c r="I42" s="104">
        <f t="shared" si="48"/>
        <v>98.285770837814454</v>
      </c>
      <c r="J42" s="104">
        <f t="shared" si="48"/>
        <v>99.592327089502035</v>
      </c>
      <c r="K42" s="149">
        <f t="shared" si="48"/>
        <v>100.82866197730991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-5.7000000000000028</v>
      </c>
      <c r="G43" s="150">
        <f t="shared" ref="G43:K43" si="49">G41-G42</f>
        <v>-4.3825959008611193</v>
      </c>
      <c r="H43" s="217">
        <f t="shared" si="49"/>
        <v>-3.7832762292649704</v>
      </c>
      <c r="I43" s="217">
        <f t="shared" si="49"/>
        <v>-4.2315543175006098</v>
      </c>
      <c r="J43" s="217">
        <f t="shared" si="49"/>
        <v>-4.1763953360549806</v>
      </c>
      <c r="K43" s="150">
        <f t="shared" si="49"/>
        <v>-4.14432401327538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1472.355682642366</v>
      </c>
      <c r="L47" s="104">
        <f t="shared" ref="L47:AA47" si="50">K47*(1+L49)</f>
        <v>1503.1278844425292</v>
      </c>
      <c r="M47" s="104">
        <f t="shared" si="50"/>
        <v>1533.9000862426915</v>
      </c>
      <c r="N47" s="104">
        <f t="shared" si="50"/>
        <v>1546.9480044194563</v>
      </c>
      <c r="O47" s="149">
        <f t="shared" si="50"/>
        <v>1559.9959225962232</v>
      </c>
      <c r="P47" s="104">
        <f t="shared" si="50"/>
        <v>1573.043840772988</v>
      </c>
      <c r="Q47" s="104">
        <f t="shared" si="50"/>
        <v>1586.0917589497537</v>
      </c>
      <c r="R47" s="104">
        <f t="shared" si="50"/>
        <v>1596.847385674771</v>
      </c>
      <c r="S47" s="149">
        <f t="shared" si="50"/>
        <v>1607.6030123997884</v>
      </c>
      <c r="T47" s="104">
        <f t="shared" si="50"/>
        <v>1618.3586391248059</v>
      </c>
      <c r="U47" s="104">
        <f t="shared" si="50"/>
        <v>1629.1142658498229</v>
      </c>
      <c r="V47" s="104">
        <f t="shared" si="50"/>
        <v>1669.2561077970809</v>
      </c>
      <c r="W47" s="149">
        <f t="shared" si="50"/>
        <v>1709.397949744339</v>
      </c>
      <c r="X47" s="104">
        <f t="shared" si="50"/>
        <v>1749.5397916915961</v>
      </c>
      <c r="Y47" s="104">
        <f t="shared" si="50"/>
        <v>1789.681633638854</v>
      </c>
      <c r="Z47" s="104">
        <f t="shared" si="50"/>
        <v>1819.5994349998603</v>
      </c>
      <c r="AA47" s="149">
        <f t="shared" si="50"/>
        <v>1849.5172363608665</v>
      </c>
      <c r="AB47" s="95"/>
    </row>
    <row r="48" spans="1:28" x14ac:dyDescent="0.35">
      <c r="B48" t="s">
        <v>177</v>
      </c>
      <c r="D48" s="102">
        <f t="shared" ref="D48:AA48" si="51">D14</f>
        <v>1336.74</v>
      </c>
      <c r="E48" s="104">
        <f t="shared" si="51"/>
        <v>1328.7719999999999</v>
      </c>
      <c r="F48" s="104">
        <f t="shared" si="51"/>
        <v>1372.7929999999999</v>
      </c>
      <c r="G48" s="149">
        <f t="shared" si="51"/>
        <v>1403.2629999999999</v>
      </c>
      <c r="H48" s="104">
        <f t="shared" si="51"/>
        <v>1394.63952711825</v>
      </c>
      <c r="I48" s="104">
        <f t="shared" si="51"/>
        <v>1386.0160542364999</v>
      </c>
      <c r="J48" s="223">
        <f t="shared" si="51"/>
        <v>1416.247429866125</v>
      </c>
      <c r="K48" s="149">
        <f t="shared" si="51"/>
        <v>1446.4788054957489</v>
      </c>
      <c r="L48" s="104">
        <f t="shared" si="51"/>
        <v>1476.710181125374</v>
      </c>
      <c r="M48" s="104">
        <f t="shared" si="51"/>
        <v>1506.9415567549979</v>
      </c>
      <c r="N48" s="104">
        <f t="shared" si="51"/>
        <v>1519.7601557667949</v>
      </c>
      <c r="O48" s="149">
        <f t="shared" si="51"/>
        <v>1532.578754778594</v>
      </c>
      <c r="P48" s="104">
        <f t="shared" si="51"/>
        <v>1545.397353790391</v>
      </c>
      <c r="Q48" s="104">
        <f t="shared" si="51"/>
        <v>1558.2159528021889</v>
      </c>
      <c r="R48" s="104">
        <f t="shared" si="51"/>
        <v>1568.782547736397</v>
      </c>
      <c r="S48" s="149">
        <f t="shared" si="51"/>
        <v>1579.349142670605</v>
      </c>
      <c r="T48" s="104">
        <f t="shared" si="51"/>
        <v>1589.9157376048131</v>
      </c>
      <c r="U48" s="104">
        <f t="shared" si="51"/>
        <v>1600.4823325390209</v>
      </c>
      <c r="V48" s="104">
        <f t="shared" si="51"/>
        <v>1639.9186754518039</v>
      </c>
      <c r="W48" s="149">
        <f t="shared" si="51"/>
        <v>1679.3550183645871</v>
      </c>
      <c r="X48" s="104">
        <f t="shared" si="51"/>
        <v>1718.7913612773691</v>
      </c>
      <c r="Y48" s="104">
        <f t="shared" si="51"/>
        <v>1758.2277041901521</v>
      </c>
      <c r="Z48" s="104">
        <f t="shared" si="51"/>
        <v>1787.619695599499</v>
      </c>
      <c r="AA48" s="149">
        <f t="shared" si="51"/>
        <v>1817.0116870088459</v>
      </c>
      <c r="AB48" s="95"/>
    </row>
    <row r="49" spans="1:32" s="170" customFormat="1" ht="12" x14ac:dyDescent="0.3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2.1346111556567182E-2</v>
      </c>
      <c r="L49" s="230">
        <f t="shared" ref="L49" si="53">(L48/K48)-1</f>
        <v>2.0899978288491994E-2</v>
      </c>
      <c r="M49" s="230">
        <f t="shared" ref="M49" si="54">(M48/L48)-1</f>
        <v>2.047211160052087E-2</v>
      </c>
      <c r="N49" s="230">
        <f t="shared" ref="N49" si="55">(N48/M48)-1</f>
        <v>8.5063677183341291E-3</v>
      </c>
      <c r="O49" s="246">
        <f t="shared" ref="O49" si="56">(O48/N48)-1</f>
        <v>8.4346197412521473E-3</v>
      </c>
      <c r="P49" s="230">
        <f t="shared" ref="P49" si="57">(P48/O48)-1</f>
        <v>8.364071974656051E-3</v>
      </c>
      <c r="Q49" s="230">
        <f t="shared" ref="Q49" si="58">(Q48/P48)-1</f>
        <v>8.294694552412496E-3</v>
      </c>
      <c r="R49" s="230">
        <f t="shared" ref="R49" si="59">(R48/Q48)-1</f>
        <v>6.7812134224436438E-3</v>
      </c>
      <c r="S49" s="246">
        <f t="shared" ref="S49" si="60">(S48/R48)-1</f>
        <v>6.7355382997182911E-3</v>
      </c>
      <c r="T49" s="230">
        <f t="shared" ref="T49" si="61">(T48/S48)-1</f>
        <v>6.6904743534672573E-3</v>
      </c>
      <c r="U49" s="230">
        <f t="shared" ref="U49" si="62">(U48/T48)-1</f>
        <v>6.6460093980365009E-3</v>
      </c>
      <c r="V49" s="230">
        <f t="shared" ref="V49" si="63">(V48/U48)-1</f>
        <v>2.464028631307702E-2</v>
      </c>
      <c r="W49" s="246">
        <f t="shared" ref="W49" si="64">(W48/V48)-1</f>
        <v>2.4047743039403047E-2</v>
      </c>
      <c r="X49" s="230">
        <f t="shared" ref="X49" si="65">(X48/W48)-1</f>
        <v>2.3483029187709503E-2</v>
      </c>
      <c r="Y49" s="230">
        <f t="shared" ref="Y49" si="66">(Y48/X48)-1</f>
        <v>2.2944229184090448E-2</v>
      </c>
      <c r="Z49" s="230">
        <f t="shared" ref="Z49" si="67">(Z48/Y48)-1</f>
        <v>1.6716828735721112E-2</v>
      </c>
      <c r="AA49" s="246">
        <f t="shared" ref="AA49" si="68">(AA48/Z48)-1</f>
        <v>1.6441971120423338E-2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-43.987999999999829</v>
      </c>
      <c r="G50" s="150">
        <f t="shared" ref="G50" si="70">G47-G48</f>
        <v>-30.475999999999885</v>
      </c>
      <c r="H50" s="217">
        <f t="shared" ref="H50" si="71">H47-H48</f>
        <v>-4.0293645275978633</v>
      </c>
      <c r="I50" s="217">
        <f t="shared" ref="I50" si="72">I47-I48</f>
        <v>32.473104742464102</v>
      </c>
      <c r="J50" s="239">
        <f t="shared" ref="J50" si="73">J47-J48</f>
        <v>25.336050976078923</v>
      </c>
      <c r="K50" s="150">
        <f t="shared" ref="K50:AA50" si="74">K47-K48</f>
        <v>25.876877146617062</v>
      </c>
      <c r="L50" s="217">
        <f t="shared" si="74"/>
        <v>26.417703317155201</v>
      </c>
      <c r="M50" s="217">
        <f t="shared" si="74"/>
        <v>26.958529487693568</v>
      </c>
      <c r="N50" s="217">
        <f t="shared" si="74"/>
        <v>27.187848652661387</v>
      </c>
      <c r="O50" s="150">
        <f t="shared" si="74"/>
        <v>27.417167817629206</v>
      </c>
      <c r="P50" s="217">
        <f t="shared" si="74"/>
        <v>27.646486982597025</v>
      </c>
      <c r="Q50" s="217">
        <f t="shared" si="74"/>
        <v>27.875806147564845</v>
      </c>
      <c r="R50" s="217">
        <f t="shared" si="74"/>
        <v>28.064837938374012</v>
      </c>
      <c r="S50" s="150">
        <f t="shared" si="74"/>
        <v>28.253869729183407</v>
      </c>
      <c r="T50" s="217">
        <f t="shared" si="74"/>
        <v>28.442901519992802</v>
      </c>
      <c r="U50" s="217">
        <f t="shared" si="74"/>
        <v>28.631933310801969</v>
      </c>
      <c r="V50" s="217">
        <f t="shared" si="74"/>
        <v>29.337432345276966</v>
      </c>
      <c r="W50" s="150">
        <f t="shared" si="74"/>
        <v>30.042931379751963</v>
      </c>
      <c r="X50" s="217">
        <f t="shared" si="74"/>
        <v>30.748430414226959</v>
      </c>
      <c r="Y50" s="217">
        <f t="shared" si="74"/>
        <v>31.453929448701956</v>
      </c>
      <c r="Z50" s="217">
        <f t="shared" si="74"/>
        <v>31.979739400361268</v>
      </c>
      <c r="AA50" s="150">
        <f t="shared" si="74"/>
        <v>32.50554935202058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1676.7274934000816</v>
      </c>
      <c r="M54" s="104">
        <f t="shared" ref="M54:AA54" si="75">L54*(1+M56)</f>
        <v>1658.728354358673</v>
      </c>
      <c r="N54" s="104">
        <f t="shared" si="75"/>
        <v>1680.0972549627311</v>
      </c>
      <c r="O54" s="104">
        <f t="shared" si="75"/>
        <v>1691.2386419806749</v>
      </c>
      <c r="P54" s="104">
        <f t="shared" si="75"/>
        <v>1695.1606254140172</v>
      </c>
      <c r="Q54" s="104">
        <f t="shared" si="75"/>
        <v>1690.7825491435724</v>
      </c>
      <c r="R54" s="104">
        <f t="shared" si="75"/>
        <v>1699.3357522938504</v>
      </c>
      <c r="S54" s="104">
        <f t="shared" si="75"/>
        <v>1708.9432388453199</v>
      </c>
      <c r="T54" s="104">
        <f t="shared" si="75"/>
        <v>1718.1108506122771</v>
      </c>
      <c r="U54" s="104">
        <f t="shared" si="75"/>
        <v>1727.8695330427036</v>
      </c>
      <c r="V54" s="104">
        <f t="shared" si="75"/>
        <v>1768.0404938555441</v>
      </c>
      <c r="W54" s="104">
        <f t="shared" si="75"/>
        <v>1801.9853391397789</v>
      </c>
      <c r="X54" s="104">
        <f t="shared" si="75"/>
        <v>1828.1126511703853</v>
      </c>
      <c r="Y54" s="104">
        <f t="shared" si="75"/>
        <v>1847.1770422269346</v>
      </c>
      <c r="Z54" s="104">
        <f t="shared" si="75"/>
        <v>1856.0731015206463</v>
      </c>
      <c r="AA54" s="104">
        <f t="shared" si="75"/>
        <v>1867.9689093703914</v>
      </c>
      <c r="AB54" s="95"/>
    </row>
    <row r="55" spans="1:32" x14ac:dyDescent="0.35">
      <c r="B55" t="s">
        <v>177</v>
      </c>
      <c r="D55" s="102">
        <f t="shared" ref="D55:AA55" si="76">D15</f>
        <v>1828.5000000000009</v>
      </c>
      <c r="E55" s="104">
        <f t="shared" si="76"/>
        <v>1861.4</v>
      </c>
      <c r="F55" s="104">
        <f t="shared" si="76"/>
        <v>1756.1999999999989</v>
      </c>
      <c r="G55" s="149">
        <f t="shared" si="76"/>
        <v>1808.7</v>
      </c>
      <c r="H55" s="104">
        <f t="shared" si="76"/>
        <v>1629.356357104331</v>
      </c>
      <c r="I55" s="104">
        <f t="shared" si="76"/>
        <v>1501.6652887165669</v>
      </c>
      <c r="J55" s="104">
        <f t="shared" si="76"/>
        <v>1514.272945247701</v>
      </c>
      <c r="K55" s="263">
        <f t="shared" si="76"/>
        <v>1515.6150242949509</v>
      </c>
      <c r="L55" s="104">
        <f t="shared" si="76"/>
        <v>1509.926416318757</v>
      </c>
      <c r="M55" s="104">
        <f t="shared" si="76"/>
        <v>1493.7178340556329</v>
      </c>
      <c r="N55" s="104">
        <f t="shared" si="76"/>
        <v>1512.9609535468801</v>
      </c>
      <c r="O55" s="149">
        <f t="shared" si="76"/>
        <v>1522.99399388232</v>
      </c>
      <c r="P55" s="104">
        <f t="shared" si="76"/>
        <v>1526.525817874995</v>
      </c>
      <c r="Q55" s="104">
        <f t="shared" si="76"/>
        <v>1522.5832732221379</v>
      </c>
      <c r="R55" s="104">
        <f t="shared" si="76"/>
        <v>1530.285602569978</v>
      </c>
      <c r="S55" s="149">
        <f t="shared" si="76"/>
        <v>1538.937335064132</v>
      </c>
      <c r="T55" s="104">
        <f t="shared" si="76"/>
        <v>1547.192951576636</v>
      </c>
      <c r="U55" s="104">
        <f t="shared" si="76"/>
        <v>1555.9808389633261</v>
      </c>
      <c r="V55" s="104">
        <f t="shared" si="76"/>
        <v>1592.1555871790999</v>
      </c>
      <c r="W55" s="149">
        <f t="shared" si="76"/>
        <v>1622.7235946783901</v>
      </c>
      <c r="X55" s="104">
        <f t="shared" si="76"/>
        <v>1646.2517581859961</v>
      </c>
      <c r="Y55" s="104">
        <f t="shared" si="76"/>
        <v>1663.4196210501891</v>
      </c>
      <c r="Z55" s="104">
        <f t="shared" si="76"/>
        <v>1671.430699166094</v>
      </c>
      <c r="AA55" s="149">
        <f t="shared" si="76"/>
        <v>1682.1431104472849</v>
      </c>
      <c r="AB55" s="95"/>
    </row>
    <row r="56" spans="1:32" s="170" customFormat="1" ht="12" x14ac:dyDescent="0.3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-3.7533330595216352E-3</v>
      </c>
      <c r="M56" s="230">
        <f t="shared" ref="M56" si="78">(M55/L55)-1</f>
        <v>-1.0734683550103763E-2</v>
      </c>
      <c r="N56" s="230">
        <f t="shared" ref="N56" si="79">(N55/M55)-1</f>
        <v>1.2882700502409916E-2</v>
      </c>
      <c r="O56" s="246">
        <f t="shared" ref="O56" si="80">(O55/N55)-1</f>
        <v>6.6313940964035645E-3</v>
      </c>
      <c r="P56" s="230">
        <f t="shared" ref="P56" si="81">(P55/O55)-1</f>
        <v>2.3190006046391876E-3</v>
      </c>
      <c r="Q56" s="230">
        <f t="shared" ref="Q56" si="82">(Q55/P55)-1</f>
        <v>-2.5826911059685376E-3</v>
      </c>
      <c r="R56" s="230">
        <f t="shared" ref="R56" si="83">(R55/Q55)-1</f>
        <v>5.0587245264688274E-3</v>
      </c>
      <c r="S56" s="246">
        <f t="shared" ref="S56" si="84">(S55/R55)-1</f>
        <v>5.6536717588038243E-3</v>
      </c>
      <c r="T56" s="230">
        <f t="shared" ref="T56" si="85">(T55/S55)-1</f>
        <v>5.3644916686357291E-3</v>
      </c>
      <c r="U56" s="230">
        <f t="shared" ref="U56" si="86">(U55/T55)-1</f>
        <v>5.6798910425068794E-3</v>
      </c>
      <c r="V56" s="230">
        <f t="shared" ref="V56" si="87">(V55/U55)-1</f>
        <v>2.3248839130869614E-2</v>
      </c>
      <c r="W56" s="246">
        <f t="shared" ref="W56" si="88">(W55/V55)-1</f>
        <v>1.9199133392138412E-2</v>
      </c>
      <c r="X56" s="230">
        <f t="shared" ref="X56" si="89">(X55/W55)-1</f>
        <v>1.4499181243660342E-2</v>
      </c>
      <c r="Y56" s="230">
        <f t="shared" ref="Y56" si="90">(Y55/X55)-1</f>
        <v>1.0428455294778427E-2</v>
      </c>
      <c r="Z56" s="230">
        <f t="shared" ref="Z56" si="91">(Z55/Y55)-1</f>
        <v>4.8160295902046624E-3</v>
      </c>
      <c r="AA56" s="246">
        <f t="shared" ref="AA56" si="92">(AA55/Z55)-1</f>
        <v>6.4091267957060438E-3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709.8010000000013</v>
      </c>
      <c r="G57" s="150">
        <f t="shared" ref="G57" si="94">G54-G55</f>
        <v>219.09299999999985</v>
      </c>
      <c r="H57" s="217">
        <f t="shared" ref="H57" si="95">H54-H55</f>
        <v>1488.7674453956693</v>
      </c>
      <c r="I57" s="217">
        <f t="shared" ref="I57" si="96">I54-I55</f>
        <v>373.18358526468296</v>
      </c>
      <c r="J57" s="217">
        <f t="shared" ref="J57" si="97">J54-J55</f>
        <v>172.19456217868969</v>
      </c>
      <c r="K57" s="264">
        <f t="shared" ref="K57" si="98">K54-K55</f>
        <v>167.42949574283534</v>
      </c>
      <c r="L57" s="217">
        <f t="shared" ref="L57:AA57" si="99">L54-L55</f>
        <v>166.80107708132459</v>
      </c>
      <c r="M57" s="217">
        <f t="shared" si="99"/>
        <v>165.01052030304004</v>
      </c>
      <c r="N57" s="217">
        <f t="shared" si="99"/>
        <v>167.13630141585099</v>
      </c>
      <c r="O57" s="150">
        <f t="shared" si="99"/>
        <v>168.2446480983549</v>
      </c>
      <c r="P57" s="217">
        <f t="shared" si="99"/>
        <v>168.63480753902218</v>
      </c>
      <c r="Q57" s="217">
        <f t="shared" si="99"/>
        <v>168.19927592143449</v>
      </c>
      <c r="R57" s="217">
        <f t="shared" si="99"/>
        <v>169.05014972387244</v>
      </c>
      <c r="S57" s="150">
        <f t="shared" si="99"/>
        <v>170.00590378118795</v>
      </c>
      <c r="T57" s="217">
        <f t="shared" si="99"/>
        <v>170.91789903564108</v>
      </c>
      <c r="U57" s="217">
        <f t="shared" si="99"/>
        <v>171.8886940793775</v>
      </c>
      <c r="V57" s="217">
        <f t="shared" si="99"/>
        <v>175.88490667644419</v>
      </c>
      <c r="W57" s="150">
        <f t="shared" si="99"/>
        <v>179.26174446138884</v>
      </c>
      <c r="X57" s="217">
        <f t="shared" si="99"/>
        <v>181.86089298438924</v>
      </c>
      <c r="Y57" s="217">
        <f t="shared" si="99"/>
        <v>183.75742117674554</v>
      </c>
      <c r="Z57" s="217">
        <f t="shared" si="99"/>
        <v>184.64240235455236</v>
      </c>
      <c r="AA57" s="150">
        <f t="shared" si="99"/>
        <v>185.8257989231065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210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77.695696451903586</v>
      </c>
      <c r="N61" s="231">
        <f>M61*(1+N63)</f>
        <v>78.058820150934892</v>
      </c>
      <c r="O61" s="247">
        <f>N61*(1+O63)</f>
        <v>78.421169599008806</v>
      </c>
      <c r="P61" s="231">
        <f>O61*(1+P63)</f>
        <v>78.784680423518822</v>
      </c>
      <c r="Q61" s="231">
        <f t="shared" ref="Q61:AA61" si="100">P61*(1+Q63)</f>
        <v>79.151675377337256</v>
      </c>
      <c r="R61" s="231">
        <f t="shared" si="100"/>
        <v>79.522154460464094</v>
      </c>
      <c r="S61" s="247">
        <f t="shared" si="100"/>
        <v>79.894956296463178</v>
      </c>
      <c r="T61" s="231">
        <f t="shared" si="100"/>
        <v>80.266983881504842</v>
      </c>
      <c r="U61" s="231">
        <f t="shared" si="100"/>
        <v>80.640172842982665</v>
      </c>
      <c r="V61" s="231">
        <f t="shared" si="100"/>
        <v>81.014136055417907</v>
      </c>
      <c r="W61" s="247">
        <f t="shared" si="100"/>
        <v>81.387712142374426</v>
      </c>
      <c r="X61" s="231">
        <f t="shared" si="100"/>
        <v>81.756642723586438</v>
      </c>
      <c r="Y61" s="231">
        <f t="shared" si="100"/>
        <v>82.122863426447452</v>
      </c>
      <c r="Z61" s="231">
        <f t="shared" si="100"/>
        <v>82.486374250957482</v>
      </c>
      <c r="AA61" s="247">
        <f t="shared" si="100"/>
        <v>82.847562322595238</v>
      </c>
      <c r="AB61" s="95"/>
    </row>
    <row r="62" spans="1:32" x14ac:dyDescent="0.35">
      <c r="B62" t="s">
        <v>177</v>
      </c>
      <c r="D62" s="102">
        <f t="shared" ref="D62:AA62" si="101">D16</f>
        <v>1085.9000000000001</v>
      </c>
      <c r="E62" s="104">
        <f t="shared" si="101"/>
        <v>1212.9000000000001</v>
      </c>
      <c r="F62" s="104">
        <f t="shared" si="101"/>
        <v>609.79999999999995</v>
      </c>
      <c r="G62" s="149">
        <f t="shared" si="101"/>
        <v>402.3</v>
      </c>
      <c r="H62" s="104">
        <f t="shared" si="101"/>
        <v>404.18538158623392</v>
      </c>
      <c r="I62" s="104">
        <f t="shared" si="101"/>
        <v>406.11408156777497</v>
      </c>
      <c r="J62" s="104">
        <f t="shared" si="101"/>
        <v>408.08197438316557</v>
      </c>
      <c r="K62" s="149">
        <f t="shared" si="101"/>
        <v>410.07255778657441</v>
      </c>
      <c r="L62" s="223">
        <f t="shared" si="101"/>
        <v>412.05076450560961</v>
      </c>
      <c r="M62" s="104">
        <f t="shared" si="101"/>
        <v>413.998029513711</v>
      </c>
      <c r="N62" s="104">
        <f t="shared" si="101"/>
        <v>415.93291783743882</v>
      </c>
      <c r="O62" s="149">
        <f t="shared" si="101"/>
        <v>417.86368059970891</v>
      </c>
      <c r="P62" s="104">
        <f t="shared" si="101"/>
        <v>419.80063170416571</v>
      </c>
      <c r="Q62" s="104">
        <f t="shared" si="101"/>
        <v>421.75614783518279</v>
      </c>
      <c r="R62" s="104">
        <f t="shared" si="101"/>
        <v>423.7302289927602</v>
      </c>
      <c r="S62" s="149">
        <f t="shared" si="101"/>
        <v>425.71668683471103</v>
      </c>
      <c r="T62" s="104">
        <f t="shared" si="101"/>
        <v>427.69901911520401</v>
      </c>
      <c r="U62" s="104">
        <f t="shared" si="101"/>
        <v>429.68753973788392</v>
      </c>
      <c r="V62" s="104">
        <f t="shared" si="101"/>
        <v>431.68018592202162</v>
      </c>
      <c r="W62" s="149">
        <f t="shared" si="101"/>
        <v>433.67076932543029</v>
      </c>
      <c r="X62" s="104">
        <f t="shared" si="101"/>
        <v>435.63659936009208</v>
      </c>
      <c r="Y62" s="104">
        <f t="shared" si="101"/>
        <v>437.58798992965131</v>
      </c>
      <c r="Z62" s="104">
        <f t="shared" si="101"/>
        <v>439.52494103410811</v>
      </c>
      <c r="AA62" s="149">
        <f t="shared" si="101"/>
        <v>441.44951545419133</v>
      </c>
      <c r="AB62" s="95"/>
    </row>
    <row r="63" spans="1:32" s="170" customFormat="1" ht="12" x14ac:dyDescent="0.3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4.7257890916372336E-3</v>
      </c>
      <c r="N63" s="230">
        <f t="shared" si="102"/>
        <v>4.6736655389412185E-3</v>
      </c>
      <c r="O63" s="246">
        <f t="shared" si="102"/>
        <v>4.6420051875402102E-3</v>
      </c>
      <c r="P63" s="230">
        <f t="shared" si="102"/>
        <v>4.6353660162015142E-3</v>
      </c>
      <c r="Q63" s="230">
        <f t="shared" si="102"/>
        <v>4.6582019733480973E-3</v>
      </c>
      <c r="R63" s="230">
        <f t="shared" si="102"/>
        <v>4.6806221265773829E-3</v>
      </c>
      <c r="S63" s="246">
        <f t="shared" si="102"/>
        <v>4.6880248470182462E-3</v>
      </c>
      <c r="T63" s="230">
        <f t="shared" si="102"/>
        <v>4.6564589592013039E-3</v>
      </c>
      <c r="U63" s="230">
        <f t="shared" si="102"/>
        <v>4.6493457637419855E-3</v>
      </c>
      <c r="V63" s="230">
        <f t="shared" si="102"/>
        <v>4.6374306905740958E-3</v>
      </c>
      <c r="W63" s="246">
        <f t="shared" si="102"/>
        <v>4.6112457053293365E-3</v>
      </c>
      <c r="X63" s="230">
        <f t="shared" si="102"/>
        <v>4.5330010083908245E-3</v>
      </c>
      <c r="Y63" s="230">
        <f t="shared" si="102"/>
        <v>4.4793999687484654E-3</v>
      </c>
      <c r="Z63" s="230">
        <f t="shared" si="102"/>
        <v>4.4264265679874182E-3</v>
      </c>
      <c r="AA63" s="246">
        <f t="shared" si="102"/>
        <v>4.3787604306484429E-3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603.68000000000006</v>
      </c>
      <c r="G64" s="150">
        <f t="shared" ref="G64:AA64" si="103">G61-G62</f>
        <v>208.23599999999993</v>
      </c>
      <c r="H64" s="217">
        <f t="shared" si="103"/>
        <v>389.89820174709951</v>
      </c>
      <c r="I64" s="217">
        <f t="shared" si="103"/>
        <v>387.96950176555845</v>
      </c>
      <c r="J64" s="217">
        <f t="shared" si="103"/>
        <v>-263.99839104983226</v>
      </c>
      <c r="K64" s="150">
        <f t="shared" si="103"/>
        <v>-287.32230778657441</v>
      </c>
      <c r="L64" s="217">
        <f t="shared" si="103"/>
        <v>-334.72051450560957</v>
      </c>
      <c r="M64" s="217">
        <f t="shared" si="103"/>
        <v>-336.30233306180742</v>
      </c>
      <c r="N64" s="217">
        <f t="shared" si="103"/>
        <v>-337.87409768650394</v>
      </c>
      <c r="O64" s="150">
        <f t="shared" si="103"/>
        <v>-339.44251100070011</v>
      </c>
      <c r="P64" s="217">
        <f t="shared" si="103"/>
        <v>-341.0159512806469</v>
      </c>
      <c r="Q64" s="217">
        <f t="shared" si="103"/>
        <v>-342.60447245784553</v>
      </c>
      <c r="R64" s="217">
        <f t="shared" si="103"/>
        <v>-344.20807453229611</v>
      </c>
      <c r="S64" s="150">
        <f t="shared" si="103"/>
        <v>-345.82173053824783</v>
      </c>
      <c r="T64" s="217">
        <f t="shared" si="103"/>
        <v>-347.43203523369914</v>
      </c>
      <c r="U64" s="217">
        <f t="shared" si="103"/>
        <v>-349.04736689490124</v>
      </c>
      <c r="V64" s="217">
        <f t="shared" si="103"/>
        <v>-350.66604986660371</v>
      </c>
      <c r="W64" s="150">
        <f t="shared" si="103"/>
        <v>-352.28305718305586</v>
      </c>
      <c r="X64" s="217">
        <f t="shared" si="103"/>
        <v>-353.87995663650565</v>
      </c>
      <c r="Y64" s="217">
        <f t="shared" si="103"/>
        <v>-355.46512650320386</v>
      </c>
      <c r="Z64" s="217">
        <f t="shared" si="103"/>
        <v>-357.0385667831506</v>
      </c>
      <c r="AA64" s="150">
        <f t="shared" si="103"/>
        <v>-358.60195313159608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321.35000000000002</v>
      </c>
      <c r="F68" s="218">
        <f>main!M83/1000</f>
        <v>291.39999999999998</v>
      </c>
      <c r="G68" s="151">
        <f>main!N83/1000</f>
        <v>284.15100000000001</v>
      </c>
      <c r="H68" s="218">
        <f>main!O83/1000</f>
        <v>357.63880399999999</v>
      </c>
      <c r="I68" s="218">
        <f>main!P83/1000</f>
        <v>319.529759216</v>
      </c>
      <c r="J68" s="218">
        <f>main!Q83/1000</f>
        <v>320.32387825286401</v>
      </c>
      <c r="K68" s="151">
        <f>main!R83/1000</f>
        <v>315.12117376587548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336.16070694732593</v>
      </c>
      <c r="U68" s="248">
        <f t="shared" si="104"/>
        <v>341.92715340182366</v>
      </c>
      <c r="V68" s="248">
        <f t="shared" si="104"/>
        <v>342.39133861647292</v>
      </c>
      <c r="W68" s="249">
        <f t="shared" si="104"/>
        <v>342.89676890833556</v>
      </c>
      <c r="X68" s="248">
        <f t="shared" si="104"/>
        <v>343.45498373359641</v>
      </c>
      <c r="Y68" s="248">
        <f t="shared" si="104"/>
        <v>344.05786382998645</v>
      </c>
      <c r="Z68" s="248">
        <f t="shared" si="104"/>
        <v>344.77300996037025</v>
      </c>
      <c r="AA68" s="249">
        <f t="shared" si="104"/>
        <v>345.55312735123522</v>
      </c>
      <c r="AB68" s="95"/>
    </row>
    <row r="69" spans="1:28" x14ac:dyDescent="0.35">
      <c r="B69" t="s">
        <v>177</v>
      </c>
      <c r="D69" s="102">
        <f t="shared" ref="D69:O69" si="105">D17</f>
        <v>884.2600000000001</v>
      </c>
      <c r="E69" s="104">
        <f t="shared" si="105"/>
        <v>242.12799999999999</v>
      </c>
      <c r="F69" s="104">
        <f t="shared" si="105"/>
        <v>225.90700000000001</v>
      </c>
      <c r="G69" s="149">
        <f t="shared" si="105"/>
        <v>260.73700000000002</v>
      </c>
      <c r="H69" s="104">
        <f t="shared" si="105"/>
        <v>232.07518871317359</v>
      </c>
      <c r="I69" s="104">
        <f t="shared" si="105"/>
        <v>215.720203842161</v>
      </c>
      <c r="J69" s="104">
        <f t="shared" si="105"/>
        <v>220.89139620745101</v>
      </c>
      <c r="K69" s="149">
        <f t="shared" si="105"/>
        <v>226.76914626180869</v>
      </c>
      <c r="L69" s="104">
        <f t="shared" si="105"/>
        <v>232.32795235033251</v>
      </c>
      <c r="M69" s="104">
        <f t="shared" si="105"/>
        <v>237.9298898973548</v>
      </c>
      <c r="N69" s="104">
        <f t="shared" si="105"/>
        <v>251.6040694504666</v>
      </c>
      <c r="O69" s="149">
        <f t="shared" si="105"/>
        <v>265.27969850165113</v>
      </c>
      <c r="P69" s="231">
        <f t="shared" ref="P69:AA69" si="106">P17</f>
        <v>279.09879389494898</v>
      </c>
      <c r="Q69" s="231">
        <f t="shared" si="106"/>
        <v>293.05961551598227</v>
      </c>
      <c r="R69" s="231">
        <f t="shared" si="106"/>
        <v>298.02592203707633</v>
      </c>
      <c r="S69" s="245">
        <f t="shared" si="106"/>
        <v>303.15281641427401</v>
      </c>
      <c r="T69" s="231">
        <f t="shared" si="106"/>
        <v>308.34003676535349</v>
      </c>
      <c r="U69" s="231">
        <f t="shared" si="106"/>
        <v>313.62925193845189</v>
      </c>
      <c r="V69" s="231">
        <f t="shared" si="106"/>
        <v>314.05502117082477</v>
      </c>
      <c r="W69" s="247">
        <f t="shared" si="106"/>
        <v>314.5186220365847</v>
      </c>
      <c r="X69" s="231">
        <f t="shared" si="106"/>
        <v>315.03063898617683</v>
      </c>
      <c r="Y69" s="231">
        <f t="shared" si="106"/>
        <v>315.58362470772079</v>
      </c>
      <c r="Z69" s="231">
        <f t="shared" si="106"/>
        <v>316.2395853229205</v>
      </c>
      <c r="AA69" s="247">
        <f t="shared" si="106"/>
        <v>316.95514017513671</v>
      </c>
      <c r="AB69" s="95"/>
    </row>
    <row r="70" spans="1:28" s="170" customFormat="1" ht="12" x14ac:dyDescent="0.3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5.002107471051298E-2</v>
      </c>
      <c r="R70" s="230">
        <f t="shared" ref="R70" si="108">(R69/Q69)-1</f>
        <v>1.6946403592149606E-2</v>
      </c>
      <c r="S70" s="246">
        <f t="shared" ref="S70" si="109">(S69/R69)-1</f>
        <v>1.7202847128713339E-2</v>
      </c>
      <c r="T70" s="230">
        <f t="shared" ref="T70" si="110">(T69/S69)-1</f>
        <v>1.7110909317731293E-2</v>
      </c>
      <c r="U70" s="230">
        <f t="shared" ref="U70" si="111">(U69/T69)-1</f>
        <v>1.7153838433000779E-2</v>
      </c>
      <c r="V70" s="230">
        <f t="shared" ref="V70" si="112">(V69/U69)-1</f>
        <v>1.3575558712757285E-3</v>
      </c>
      <c r="W70" s="246">
        <f t="shared" ref="W70" si="113">(W69/V69)-1</f>
        <v>1.4761772126157258E-3</v>
      </c>
      <c r="X70" s="230">
        <f t="shared" ref="X70" si="114">(X69/W69)-1</f>
        <v>1.6279384230946103E-3</v>
      </c>
      <c r="Y70" s="230">
        <f t="shared" ref="Y70" si="115">(Y69/X69)-1</f>
        <v>1.7553394911795639E-3</v>
      </c>
      <c r="Z70" s="230">
        <f t="shared" ref="Z70" si="116">(Z69/Y69)-1</f>
        <v>2.0785635370252908E-3</v>
      </c>
      <c r="AA70" s="246">
        <f t="shared" ref="AA70" si="117">(AA69/Z69)-1</f>
        <v>2.2626985533311661E-3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65.492999999999967</v>
      </c>
      <c r="G71" s="150">
        <f t="shared" ref="G71:K71" si="118">G68-G69</f>
        <v>23.413999999999987</v>
      </c>
      <c r="H71" s="217">
        <f t="shared" si="118"/>
        <v>125.5636152868264</v>
      </c>
      <c r="I71" s="217">
        <f t="shared" si="118"/>
        <v>103.809555373839</v>
      </c>
      <c r="J71" s="217">
        <f t="shared" si="118"/>
        <v>99.432482045412996</v>
      </c>
      <c r="K71" s="150">
        <f t="shared" si="118"/>
        <v>88.352027504066797</v>
      </c>
      <c r="L71" s="217">
        <f t="shared" ref="L71:N71" si="119">L68-L69</f>
        <v>77.593706110606433</v>
      </c>
      <c r="M71" s="217">
        <f t="shared" si="119"/>
        <v>72.795455197427913</v>
      </c>
      <c r="N71" s="217">
        <f t="shared" si="119"/>
        <v>59.928177024695259</v>
      </c>
      <c r="O71" s="150">
        <f t="shared" ref="O71:AA71" si="120">O68-O69</f>
        <v>47.062676959411363</v>
      </c>
      <c r="P71" s="250">
        <f t="shared" si="120"/>
        <v>34.056951067957698</v>
      </c>
      <c r="Q71" s="250">
        <f t="shared" si="120"/>
        <v>37.445842510045054</v>
      </c>
      <c r="R71" s="250">
        <f t="shared" si="120"/>
        <v>32.479535988951</v>
      </c>
      <c r="S71" s="239">
        <f t="shared" si="120"/>
        <v>27.352641611753313</v>
      </c>
      <c r="T71" s="250">
        <f t="shared" si="120"/>
        <v>27.820670181972446</v>
      </c>
      <c r="U71" s="250">
        <f t="shared" si="120"/>
        <v>28.297901463371772</v>
      </c>
      <c r="V71" s="250">
        <f t="shared" si="120"/>
        <v>28.336317445648149</v>
      </c>
      <c r="W71" s="251">
        <f t="shared" si="120"/>
        <v>28.378146871750857</v>
      </c>
      <c r="X71" s="250">
        <f t="shared" si="120"/>
        <v>28.424344747419582</v>
      </c>
      <c r="Y71" s="250">
        <f t="shared" si="120"/>
        <v>28.474239122265658</v>
      </c>
      <c r="Z71" s="250">
        <f t="shared" si="120"/>
        <v>28.533424637449741</v>
      </c>
      <c r="AA71" s="251">
        <f t="shared" si="120"/>
        <v>28.597987176098513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I1" activePane="topRight" state="frozen"/>
      <selection pane="topRight" activeCell="J4" sqref="J4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286</v>
      </c>
      <c r="J1" t="s">
        <v>272</v>
      </c>
      <c r="K1" t="s">
        <v>288</v>
      </c>
      <c r="L1" t="s">
        <v>289</v>
      </c>
      <c r="M1" t="s">
        <v>290</v>
      </c>
      <c r="N1" t="s">
        <v>345</v>
      </c>
      <c r="O1" t="s">
        <v>359</v>
      </c>
      <c r="P1" t="s">
        <v>370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321.35000000000002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-8.7680000000000007</v>
      </c>
      <c r="C3">
        <f t="array" ref="C3:C24">TRANSPOSE('add-ons calculations'!F31:AA31)</f>
        <v>87.676999999999992</v>
      </c>
      <c r="D3">
        <f t="array" ref="D3:D24">TRANSPOSE('add-ons calculations'!F37:AA37)</f>
        <v>-35.750999999999976</v>
      </c>
      <c r="E3">
        <f t="array" ref="E3:E24">TRANSPOSE('add-ons calculations'!F43:AA43)</f>
        <v>-5.7000000000000028</v>
      </c>
      <c r="F3">
        <f t="array" ref="F3:F24">TRANSPOSE('add-ons calculations'!F50:AA50)</f>
        <v>-43.987999999999829</v>
      </c>
      <c r="G3">
        <f t="array" ref="G3:G24">TRANSPOSE('add-ons calculations'!F57:AA57)</f>
        <v>709.8010000000013</v>
      </c>
      <c r="H3">
        <f t="array" ref="H3:H24">TRANSPOSE('add-ons calculations'!F64:AA64)</f>
        <v>603.68000000000006</v>
      </c>
      <c r="I3">
        <f t="array" ref="I3:I24">TRANSPOSE('add-ons calculations'!F71:AA71)</f>
        <v>65.492999999999967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14.165816906412658</v>
      </c>
      <c r="C4">
        <v>-34.992000000000019</v>
      </c>
      <c r="D4">
        <v>-86.951000000000022</v>
      </c>
      <c r="E4">
        <v>-4.3825959008611193</v>
      </c>
      <c r="F4">
        <v>-30.475999999999885</v>
      </c>
      <c r="G4">
        <v>219.09299999999985</v>
      </c>
      <c r="H4">
        <v>208.23599999999993</v>
      </c>
      <c r="I4">
        <v>23.413999999999987</v>
      </c>
      <c r="J4" s="151">
        <f>'add-ons calculations'!G68</f>
        <v>284.15100000000001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11.798701344421289</v>
      </c>
      <c r="C5">
        <v>3.7728995470785094</v>
      </c>
      <c r="D5">
        <v>-74.668790726255111</v>
      </c>
      <c r="E5">
        <v>-3.7832762292649704</v>
      </c>
      <c r="F5">
        <v>-4.0293645275978633</v>
      </c>
      <c r="G5">
        <v>1488.7674453956693</v>
      </c>
      <c r="H5">
        <v>389.89820174709951</v>
      </c>
      <c r="I5">
        <v>125.5636152868264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35">
      <c r="A6" s="188">
        <v>44377</v>
      </c>
      <c r="B6">
        <v>7.6523185542003773</v>
      </c>
      <c r="C6">
        <v>0.96715476915696286</v>
      </c>
      <c r="D6">
        <v>-83.796216356273817</v>
      </c>
      <c r="E6">
        <v>-4.2315543175006098</v>
      </c>
      <c r="F6">
        <v>32.473104742464102</v>
      </c>
      <c r="G6">
        <v>373.18358526468296</v>
      </c>
      <c r="H6">
        <v>387.96950176555845</v>
      </c>
      <c r="I6">
        <v>103.809555373839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35">
      <c r="A7" s="188">
        <v>44469</v>
      </c>
      <c r="B7">
        <v>7.0672258031208912</v>
      </c>
      <c r="C7">
        <v>-2.6853719233534719</v>
      </c>
      <c r="D7">
        <v>-82.632024980574215</v>
      </c>
      <c r="E7">
        <v>-4.1763953360549806</v>
      </c>
      <c r="F7">
        <v>25.336050976078923</v>
      </c>
      <c r="G7">
        <v>172.19456217868969</v>
      </c>
      <c r="H7">
        <v>-263.99839104983226</v>
      </c>
      <c r="I7">
        <v>99.432482045412996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35">
      <c r="A8" s="188">
        <v>44561</v>
      </c>
      <c r="B8">
        <v>6.4821330520413767</v>
      </c>
      <c r="C8">
        <v>-8.3133907387605745</v>
      </c>
      <c r="D8">
        <v>-81.941881281215274</v>
      </c>
      <c r="E8">
        <v>-4.14432401327538</v>
      </c>
      <c r="F8">
        <v>25.876877146617062</v>
      </c>
      <c r="G8">
        <v>167.42949574283534</v>
      </c>
      <c r="H8">
        <v>-287.32230778657441</v>
      </c>
      <c r="I8">
        <v>88.352027504066797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35">
      <c r="A9" s="188">
        <v>44651</v>
      </c>
      <c r="B9">
        <v>47.454444332033063</v>
      </c>
      <c r="C9">
        <v>-12.746557895276226</v>
      </c>
      <c r="D9">
        <v>0</v>
      </c>
      <c r="E9">
        <v>0</v>
      </c>
      <c r="F9">
        <v>26.417703317155201</v>
      </c>
      <c r="G9">
        <v>166.80107708132459</v>
      </c>
      <c r="H9">
        <v>-334.72051450560957</v>
      </c>
      <c r="I9">
        <v>77.593706110606433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35">
      <c r="A10" s="188">
        <v>44742</v>
      </c>
      <c r="B10">
        <v>46.869351580953548</v>
      </c>
      <c r="C10">
        <v>-13.145675591671591</v>
      </c>
      <c r="D10">
        <v>0</v>
      </c>
      <c r="E10">
        <v>0</v>
      </c>
      <c r="F10">
        <v>26.958529487693568</v>
      </c>
      <c r="G10">
        <v>165.01052030304004</v>
      </c>
      <c r="H10">
        <v>-336.30233306180742</v>
      </c>
      <c r="I10">
        <v>72.795455197427913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35">
      <c r="A11" s="188">
        <v>44834</v>
      </c>
      <c r="B11">
        <v>46.361660893304077</v>
      </c>
      <c r="C11">
        <v>-14.21099145984644</v>
      </c>
      <c r="D11">
        <v>0</v>
      </c>
      <c r="E11">
        <v>0</v>
      </c>
      <c r="F11">
        <v>27.187848652661387</v>
      </c>
      <c r="G11">
        <v>167.13630141585099</v>
      </c>
      <c r="H11">
        <v>-337.87409768650394</v>
      </c>
      <c r="I11">
        <v>59.928177024695259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35">
      <c r="A12" s="188">
        <v>44926</v>
      </c>
      <c r="B12">
        <v>45.853970205654605</v>
      </c>
      <c r="C12">
        <v>-15.338034745617193</v>
      </c>
      <c r="D12">
        <v>0</v>
      </c>
      <c r="E12">
        <v>0</v>
      </c>
      <c r="F12">
        <v>27.417167817629206</v>
      </c>
      <c r="G12">
        <v>168.2446480983549</v>
      </c>
      <c r="H12">
        <v>-339.44251100070011</v>
      </c>
      <c r="I12">
        <v>47.062676959411363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35">
      <c r="A13" s="188">
        <v>45016</v>
      </c>
      <c r="B13">
        <v>45.346279518005133</v>
      </c>
      <c r="C13">
        <v>-16.533927843321862</v>
      </c>
      <c r="D13">
        <v>0</v>
      </c>
      <c r="E13">
        <v>0</v>
      </c>
      <c r="F13">
        <v>27.646486982597025</v>
      </c>
      <c r="G13">
        <v>168.63480753902218</v>
      </c>
      <c r="H13">
        <v>-341.0159512806469</v>
      </c>
      <c r="I13">
        <v>34.056951067957698</v>
      </c>
      <c r="K13" s="102">
        <f t="shared" si="1"/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35">
      <c r="A14" s="188">
        <v>45107</v>
      </c>
      <c r="B14">
        <v>44.838588830355661</v>
      </c>
      <c r="C14">
        <v>-17.755936386932433</v>
      </c>
      <c r="D14">
        <v>0</v>
      </c>
      <c r="E14">
        <v>0</v>
      </c>
      <c r="F14">
        <v>27.875806147564845</v>
      </c>
      <c r="G14">
        <v>168.19927592143449</v>
      </c>
      <c r="H14">
        <v>-342.60447245784553</v>
      </c>
      <c r="I14">
        <v>37.445842510045054</v>
      </c>
      <c r="K14" s="102">
        <f t="shared" si="1"/>
        <v>0</v>
      </c>
      <c r="N14">
        <v>59</v>
      </c>
      <c r="O14">
        <v>0</v>
      </c>
      <c r="P14">
        <v>0</v>
      </c>
    </row>
    <row r="15" spans="1:16" x14ac:dyDescent="0.35">
      <c r="A15" s="188">
        <v>45199</v>
      </c>
      <c r="B15">
        <v>45.103772151336528</v>
      </c>
      <c r="C15">
        <v>-18.256936057051234</v>
      </c>
      <c r="D15">
        <v>0</v>
      </c>
      <c r="E15">
        <v>0</v>
      </c>
      <c r="F15">
        <v>28.064837938374012</v>
      </c>
      <c r="G15">
        <v>169.05014972387244</v>
      </c>
      <c r="H15">
        <v>-344.20807453229611</v>
      </c>
      <c r="I15">
        <v>32.479535988951</v>
      </c>
      <c r="K15" s="102">
        <f t="shared" si="1"/>
        <v>0</v>
      </c>
      <c r="N15">
        <v>59</v>
      </c>
      <c r="O15">
        <v>0</v>
      </c>
      <c r="P15">
        <v>0</v>
      </c>
    </row>
    <row r="16" spans="1:16" x14ac:dyDescent="0.35">
      <c r="A16" s="188">
        <v>45291</v>
      </c>
      <c r="B16">
        <v>45.368955472317282</v>
      </c>
      <c r="C16">
        <v>-18.784051173076023</v>
      </c>
      <c r="D16">
        <v>0</v>
      </c>
      <c r="E16">
        <v>0</v>
      </c>
      <c r="F16">
        <v>28.253869729183407</v>
      </c>
      <c r="G16">
        <v>170.00590378118795</v>
      </c>
      <c r="H16">
        <v>-345.82173053824783</v>
      </c>
      <c r="I16">
        <v>27.352641611753313</v>
      </c>
      <c r="K16" s="102">
        <f t="shared" si="1"/>
        <v>0</v>
      </c>
      <c r="N16">
        <v>59</v>
      </c>
      <c r="O16">
        <v>0</v>
      </c>
      <c r="P16">
        <v>0</v>
      </c>
    </row>
    <row r="17" spans="1:16" x14ac:dyDescent="0.35">
      <c r="A17" s="188">
        <v>45382</v>
      </c>
      <c r="B17">
        <v>45.634138793298064</v>
      </c>
      <c r="C17">
        <v>-19.334907603560794</v>
      </c>
      <c r="D17">
        <v>0</v>
      </c>
      <c r="E17">
        <v>0</v>
      </c>
      <c r="F17">
        <v>28.442901519992802</v>
      </c>
      <c r="G17">
        <v>170.91789903564108</v>
      </c>
      <c r="H17">
        <v>-347.43203523369914</v>
      </c>
      <c r="I17">
        <v>27.820670181972446</v>
      </c>
      <c r="K17" s="102">
        <f t="shared" si="1"/>
        <v>0</v>
      </c>
      <c r="N17">
        <v>59</v>
      </c>
      <c r="O17">
        <v>0</v>
      </c>
      <c r="P17">
        <v>0</v>
      </c>
    </row>
    <row r="18" spans="1:16" x14ac:dyDescent="0.35">
      <c r="A18" s="188">
        <v>45473</v>
      </c>
      <c r="B18">
        <v>45.899322114278874</v>
      </c>
      <c r="C18">
        <v>-19.852526193801623</v>
      </c>
      <c r="D18">
        <v>0</v>
      </c>
      <c r="E18">
        <v>0</v>
      </c>
      <c r="F18">
        <v>28.631933310801969</v>
      </c>
      <c r="G18">
        <v>171.8886940793775</v>
      </c>
      <c r="H18">
        <v>-349.04736689490124</v>
      </c>
      <c r="I18">
        <v>28.297901463371772</v>
      </c>
      <c r="K18" s="102">
        <f t="shared" si="1"/>
        <v>0</v>
      </c>
      <c r="N18">
        <v>59</v>
      </c>
      <c r="O18">
        <v>0</v>
      </c>
      <c r="P18">
        <v>0</v>
      </c>
    </row>
    <row r="19" spans="1:16" x14ac:dyDescent="0.35">
      <c r="A19" s="188">
        <v>45565</v>
      </c>
      <c r="B19">
        <v>46.581423935949147</v>
      </c>
      <c r="C19">
        <v>-19.931504702215932</v>
      </c>
      <c r="D19">
        <v>0</v>
      </c>
      <c r="E19">
        <v>0</v>
      </c>
      <c r="F19">
        <v>29.337432345276966</v>
      </c>
      <c r="G19">
        <v>175.88490667644419</v>
      </c>
      <c r="H19">
        <v>-350.66604986660371</v>
      </c>
      <c r="I19">
        <v>28.336317445648149</v>
      </c>
      <c r="K19" s="102">
        <f t="shared" si="1"/>
        <v>0</v>
      </c>
      <c r="N19">
        <v>59</v>
      </c>
      <c r="O19">
        <v>0</v>
      </c>
      <c r="P19">
        <v>0</v>
      </c>
    </row>
    <row r="20" spans="1:16" x14ac:dyDescent="0.35">
      <c r="A20" s="188">
        <v>45657</v>
      </c>
      <c r="B20">
        <v>47.263525757619476</v>
      </c>
      <c r="C20">
        <v>-20.00810907918418</v>
      </c>
      <c r="D20">
        <v>0</v>
      </c>
      <c r="E20">
        <v>0</v>
      </c>
      <c r="F20">
        <v>30.042931379751963</v>
      </c>
      <c r="G20">
        <v>179.26174446138884</v>
      </c>
      <c r="H20">
        <v>-352.28305718305586</v>
      </c>
      <c r="I20">
        <v>28.378146871750857</v>
      </c>
      <c r="K20" s="102">
        <f t="shared" si="1"/>
        <v>0</v>
      </c>
      <c r="N20">
        <v>59</v>
      </c>
      <c r="O20">
        <v>0</v>
      </c>
      <c r="P20">
        <v>0</v>
      </c>
    </row>
    <row r="21" spans="1:16" x14ac:dyDescent="0.35">
      <c r="A21" s="188">
        <v>45747</v>
      </c>
      <c r="B21">
        <v>47.94562757928972</v>
      </c>
      <c r="C21">
        <v>-20.082339324706481</v>
      </c>
      <c r="D21">
        <v>0</v>
      </c>
      <c r="E21">
        <v>0</v>
      </c>
      <c r="F21">
        <v>30.748430414226959</v>
      </c>
      <c r="G21">
        <v>181.86089298438924</v>
      </c>
      <c r="H21">
        <v>-353.87995663650565</v>
      </c>
      <c r="I21">
        <v>28.424344747419582</v>
      </c>
      <c r="K21" s="102">
        <f t="shared" si="1"/>
        <v>0</v>
      </c>
      <c r="N21">
        <v>59</v>
      </c>
      <c r="O21">
        <v>0</v>
      </c>
      <c r="P21">
        <v>0</v>
      </c>
    </row>
    <row r="22" spans="1:16" x14ac:dyDescent="0.35">
      <c r="A22" s="188">
        <v>45838</v>
      </c>
      <c r="B22">
        <v>48.627729400959993</v>
      </c>
      <c r="C22">
        <v>-20.156569570228783</v>
      </c>
      <c r="D22">
        <v>0</v>
      </c>
      <c r="E22">
        <v>0</v>
      </c>
      <c r="F22">
        <v>31.453929448701956</v>
      </c>
      <c r="G22">
        <v>183.75742117674554</v>
      </c>
      <c r="H22">
        <v>-355.46512650320386</v>
      </c>
      <c r="I22">
        <v>28.474239122265658</v>
      </c>
      <c r="K22" s="102">
        <f t="shared" si="1"/>
        <v>0</v>
      </c>
      <c r="N22">
        <v>59</v>
      </c>
      <c r="O22">
        <v>0</v>
      </c>
      <c r="P22">
        <v>0</v>
      </c>
    </row>
    <row r="23" spans="1:16" x14ac:dyDescent="0.35">
      <c r="A23" s="188">
        <v>45930</v>
      </c>
      <c r="B23">
        <v>49.307005274555195</v>
      </c>
      <c r="C23">
        <v>-20.233531612277602</v>
      </c>
      <c r="D23">
        <v>0</v>
      </c>
      <c r="E23">
        <v>0</v>
      </c>
      <c r="F23">
        <v>31.979739400361268</v>
      </c>
      <c r="G23">
        <v>184.64240235455236</v>
      </c>
      <c r="H23">
        <v>-357.0385667831506</v>
      </c>
      <c r="I23">
        <v>28.533424637449741</v>
      </c>
      <c r="K23" s="102">
        <f t="shared" si="1"/>
        <v>0</v>
      </c>
      <c r="N23">
        <v>59</v>
      </c>
      <c r="O23">
        <v>0</v>
      </c>
      <c r="P23">
        <v>0</v>
      </c>
    </row>
    <row r="24" spans="1:16" x14ac:dyDescent="0.35">
      <c r="A24" s="188">
        <v>46022</v>
      </c>
      <c r="B24">
        <v>49.986281148150368</v>
      </c>
      <c r="C24">
        <v>-20.310493654326422</v>
      </c>
      <c r="D24">
        <v>0</v>
      </c>
      <c r="E24">
        <v>0</v>
      </c>
      <c r="F24">
        <v>32.50554935202058</v>
      </c>
      <c r="G24">
        <v>185.8257989231065</v>
      </c>
      <c r="H24">
        <v>-358.60195313159608</v>
      </c>
      <c r="I24">
        <v>28.597987176098513</v>
      </c>
      <c r="K24" s="102">
        <f t="shared" si="1"/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265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212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206</v>
      </c>
      <c r="B1" s="349"/>
      <c r="C1" s="35"/>
      <c r="I1" s="240"/>
      <c r="J1" s="356" t="s">
        <v>279</v>
      </c>
      <c r="V1" s="340"/>
      <c r="W1" s="340"/>
      <c r="X1" s="340"/>
      <c r="Y1" s="340"/>
    </row>
    <row r="2" spans="1:27" x14ac:dyDescent="0.35">
      <c r="A2" s="350" t="s">
        <v>191</v>
      </c>
      <c r="B2" s="126"/>
      <c r="C2" t="s">
        <v>192</v>
      </c>
      <c r="H2" s="95"/>
      <c r="I2" s="241"/>
      <c r="J2" s="356"/>
    </row>
    <row r="3" spans="1:27" x14ac:dyDescent="0.35">
      <c r="A3" s="351"/>
      <c r="B3" s="127"/>
      <c r="C3" t="s">
        <v>193</v>
      </c>
      <c r="H3" s="95"/>
      <c r="I3" s="241"/>
      <c r="J3" s="356"/>
    </row>
    <row r="4" spans="1:27" x14ac:dyDescent="0.35">
      <c r="A4" s="351"/>
      <c r="B4" s="128"/>
      <c r="C4" t="s">
        <v>194</v>
      </c>
      <c r="H4" s="95"/>
      <c r="I4" s="95"/>
      <c r="J4" s="95"/>
    </row>
    <row r="5" spans="1:27" x14ac:dyDescent="0.35">
      <c r="A5" s="352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269</v>
      </c>
      <c r="P7" s="354"/>
      <c r="Q7" s="354"/>
      <c r="R7" s="354"/>
      <c r="S7" s="353" t="s">
        <v>273</v>
      </c>
      <c r="T7" s="354"/>
      <c r="U7" s="354"/>
      <c r="V7" s="354"/>
      <c r="W7" s="353" t="s">
        <v>274</v>
      </c>
      <c r="X7" s="354"/>
      <c r="Y7" s="354"/>
      <c r="Z7" s="354"/>
      <c r="AA7" s="222" t="s">
        <v>275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286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-35.750999999999976</v>
      </c>
      <c r="E2" s="259">
        <f t="array" ref="E2:E23">TRANSPOSE('add-ons calculations'!F43:AA43)</f>
        <v>-5.7000000000000028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603.68000000000006</v>
      </c>
      <c r="I2" s="259">
        <f t="array" ref="I2:I23">TRANSPOSE('add-ons calculations'!F71:AA71)</f>
        <v>65.492999999999967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-86.951000000000022</v>
      </c>
      <c r="E3" s="259">
        <v>-4.3825959008611193</v>
      </c>
      <c r="F3" s="259">
        <v>30.68379862957454</v>
      </c>
      <c r="G3" s="259">
        <v>591.06441309996126</v>
      </c>
      <c r="H3" s="259">
        <v>208.23599999999993</v>
      </c>
      <c r="I3" s="259">
        <v>23.413999999999987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-74.668790726255111</v>
      </c>
      <c r="E4" s="259">
        <v>-3.7832762292649704</v>
      </c>
      <c r="F4" s="259">
        <v>66.012511731550148</v>
      </c>
      <c r="G4" s="259">
        <v>1201.8936191406992</v>
      </c>
      <c r="H4" s="259">
        <v>389.89820174709951</v>
      </c>
      <c r="I4" s="259">
        <v>125.5636152868264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-83.796216356273817</v>
      </c>
      <c r="E5" s="259">
        <v>-4.2315543175006098</v>
      </c>
      <c r="F5" s="259">
        <v>101.61723848447548</v>
      </c>
      <c r="G5" s="259">
        <v>854.05661636033483</v>
      </c>
      <c r="H5" s="259">
        <v>387.96950176555845</v>
      </c>
      <c r="I5" s="259">
        <v>103.809555373839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-82.632024980574215</v>
      </c>
      <c r="E6" s="259">
        <v>-4.1763953360549806</v>
      </c>
      <c r="F6" s="259">
        <v>137.50135897728978</v>
      </c>
      <c r="G6" s="259">
        <v>906.03001879956446</v>
      </c>
      <c r="H6" s="259">
        <v>-263.99839104983226</v>
      </c>
      <c r="I6" s="259">
        <v>99.432482045412996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-81.941881281215274</v>
      </c>
      <c r="E7" s="259">
        <v>-4.14432401327538</v>
      </c>
      <c r="F7" s="259">
        <v>144.44402858127864</v>
      </c>
      <c r="G7" s="259">
        <v>926.50683572140088</v>
      </c>
      <c r="H7" s="259">
        <v>-287.32230778657441</v>
      </c>
      <c r="I7" s="259">
        <v>88.352027504066797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-334.72051450560957</v>
      </c>
      <c r="I8" s="259">
        <v>77.593706110606433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-336.30233306180742</v>
      </c>
      <c r="I9" s="259">
        <v>72.795455197427913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-337.87409768650394</v>
      </c>
      <c r="I10" s="259">
        <v>59.928177024695259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-339.44251100070011</v>
      </c>
      <c r="I11" s="259">
        <v>47.062676959411363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-341.0159512806469</v>
      </c>
      <c r="I12" s="259">
        <v>34.056951067957698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-342.60447245784553</v>
      </c>
      <c r="I13" s="259">
        <v>37.445842510045054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-344.20807453229611</v>
      </c>
      <c r="I14" s="259">
        <v>32.479535988951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-345.82173053824783</v>
      </c>
      <c r="I15" s="259">
        <v>27.352641611753313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-347.43203523369914</v>
      </c>
      <c r="I16" s="259">
        <v>27.820670181972446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-349.04736689490124</v>
      </c>
      <c r="I17" s="259">
        <v>28.297901463371772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-350.66604986660371</v>
      </c>
      <c r="I18" s="259">
        <v>28.336317445648149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-352.28305718305586</v>
      </c>
      <c r="I19" s="259">
        <v>28.378146871750857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-353.87995663650565</v>
      </c>
      <c r="I20" s="259">
        <v>28.424344747419582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-355.46512650320386</v>
      </c>
      <c r="I21" s="259">
        <v>28.474239122265658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-357.0385667831506</v>
      </c>
      <c r="I22" s="259">
        <v>28.533424637449741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-358.60195313159608</v>
      </c>
      <c r="I23" s="259">
        <v>28.597987176098513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321</v>
      </c>
      <c r="B1" s="297" t="s">
        <v>322</v>
      </c>
      <c r="C1" s="297" t="s">
        <v>323</v>
      </c>
      <c r="D1" s="297" t="s">
        <v>324</v>
      </c>
      <c r="E1" s="297" t="s">
        <v>325</v>
      </c>
      <c r="F1" s="297" t="s">
        <v>326</v>
      </c>
      <c r="G1" s="297" t="s">
        <v>327</v>
      </c>
      <c r="H1" s="297" t="s">
        <v>328</v>
      </c>
      <c r="I1" s="297" t="s">
        <v>329</v>
      </c>
      <c r="J1" s="297" t="s">
        <v>374</v>
      </c>
    </row>
    <row r="2" spans="1:10" x14ac:dyDescent="0.35">
      <c r="A2" t="s">
        <v>291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292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293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294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295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296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297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298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330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331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300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301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302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303</v>
      </c>
      <c r="H15">
        <v>1078100</v>
      </c>
      <c r="I15">
        <v>15600</v>
      </c>
      <c r="J15">
        <v>5000</v>
      </c>
    </row>
    <row r="16" spans="1:10" x14ac:dyDescent="0.35">
      <c r="A16" t="s">
        <v>304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305</v>
      </c>
      <c r="H17">
        <v>19100</v>
      </c>
      <c r="I17">
        <v>27000</v>
      </c>
      <c r="J17">
        <v>10800</v>
      </c>
    </row>
    <row r="18" spans="1:10" x14ac:dyDescent="0.35">
      <c r="A18" t="s">
        <v>306</v>
      </c>
      <c r="H18">
        <v>160900</v>
      </c>
      <c r="I18">
        <v>58400</v>
      </c>
      <c r="J18">
        <v>34500</v>
      </c>
    </row>
    <row r="19" spans="1:10" x14ac:dyDescent="0.35">
      <c r="A19" t="s">
        <v>307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308</v>
      </c>
      <c r="H20">
        <v>609300</v>
      </c>
      <c r="I20">
        <v>865600</v>
      </c>
      <c r="J20">
        <v>260300</v>
      </c>
    </row>
    <row r="21" spans="1:10" x14ac:dyDescent="0.35">
      <c r="A21" t="s">
        <v>309</v>
      </c>
      <c r="H21">
        <v>63800</v>
      </c>
      <c r="I21">
        <v>15000</v>
      </c>
      <c r="J21">
        <v>100</v>
      </c>
    </row>
    <row r="22" spans="1:10" x14ac:dyDescent="0.35">
      <c r="A22" t="s">
        <v>310</v>
      </c>
      <c r="H22">
        <v>73300</v>
      </c>
      <c r="I22">
        <v>73300</v>
      </c>
      <c r="J22">
        <v>73300</v>
      </c>
    </row>
    <row r="23" spans="1:10" x14ac:dyDescent="0.35">
      <c r="A23" t="s">
        <v>311</v>
      </c>
      <c r="H23">
        <v>140000</v>
      </c>
      <c r="I23">
        <v>140000</v>
      </c>
      <c r="J23">
        <v>140000</v>
      </c>
    </row>
    <row r="24" spans="1:10" x14ac:dyDescent="0.35">
      <c r="A24" t="s">
        <v>312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315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314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316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317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318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319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320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299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333</v>
      </c>
      <c r="H33">
        <v>277100</v>
      </c>
      <c r="I33">
        <v>228300</v>
      </c>
      <c r="J33">
        <v>213400</v>
      </c>
    </row>
    <row r="34" spans="1:10" x14ac:dyDescent="0.35">
      <c r="A34" t="s">
        <v>313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255</v>
      </c>
      <c r="B1" t="s">
        <v>287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237</v>
      </c>
      <c r="C8" s="160"/>
      <c r="D8" s="161">
        <f>SUMPRODUCT(B5:B6,C5:C6)</f>
        <v>0.45</v>
      </c>
    </row>
    <row r="9" spans="1:16" x14ac:dyDescent="0.35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237</v>
      </c>
      <c r="C8" s="160"/>
      <c r="D8" s="161">
        <f>SUMPRODUCT(B5:B6,C5:C6)</f>
        <v>0.52500000000000002</v>
      </c>
    </row>
    <row r="9" spans="1:16" x14ac:dyDescent="0.35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35">
      <c r="A15" t="s">
        <v>222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191</v>
      </c>
      <c r="B2" s="107"/>
      <c r="C2" t="s">
        <v>192</v>
      </c>
    </row>
    <row r="3" spans="1:32" x14ac:dyDescent="0.35">
      <c r="A3" s="363"/>
      <c r="B3" s="108"/>
      <c r="C3" t="s">
        <v>193</v>
      </c>
    </row>
    <row r="4" spans="1:32" x14ac:dyDescent="0.35">
      <c r="A4" s="363"/>
      <c r="B4" s="109"/>
      <c r="C4" t="s">
        <v>194</v>
      </c>
    </row>
    <row r="5" spans="1:32" x14ac:dyDescent="0.35">
      <c r="A5" s="363"/>
      <c r="B5" s="98"/>
      <c r="C5" t="s">
        <v>181</v>
      </c>
    </row>
    <row r="7" spans="1:32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9" t="s">
        <v>104</v>
      </c>
      <c r="B2" s="369"/>
      <c r="C2" s="369"/>
      <c r="D2" s="369"/>
      <c r="E2" s="369"/>
      <c r="F2" s="369"/>
      <c r="G2" s="369"/>
      <c r="H2" s="369"/>
      <c r="I2" s="369"/>
      <c r="J2" s="369"/>
      <c r="K2" s="77"/>
    </row>
    <row r="3" spans="1:24" x14ac:dyDescent="0.35">
      <c r="A3" s="369" t="s">
        <v>105</v>
      </c>
      <c r="B3" s="369"/>
      <c r="C3" s="369"/>
      <c r="D3" s="369"/>
      <c r="E3" s="369"/>
      <c r="F3" s="369"/>
      <c r="G3" s="369"/>
      <c r="H3" s="369"/>
      <c r="I3" s="369"/>
      <c r="J3" s="369"/>
      <c r="K3" s="77"/>
    </row>
    <row r="4" spans="1:24" ht="15" thickBot="1" x14ac:dyDescent="0.4">
      <c r="A4" s="370"/>
      <c r="B4" s="370"/>
      <c r="C4" s="370"/>
      <c r="D4" s="370"/>
      <c r="E4" s="370"/>
      <c r="F4" s="370"/>
      <c r="G4" s="370"/>
      <c r="H4" s="370"/>
      <c r="I4" s="370"/>
      <c r="J4" s="370"/>
      <c r="K4" s="375" t="s">
        <v>160</v>
      </c>
      <c r="L4" s="375"/>
      <c r="M4" s="375"/>
      <c r="N4" s="375"/>
    </row>
    <row r="5" spans="1:24" x14ac:dyDescent="0.35">
      <c r="A5" s="47"/>
      <c r="B5" s="48"/>
      <c r="C5" s="371" t="s">
        <v>106</v>
      </c>
      <c r="D5" s="372"/>
      <c r="E5" s="372"/>
      <c r="F5" s="372"/>
      <c r="G5" s="372"/>
      <c r="H5" s="372"/>
      <c r="I5" s="372"/>
      <c r="J5" s="373"/>
      <c r="K5" s="78"/>
      <c r="L5" s="374" t="s">
        <v>107</v>
      </c>
      <c r="M5" s="340"/>
      <c r="N5" s="340"/>
    </row>
    <row r="6" spans="1:24" x14ac:dyDescent="0.35">
      <c r="A6" s="1" t="s">
        <v>109</v>
      </c>
      <c r="B6" s="49"/>
      <c r="C6" s="365">
        <v>2020</v>
      </c>
      <c r="D6" s="366"/>
      <c r="E6" s="366"/>
      <c r="F6" s="366"/>
      <c r="G6" s="366"/>
      <c r="H6" s="366"/>
      <c r="I6" s="366"/>
      <c r="J6" s="367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8" t="s">
        <v>108</v>
      </c>
      <c r="L23" s="368"/>
      <c r="M23" s="368"/>
      <c r="N23" s="368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64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64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4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64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4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64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266</v>
      </c>
    </row>
    <row r="37" spans="3:23" x14ac:dyDescent="0.35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375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257</v>
      </c>
      <c r="O47">
        <v>32</v>
      </c>
    </row>
    <row r="48" spans="3:23" x14ac:dyDescent="0.35">
      <c r="N48" t="s">
        <v>258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7" t="s">
        <v>87</v>
      </c>
      <c r="F6" s="377"/>
      <c r="G6" s="377"/>
      <c r="H6" s="377"/>
      <c r="I6" s="377"/>
      <c r="J6" s="377"/>
      <c r="K6" s="377"/>
      <c r="L6" s="377"/>
      <c r="M6" s="377"/>
      <c r="N6" s="377"/>
      <c r="O6" s="377"/>
      <c r="P6" s="377"/>
      <c r="Q6" s="377"/>
      <c r="R6" s="377"/>
    </row>
    <row r="7" spans="1:18" x14ac:dyDescent="0.35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8" t="s">
        <v>95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9" t="s">
        <v>99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8" t="s">
        <v>101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purl.org/dc/dcmitype/"/>
    <ds:schemaRef ds:uri="66951ee6-cd93-49c7-9437-e871b2a117d6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cac5d118-ba7b-4807-b700-df6f95cfff5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2021-05-03T16:28:03Z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