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E495898A-88A1-456B-8440-AFE01E25D25D}" xr6:coauthVersionLast="44" xr6:coauthVersionMax="46" xr10:uidLastSave="{00000000-0000-0000-0000-000000000000}"/>
  <bookViews>
    <workbookView xWindow="-110" yWindow="-110" windowWidth="19420" windowHeight="10420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3" i="1" l="1"/>
  <c r="Q64" i="1"/>
  <c r="P63" i="1" l="1"/>
  <c r="C15" i="17"/>
  <c r="B15" i="17"/>
  <c r="C14" i="17"/>
  <c r="B14" i="17"/>
  <c r="C13" i="17"/>
  <c r="D13" i="17"/>
  <c r="B13" i="17"/>
  <c r="D12" i="17"/>
  <c r="C12" i="17"/>
  <c r="B12" i="17"/>
  <c r="C9" i="17"/>
  <c r="D9" i="17"/>
  <c r="E9" i="17"/>
  <c r="F9" i="17"/>
  <c r="G9" i="17"/>
  <c r="H9" i="17"/>
  <c r="I9" i="17"/>
  <c r="J9" i="17"/>
  <c r="B9" i="17"/>
  <c r="F7" i="17"/>
  <c r="G7" i="17"/>
  <c r="H7" i="17"/>
  <c r="I7" i="17"/>
  <c r="J7" i="17"/>
  <c r="E7" i="17"/>
  <c r="E6" i="17"/>
  <c r="F6" i="17"/>
  <c r="G6" i="17"/>
  <c r="H6" i="17"/>
  <c r="I6" i="17"/>
  <c r="D6" i="17"/>
  <c r="D5" i="17"/>
  <c r="E5" i="17"/>
  <c r="F5" i="17"/>
  <c r="G5" i="17"/>
  <c r="H5" i="17"/>
  <c r="C5" i="17"/>
  <c r="C4" i="17"/>
  <c r="D4" i="17"/>
  <c r="E4" i="17"/>
  <c r="F4" i="17"/>
  <c r="G4" i="17"/>
  <c r="B4" i="17"/>
  <c r="E2" i="17"/>
  <c r="O71" i="1" l="1"/>
  <c r="O68" i="1"/>
  <c r="O72" i="1"/>
  <c r="O80" i="1" l="1"/>
  <c r="M72" i="1"/>
  <c r="L72" i="1"/>
  <c r="O11" i="9"/>
  <c r="O12" i="9"/>
  <c r="O13" i="9"/>
  <c r="O10" i="9"/>
  <c r="O7" i="9"/>
  <c r="O8" i="9"/>
  <c r="O9" i="9"/>
  <c r="O6" i="9"/>
  <c r="L73" i="1" l="1"/>
  <c r="L69" i="1" l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O90" i="1"/>
  <c r="O91" i="1"/>
  <c r="O92" i="1"/>
  <c r="D22" i="5"/>
  <c r="D29" i="5"/>
  <c r="D36" i="5"/>
  <c r="D42" i="5"/>
  <c r="D48" i="5"/>
  <c r="D55" i="5"/>
  <c r="O74" i="1"/>
  <c r="P74" i="1"/>
  <c r="Q74" i="1"/>
  <c r="R74" i="1"/>
  <c r="S74" i="1"/>
  <c r="O89" i="1" l="1"/>
  <c r="L8" i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8" i="1"/>
  <c r="N47" i="1"/>
  <c r="N40" i="1"/>
  <c r="N11" i="1"/>
  <c r="N6" i="1"/>
  <c r="N30" i="1" s="1"/>
  <c r="G41" i="5" s="1"/>
  <c r="G43" i="5" s="1"/>
  <c r="N88" i="1"/>
  <c r="N83" i="1" l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P92" i="1" s="1"/>
  <c r="C8" i="16"/>
  <c r="Q91" i="1" s="1"/>
  <c r="C7" i="16"/>
  <c r="C14" i="16"/>
  <c r="C12" i="16"/>
  <c r="P64" i="1" s="1"/>
  <c r="C11" i="16"/>
  <c r="C6" i="16"/>
  <c r="C5" i="16"/>
  <c r="T80" i="1" s="1"/>
  <c r="C4" i="16"/>
  <c r="O37" i="1" s="1"/>
  <c r="P5" i="9" s="1"/>
  <c r="C3" i="16"/>
  <c r="O45" i="1" s="1"/>
  <c r="C2" i="16"/>
  <c r="R92" i="1"/>
  <c r="AD93" i="1"/>
  <c r="AC93" i="1"/>
  <c r="AI93" i="1"/>
  <c r="AJ93" i="1"/>
  <c r="AK93" i="1"/>
  <c r="W94" i="1"/>
  <c r="X94" i="1"/>
  <c r="Y94" i="1"/>
  <c r="Z94" i="1"/>
  <c r="P79" i="1" l="1"/>
  <c r="P90" i="1"/>
  <c r="O79" i="1"/>
  <c r="W79" i="1"/>
  <c r="W80" i="1"/>
  <c r="T66" i="1"/>
  <c r="X80" i="1"/>
  <c r="Q90" i="1"/>
  <c r="Q92" i="1"/>
  <c r="Z80" i="1"/>
  <c r="X79" i="1"/>
  <c r="V81" i="1"/>
  <c r="Y79" i="1"/>
  <c r="W81" i="1"/>
  <c r="Z79" i="1"/>
  <c r="X81" i="1"/>
  <c r="Y80" i="1"/>
  <c r="Y81" i="1"/>
  <c r="R90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O100" i="1"/>
  <c r="O93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47" i="5"/>
  <c r="H50" i="5" s="1"/>
  <c r="H71" i="5" l="1"/>
  <c r="J5" i="9"/>
  <c r="I68" i="5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<sst xmlns="http://schemas.openxmlformats.org/spreadsheetml/2006/main" count="1040" uniqueCount="397">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</sst>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48"/>
  <sheetViews>
    <sheetView tabSelected="1" zoomScale="74" zoomScaleNormal="46" workbookViewId="0">
      <pane xSplit="2" ySplit="3" topLeftCell="H4" activePane="bottomRight" state="frozen"/>
      <selection pane="topRight" activeCell="C1" sqref="C1"/>
      <selection pane="bottomLeft" activeCell="A4" sqref="A4"/>
      <selection pane="bottomRight" activeCell="I37" sqref="I37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1" t="s">
        <v>369</v>
      </c>
      <c r="B1" s="341"/>
      <c r="C1" s="268"/>
      <c r="D1" s="268"/>
      <c r="E1" s="35"/>
      <c r="N1" t="s">
        <v>371</v>
      </c>
      <c r="AC1" s="347" t="s">
        <v>246</v>
      </c>
      <c r="AD1" s="347"/>
      <c r="AE1" s="345" t="s">
        <v>244</v>
      </c>
      <c r="AF1" s="346"/>
      <c r="AG1" t="s">
        <v>28</v>
      </c>
      <c r="AI1" s="343" t="s">
        <v>277</v>
      </c>
      <c r="AJ1" s="343"/>
      <c r="AK1" s="343"/>
      <c r="AL1" s="343"/>
      <c r="AM1" s="342" t="s">
        <v>275</v>
      </c>
      <c r="AN1" s="342"/>
      <c r="AO1" s="342"/>
      <c r="AP1" s="342"/>
    </row>
    <row r="2" spans="1:43" ht="23" customHeight="1" x14ac:dyDescent="0.35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264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245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264</v>
      </c>
      <c r="AN3" s="97" t="s">
        <v>12</v>
      </c>
      <c r="AO3" s="97" t="s">
        <v>11</v>
      </c>
      <c r="AP3" s="97" t="s">
        <v>264</v>
      </c>
    </row>
    <row r="4" spans="1:43" ht="18.5" x14ac:dyDescent="0.45">
      <c r="A4" s="339" t="s">
        <v>260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258</v>
      </c>
      <c r="B5" t="s">
        <v>279</v>
      </c>
      <c r="C5" s="35" t="s">
        <v>290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213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259</v>
      </c>
      <c r="B7" t="s">
        <v>279</v>
      </c>
      <c r="C7" s="35" t="s">
        <v>291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213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255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279</v>
      </c>
      <c r="C12" t="s">
        <v>292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374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370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279</v>
      </c>
      <c r="C15" t="s">
        <v>293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374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213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279</v>
      </c>
      <c r="C18" t="s">
        <v>294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374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213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279</v>
      </c>
      <c r="C21" t="s">
        <v>295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374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213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261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262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296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297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298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299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263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279</v>
      </c>
      <c r="C34" t="s">
        <v>300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279</v>
      </c>
      <c r="C35" t="s">
        <v>301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337</v>
      </c>
      <c r="B36" t="s">
        <v>279</v>
      </c>
      <c r="C36" t="s">
        <v>302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338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345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348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331</v>
      </c>
      <c r="B41" t="s">
        <v>279</v>
      </c>
      <c r="C41" t="s">
        <v>303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210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343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205</v>
      </c>
      <c r="B48" s="107" t="s">
        <v>279</v>
      </c>
      <c r="C48" s="107" t="s">
        <v>304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380</v>
      </c>
      <c r="B49" s="107" t="s">
        <v>279</v>
      </c>
      <c r="C49" s="107" t="s">
        <v>305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213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267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279</v>
      </c>
      <c r="C54" t="s">
        <v>306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853250.25</v>
      </c>
      <c r="P54" s="144">
        <f t="shared" si="39"/>
        <v>847383.58333333337</v>
      </c>
      <c r="Q54" s="144">
        <f t="shared" si="39"/>
        <v>107416.91666666667</v>
      </c>
      <c r="R54" s="144">
        <f t="shared" si="39"/>
        <v>102750.25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778420</v>
      </c>
      <c r="P55" s="116">
        <f t="shared" ref="P55:V55" si="41">P57+P58+SUM(P63:P66)</f>
        <v>772553.33333333337</v>
      </c>
      <c r="Q55" s="116">
        <f t="shared" si="41"/>
        <v>32586.666666666672</v>
      </c>
      <c r="R55" s="116">
        <f t="shared" si="41"/>
        <v>27920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335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333</v>
      </c>
      <c r="C57" t="s">
        <v>307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270</v>
      </c>
      <c r="C58" t="s">
        <v>332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280</v>
      </c>
      <c r="B59" s="185" t="s">
        <v>279</v>
      </c>
      <c r="C59" t="s">
        <v>308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281</v>
      </c>
      <c r="B60" s="185" t="s">
        <v>279</v>
      </c>
      <c r="C60" t="s">
        <v>309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282</v>
      </c>
      <c r="B61" s="185" t="s">
        <v>279</v>
      </c>
      <c r="C61" t="s">
        <v>310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336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334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29" x14ac:dyDescent="0.35">
      <c r="A64" s="273" t="s">
        <v>396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281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349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279</v>
      </c>
      <c r="C68" t="s">
        <v>311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783900</f>
        <v>783900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226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308">
        <f>O68-O93</f>
        <v>276422.75188174885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227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208</v>
      </c>
      <c r="B72" s="138" t="s">
        <v>279</v>
      </c>
      <c r="C72" t="s">
        <v>312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139">
        <f>28900 + 17100</f>
        <v>46000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29" x14ac:dyDescent="0.35">
      <c r="A73" s="134" t="s">
        <v>381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116">
        <f t="shared" ref="O73:Z73" si="44">O74+O78</f>
        <v>124900</v>
      </c>
      <c r="P73" s="116">
        <f t="shared" si="44"/>
        <v>126000</v>
      </c>
      <c r="Q73" s="116">
        <f t="shared" si="44"/>
        <v>120000</v>
      </c>
      <c r="R73" s="116">
        <f t="shared" si="44"/>
        <v>119000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69000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339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72900</v>
      </c>
      <c r="P74" s="116">
        <f t="shared" si="45"/>
        <v>67000</v>
      </c>
      <c r="Q74" s="116">
        <f t="shared" si="45"/>
        <v>61000</v>
      </c>
      <c r="R74" s="116">
        <f t="shared" si="45"/>
        <v>60000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10000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197</v>
      </c>
      <c r="B75" s="35" t="s">
        <v>279</v>
      </c>
      <c r="C75" s="35" t="s">
        <v>375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379</v>
      </c>
      <c r="B76" s="107" t="s">
        <v>279</v>
      </c>
      <c r="C76" s="107" t="s">
        <v>376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201</v>
      </c>
      <c r="B77" s="107" t="s">
        <v>279</v>
      </c>
      <c r="C77" s="107" t="s">
        <v>377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337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340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52000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341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342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346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347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215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283950</v>
      </c>
      <c r="M83" s="206">
        <f t="shared" si="47"/>
        <v>291400</v>
      </c>
      <c r="N83" s="308">
        <f t="shared" si="47"/>
        <v>294151</v>
      </c>
      <c r="O83" s="144">
        <f t="shared" si="47"/>
        <v>322638.804</v>
      </c>
      <c r="P83" s="144">
        <f t="shared" si="47"/>
        <v>324529.75921599998</v>
      </c>
      <c r="Q83" s="144">
        <f t="shared" si="47"/>
        <v>319323.878252864</v>
      </c>
      <c r="R83" s="144">
        <f t="shared" si="47"/>
        <v>319121.17376587546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273972.36794275837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279</v>
      </c>
      <c r="C85" t="s">
        <v>313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203</v>
      </c>
      <c r="B86" s="35" t="s">
        <v>279</v>
      </c>
      <c r="C86" t="s">
        <v>314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378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354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350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351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352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204</v>
      </c>
      <c r="B93" s="35" t="s">
        <v>279</v>
      </c>
      <c r="C93" t="s">
        <v>315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35">
      <c r="A95" s="141" t="s">
        <v>212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35">
      <c r="A97" s="35" t="s">
        <v>15</v>
      </c>
      <c r="B97" s="35" t="s">
        <v>279</v>
      </c>
      <c r="C97" t="s">
        <v>316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35">
      <c r="A98" s="35" t="s">
        <v>228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35">
      <c r="A100" s="35" t="s">
        <v>225</v>
      </c>
      <c r="B100" s="35" t="s">
        <v>279</v>
      </c>
      <c r="C100" t="s">
        <v>317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267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220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18</v>
      </c>
      <c r="B103" s="35" t="s">
        <v>279</v>
      </c>
      <c r="C103" t="s">
        <v>318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35">
      <c r="A104" s="169" t="s">
        <v>283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284</v>
      </c>
      <c r="B105" s="35" t="s">
        <v>279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214</v>
      </c>
      <c r="B106" s="35" t="s">
        <v>279</v>
      </c>
      <c r="C106" t="s">
        <v>319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35">
      <c r="A108" s="169" t="s">
        <v>283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284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370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35">
      <c r="A112" s="141" t="s">
        <v>211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35">
      <c r="A113" s="141" t="s">
        <v>229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  <row r="144" spans="21:21" x14ac:dyDescent="0.35">
      <c r="U144" s="35"/>
    </row>
    <row r="145" spans="21:21" x14ac:dyDescent="0.35">
      <c r="U145" s="35"/>
    </row>
    <row r="146" spans="21:21" x14ac:dyDescent="0.35">
      <c r="U146" s="35"/>
    </row>
    <row r="147" spans="21:21" x14ac:dyDescent="0.35">
      <c r="U147" s="35"/>
    </row>
    <row r="148" spans="21:21" x14ac:dyDescent="0.35">
      <c r="U148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defaultRowHeight="14.5" x14ac:dyDescent="0.35"/>
  <cols>
    <col min="1" max="1" width="24.7265625" customWidth="1"/>
  </cols>
  <sheetData>
    <row r="1" spans="1:10" x14ac:dyDescent="0.35">
      <c r="B1" t="s">
        <v>382</v>
      </c>
      <c r="C1" t="s">
        <v>383</v>
      </c>
      <c r="D1" t="s">
        <v>384</v>
      </c>
      <c r="E1" t="s">
        <v>385</v>
      </c>
      <c r="F1" t="s">
        <v>117</v>
      </c>
      <c r="G1" t="s">
        <v>387</v>
      </c>
      <c r="H1" t="s">
        <v>388</v>
      </c>
      <c r="I1" t="s">
        <v>389</v>
      </c>
      <c r="J1" t="s">
        <v>390</v>
      </c>
    </row>
    <row r="2" spans="1:10" x14ac:dyDescent="0.35">
      <c r="A2" t="s">
        <v>386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35">
      <c r="A4" t="s">
        <v>382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35">
      <c r="A5" t="s">
        <v>383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35">
      <c r="A6" t="s">
        <v>384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35">
      <c r="A7" t="s">
        <v>385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35">
      <c r="A9" t="s">
        <v>34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35">
      <c r="B11" t="s">
        <v>110</v>
      </c>
      <c r="C11" t="s">
        <v>111</v>
      </c>
      <c r="D11" t="s">
        <v>112</v>
      </c>
      <c r="E11" t="s">
        <v>135</v>
      </c>
    </row>
    <row r="12" spans="1:10" x14ac:dyDescent="0.35">
      <c r="A12" t="s">
        <v>392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35">
      <c r="A13" s="86" t="s">
        <v>391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35">
      <c r="A14" t="s">
        <v>393</v>
      </c>
      <c r="B14">
        <f>SUM(B2:D2)*4</f>
        <v>716</v>
      </c>
      <c r="C14">
        <f>E2*4</f>
        <v>328</v>
      </c>
    </row>
    <row r="15" spans="1:10" x14ac:dyDescent="0.35">
      <c r="A15" t="s">
        <v>394</v>
      </c>
      <c r="B15">
        <f>B14*325/261</f>
        <v>891.57088122605364</v>
      </c>
      <c r="C15">
        <f>C14*325/261</f>
        <v>408.42911877394636</v>
      </c>
    </row>
    <row r="16" spans="1:10" x14ac:dyDescent="0.35">
      <c r="B16" t="s">
        <v>395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353</v>
      </c>
      <c r="B1" s="97" t="s">
        <v>355</v>
      </c>
      <c r="C1" s="97" t="s">
        <v>356</v>
      </c>
    </row>
    <row r="2" spans="1:3" x14ac:dyDescent="0.35">
      <c r="A2" s="289" t="s">
        <v>358</v>
      </c>
      <c r="B2" s="289">
        <v>325</v>
      </c>
      <c r="C2" s="290">
        <f>B2*1000</f>
        <v>325000</v>
      </c>
    </row>
    <row r="3" spans="1:3" x14ac:dyDescent="0.35">
      <c r="A3" s="289" t="s">
        <v>359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360</v>
      </c>
      <c r="B6" s="289">
        <v>63</v>
      </c>
      <c r="C6" s="290">
        <f t="shared" si="0"/>
        <v>63000</v>
      </c>
    </row>
    <row r="7" spans="1:3" x14ac:dyDescent="0.35">
      <c r="A7" s="291" t="s">
        <v>350</v>
      </c>
      <c r="B7">
        <v>22</v>
      </c>
      <c r="C7" s="290">
        <f>B7*1000</f>
        <v>22000</v>
      </c>
    </row>
    <row r="8" spans="1:3" x14ac:dyDescent="0.35">
      <c r="A8" s="176" t="s">
        <v>351</v>
      </c>
      <c r="B8">
        <v>20</v>
      </c>
      <c r="C8" s="290">
        <f>B8*1000</f>
        <v>20000</v>
      </c>
    </row>
    <row r="9" spans="1:3" x14ac:dyDescent="0.35">
      <c r="A9" s="176" t="s">
        <v>352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361</v>
      </c>
      <c r="B11" s="289">
        <v>45</v>
      </c>
      <c r="C11" s="290">
        <f t="shared" si="0"/>
        <v>45000</v>
      </c>
    </row>
    <row r="12" spans="1:3" x14ac:dyDescent="0.35">
      <c r="A12" s="291" t="s">
        <v>362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363</v>
      </c>
      <c r="B14" s="289">
        <v>80</v>
      </c>
      <c r="C14" s="290">
        <f t="shared" si="0"/>
        <v>80000</v>
      </c>
    </row>
    <row r="15" spans="1:3" x14ac:dyDescent="0.35">
      <c r="A15" s="291" t="s">
        <v>345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364</v>
      </c>
      <c r="B17">
        <v>30</v>
      </c>
      <c r="C17" s="290">
        <f t="shared" si="0"/>
        <v>30000</v>
      </c>
    </row>
    <row r="18" spans="1:3" x14ac:dyDescent="0.35">
      <c r="A18" s="291" t="s">
        <v>365</v>
      </c>
      <c r="B18">
        <v>20</v>
      </c>
      <c r="C18" s="290">
        <f t="shared" si="0"/>
        <v>20000</v>
      </c>
    </row>
    <row r="19" spans="1:3" x14ac:dyDescent="0.35">
      <c r="A19" s="291" t="s">
        <v>366</v>
      </c>
      <c r="B19">
        <v>5</v>
      </c>
      <c r="C19" s="290">
        <f t="shared" si="0"/>
        <v>5000</v>
      </c>
    </row>
    <row r="20" spans="1:3" ht="15" thickBot="1" x14ac:dyDescent="0.4">
      <c r="A20" s="293" t="s">
        <v>367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zoomScale="130" zoomScaleNormal="130" workbookViewId="0">
      <pane xSplit="2" ySplit="8" topLeftCell="D20" activePane="bottomRight" state="frozen"/>
      <selection pane="topRight" activeCell="C1" sqref="C1"/>
      <selection pane="bottomLeft" activeCell="A9" sqref="A9"/>
      <selection pane="bottomRight" activeCell="E22" sqref="E22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9" ht="18.5" x14ac:dyDescent="0.45">
      <c r="A1" s="348" t="s">
        <v>206</v>
      </c>
      <c r="B1" s="349"/>
      <c r="C1" s="35"/>
      <c r="H1"/>
      <c r="I1" s="240"/>
      <c r="J1" s="356" t="s">
        <v>278</v>
      </c>
      <c r="V1" s="340"/>
      <c r="W1" s="340"/>
      <c r="X1" s="340"/>
      <c r="Y1" s="340"/>
    </row>
    <row r="2" spans="1:49" x14ac:dyDescent="0.35">
      <c r="A2" s="350" t="s">
        <v>191</v>
      </c>
      <c r="B2" s="126"/>
      <c r="C2" t="s">
        <v>192</v>
      </c>
      <c r="I2" s="241"/>
      <c r="J2" s="356"/>
    </row>
    <row r="3" spans="1:49" x14ac:dyDescent="0.35">
      <c r="A3" s="351"/>
      <c r="B3" s="127"/>
      <c r="C3" t="s">
        <v>193</v>
      </c>
      <c r="I3" s="241"/>
      <c r="J3" s="356"/>
    </row>
    <row r="4" spans="1:49" x14ac:dyDescent="0.35">
      <c r="A4" s="351"/>
      <c r="B4" s="128"/>
      <c r="C4" t="s">
        <v>194</v>
      </c>
    </row>
    <row r="5" spans="1:49" x14ac:dyDescent="0.35">
      <c r="A5" s="352"/>
      <c r="B5" s="129"/>
      <c r="C5" t="s">
        <v>181</v>
      </c>
    </row>
    <row r="7" spans="1:49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49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x14ac:dyDescent="0.35">
      <c r="B10" s="86" t="s">
        <v>170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</row>
    <row r="11" spans="1:49" x14ac:dyDescent="0.35">
      <c r="B11" s="86" t="s">
        <v>171</v>
      </c>
      <c r="D11">
        <v>440</v>
      </c>
      <c r="E11">
        <v>363.8</v>
      </c>
      <c r="F11">
        <v>243.1</v>
      </c>
      <c r="G11">
        <v>216.8</v>
      </c>
      <c r="H11">
        <v>205.08824545292171</v>
      </c>
      <c r="I11">
        <v>194.54899559334319</v>
      </c>
      <c r="J11">
        <v>197.82759010290039</v>
      </c>
      <c r="K11">
        <v>201.1419882747505</v>
      </c>
      <c r="L11">
        <v>204.49241388178211</v>
      </c>
      <c r="M11">
        <v>205.5444242270961</v>
      </c>
      <c r="N11">
        <v>215.81500173946711</v>
      </c>
      <c r="O11">
        <v>226.09143780902031</v>
      </c>
      <c r="P11">
        <v>236.37374708214861</v>
      </c>
      <c r="Q11">
        <v>255.74027715387331</v>
      </c>
      <c r="R11">
        <v>263.44759160026678</v>
      </c>
      <c r="S11">
        <v>271.56345516923977</v>
      </c>
      <c r="T11">
        <v>280.05072703146732</v>
      </c>
      <c r="U11">
        <v>288.01802728313891</v>
      </c>
      <c r="V11">
        <v>288.91839029917872</v>
      </c>
      <c r="W11">
        <v>289.78161248589288</v>
      </c>
      <c r="X11">
        <v>290.60769384328211</v>
      </c>
      <c r="Y11">
        <v>291.43377520067099</v>
      </c>
      <c r="Z11">
        <v>292.30398131342662</v>
      </c>
      <c r="AA11">
        <v>293.17418742618202</v>
      </c>
      <c r="AB11">
        <v>294.08153436826302</v>
      </c>
      <c r="AC11">
        <v>294.98888131034357</v>
      </c>
      <c r="AD11">
        <v>294.38010652389193</v>
      </c>
      <c r="AE11">
        <v>293.77133173744051</v>
      </c>
      <c r="AF11">
        <v>293.1996977803143</v>
      </c>
      <c r="AG11">
        <v>292.66520465251352</v>
      </c>
      <c r="AH11">
        <v>292.03214251474122</v>
      </c>
      <c r="AI11">
        <v>291.39908037696858</v>
      </c>
      <c r="AJ11">
        <v>290.80315906852138</v>
      </c>
      <c r="AK11">
        <v>290.20723776007452</v>
      </c>
      <c r="AL11">
        <v>289.24030329381378</v>
      </c>
      <c r="AM11">
        <v>288.27336882755282</v>
      </c>
      <c r="AN11">
        <v>287.30643436129151</v>
      </c>
      <c r="AO11">
        <v>286.37664072435621</v>
      </c>
      <c r="AP11">
        <v>284.82331709063999</v>
      </c>
      <c r="AQ11">
        <v>283.30713428624921</v>
      </c>
      <c r="AR11">
        <v>281.86523314050908</v>
      </c>
      <c r="AS11">
        <v>280.49761365341982</v>
      </c>
      <c r="AT11">
        <v>278.68189565661112</v>
      </c>
      <c r="AU11">
        <v>276.94045931845392</v>
      </c>
      <c r="AV11">
        <v>275.31044546827241</v>
      </c>
      <c r="AW11">
        <v>273.7175724474165</v>
      </c>
    </row>
    <row r="12" spans="1:49" x14ac:dyDescent="0.35">
      <c r="B12" s="86" t="s">
        <v>172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</row>
    <row r="13" spans="1:49" x14ac:dyDescent="0.35">
      <c r="B13" s="86" t="s">
        <v>173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</row>
    <row r="14" spans="1:49" x14ac:dyDescent="0.35">
      <c r="B14" s="86" t="s">
        <v>175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</row>
    <row r="15" spans="1:49" x14ac:dyDescent="0.35">
      <c r="B15" s="86" t="s">
        <v>166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</row>
    <row r="16" spans="1:49" x14ac:dyDescent="0.35">
      <c r="B16" s="86" t="s">
        <v>169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</row>
    <row r="17" spans="1:49" x14ac:dyDescent="0.35">
      <c r="B17" t="s">
        <v>195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</row>
    <row r="19" spans="1:49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35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222.38398180893648</v>
      </c>
      <c r="O21" s="149">
        <f t="shared" ref="O21:AA21" si="0">N21*(1+O23)</f>
        <v>219.97510963898978</v>
      </c>
      <c r="P21" s="104">
        <f t="shared" si="0"/>
        <v>217.56623746904305</v>
      </c>
      <c r="Q21" s="104">
        <f t="shared" si="0"/>
        <v>215.15736529909628</v>
      </c>
      <c r="R21" s="104">
        <f t="shared" si="0"/>
        <v>212.74849312914955</v>
      </c>
      <c r="S21" s="149">
        <f t="shared" si="0"/>
        <v>214.00672523264217</v>
      </c>
      <c r="T21" s="104">
        <f t="shared" si="0"/>
        <v>215.26495733613447</v>
      </c>
      <c r="U21" s="104">
        <f t="shared" si="0"/>
        <v>216.52318943962678</v>
      </c>
      <c r="V21" s="104">
        <f t="shared" si="0"/>
        <v>217.78142154311922</v>
      </c>
      <c r="W21" s="149">
        <f t="shared" si="0"/>
        <v>221.01783327030435</v>
      </c>
      <c r="X21" s="104">
        <f t="shared" si="0"/>
        <v>224.25424499748971</v>
      </c>
      <c r="Y21" s="104">
        <f t="shared" si="0"/>
        <v>227.49065672467472</v>
      </c>
      <c r="Z21" s="104">
        <f t="shared" si="0"/>
        <v>230.72706845185994</v>
      </c>
      <c r="AA21" s="149">
        <f t="shared" si="0"/>
        <v>233.95007172417809</v>
      </c>
      <c r="AB21" s="95"/>
    </row>
    <row r="22" spans="1:49" x14ac:dyDescent="0.35">
      <c r="B22" t="s">
        <v>177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49" s="170" customFormat="1" ht="12" x14ac:dyDescent="0.3">
      <c r="B23" s="210" t="s">
        <v>276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49" s="97" customFormat="1" x14ac:dyDescent="0.35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8.0958169064125514</v>
      </c>
      <c r="H24" s="217">
        <f t="shared" ref="H24" si="18">H21-H22</f>
        <v>15.945084134642201</v>
      </c>
      <c r="I24" s="217">
        <f t="shared" ref="I24" si="19">I21-I22</f>
        <v>11.798701344421289</v>
      </c>
      <c r="J24" s="217">
        <f t="shared" ref="J24" si="20">J21-J22</f>
        <v>7.6523185542003773</v>
      </c>
      <c r="K24" s="150">
        <f t="shared" ref="K24:AA24" si="21">K21-K22</f>
        <v>7.0672258031208912</v>
      </c>
      <c r="L24" s="217">
        <f t="shared" si="21"/>
        <v>48.039537083112549</v>
      </c>
      <c r="M24" s="239">
        <f t="shared" si="21"/>
        <v>47.454444332033063</v>
      </c>
      <c r="N24" s="217">
        <f t="shared" si="21"/>
        <v>47.613845224176771</v>
      </c>
      <c r="O24" s="150">
        <f t="shared" si="21"/>
        <v>47.098090151658965</v>
      </c>
      <c r="P24" s="217">
        <f t="shared" si="21"/>
        <v>46.582335079141131</v>
      </c>
      <c r="Q24" s="217">
        <f t="shared" si="21"/>
        <v>46.066580006623298</v>
      </c>
      <c r="R24" s="217">
        <f t="shared" si="21"/>
        <v>45.550824934105464</v>
      </c>
      <c r="S24" s="150">
        <f t="shared" si="21"/>
        <v>45.820220544996459</v>
      </c>
      <c r="T24" s="217">
        <f t="shared" si="21"/>
        <v>46.08961615588737</v>
      </c>
      <c r="U24" s="217">
        <f t="shared" si="21"/>
        <v>46.359011766778281</v>
      </c>
      <c r="V24" s="217">
        <f t="shared" si="21"/>
        <v>46.62840737766922</v>
      </c>
      <c r="W24" s="150">
        <f t="shared" si="21"/>
        <v>47.321344008295341</v>
      </c>
      <c r="X24" s="217">
        <f t="shared" si="21"/>
        <v>48.01428063892152</v>
      </c>
      <c r="Y24" s="217">
        <f t="shared" si="21"/>
        <v>48.707217269547613</v>
      </c>
      <c r="Z24" s="217">
        <f t="shared" si="21"/>
        <v>49.400153900173734</v>
      </c>
      <c r="AA24" s="150">
        <f t="shared" si="21"/>
        <v>50.090219694107674</v>
      </c>
      <c r="AB24" s="244"/>
    </row>
    <row r="25" spans="1:49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35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196.35660236629698</v>
      </c>
      <c r="N28" s="104">
        <f t="shared" ref="N28:AA28" si="22">M28*(1 + N30)</f>
        <v>197.3667580641972</v>
      </c>
      <c r="O28" s="104">
        <f t="shared" si="22"/>
        <v>207.22871659061335</v>
      </c>
      <c r="P28" s="104">
        <f t="shared" si="22"/>
        <v>217.09630058919853</v>
      </c>
      <c r="Q28" s="104">
        <f t="shared" si="22"/>
        <v>226.96952412363308</v>
      </c>
      <c r="R28" s="104">
        <f t="shared" si="22"/>
        <v>245.5655491414949</v>
      </c>
      <c r="S28" s="104">
        <f t="shared" si="22"/>
        <v>252.96622503618792</v>
      </c>
      <c r="T28" s="104">
        <f t="shared" si="22"/>
        <v>260.75919576513252</v>
      </c>
      <c r="U28" s="104">
        <f t="shared" si="22"/>
        <v>268.90879816157889</v>
      </c>
      <c r="V28" s="104">
        <f t="shared" si="22"/>
        <v>276.55911622352312</v>
      </c>
      <c r="W28" s="104">
        <f t="shared" si="22"/>
        <v>277.42365794108554</v>
      </c>
      <c r="X28" s="104">
        <f t="shared" si="22"/>
        <v>278.25253649189762</v>
      </c>
      <c r="Y28" s="104">
        <f t="shared" si="22"/>
        <v>279.04575187596004</v>
      </c>
      <c r="Z28" s="104">
        <f t="shared" si="22"/>
        <v>279.83896726002212</v>
      </c>
      <c r="AA28" s="104">
        <f t="shared" si="22"/>
        <v>280.67455187861759</v>
      </c>
      <c r="AB28" s="95"/>
    </row>
    <row r="29" spans="1:49" x14ac:dyDescent="0.35">
      <c r="B29" t="s">
        <v>177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205.08824545292171</v>
      </c>
      <c r="J29" s="104">
        <f t="shared" si="23"/>
        <v>194.54899559334319</v>
      </c>
      <c r="K29" s="149">
        <f t="shared" si="23"/>
        <v>197.82759010290039</v>
      </c>
      <c r="L29" s="223">
        <f t="shared" si="23"/>
        <v>201.1419882747505</v>
      </c>
      <c r="M29" s="104">
        <f t="shared" si="23"/>
        <v>204.49241388178211</v>
      </c>
      <c r="N29" s="104">
        <f t="shared" si="23"/>
        <v>205.5444242270961</v>
      </c>
      <c r="O29" s="149">
        <f t="shared" si="23"/>
        <v>215.81500173946711</v>
      </c>
      <c r="P29" s="104">
        <f t="shared" si="23"/>
        <v>226.09143780902031</v>
      </c>
      <c r="Q29" s="104">
        <f t="shared" si="23"/>
        <v>236.37374708214861</v>
      </c>
      <c r="R29" s="104">
        <f t="shared" si="23"/>
        <v>255.74027715387331</v>
      </c>
      <c r="S29" s="149">
        <f t="shared" si="23"/>
        <v>263.44759160026678</v>
      </c>
      <c r="T29" s="104">
        <f t="shared" si="23"/>
        <v>271.56345516923977</v>
      </c>
      <c r="U29" s="104">
        <f t="shared" si="23"/>
        <v>280.05072703146732</v>
      </c>
      <c r="V29" s="104">
        <f t="shared" si="23"/>
        <v>288.01802728313891</v>
      </c>
      <c r="W29" s="149">
        <f t="shared" si="23"/>
        <v>288.91839029917872</v>
      </c>
      <c r="X29" s="104">
        <f t="shared" si="23"/>
        <v>289.78161248589288</v>
      </c>
      <c r="Y29" s="104">
        <f t="shared" si="23"/>
        <v>290.60769384328211</v>
      </c>
      <c r="Z29" s="104">
        <f t="shared" si="23"/>
        <v>291.43377520067099</v>
      </c>
      <c r="AA29" s="149">
        <f t="shared" si="23"/>
        <v>292.30398131342662</v>
      </c>
      <c r="AB29" s="95"/>
    </row>
    <row r="30" spans="1:49" s="170" customFormat="1" ht="12" x14ac:dyDescent="0.3">
      <c r="B30" s="210" t="s">
        <v>276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1.6657017442102129E-2</v>
      </c>
      <c r="N30" s="230">
        <f t="shared" ref="N30" si="25">(N29/M29)-1</f>
        <v>5.1444957069270991E-3</v>
      </c>
      <c r="O30" s="246">
        <f t="shared" ref="O30" si="26">(O29/N29)-1</f>
        <v>4.9967677551902456E-2</v>
      </c>
      <c r="P30" s="230">
        <f t="shared" ref="P30" si="27">(P29/O29)-1</f>
        <v>4.761687550320981E-2</v>
      </c>
      <c r="Q30" s="230">
        <f t="shared" ref="Q30" si="28">(Q29/P29)-1</f>
        <v>4.5478543428140616E-2</v>
      </c>
      <c r="R30" s="230">
        <f t="shared" ref="R30" si="29">(R29/Q29)-1</f>
        <v>8.1931814809341308E-2</v>
      </c>
      <c r="S30" s="246">
        <f t="shared" ref="S30" si="30">(S29/R29)-1</f>
        <v>3.0137272596119535E-2</v>
      </c>
      <c r="T30" s="230">
        <f t="shared" ref="T30" si="31">(T29/S29)-1</f>
        <v>3.0806368430527753E-2</v>
      </c>
      <c r="U30" s="230">
        <f t="shared" ref="U30" si="32">(U29/T29)-1</f>
        <v>3.1253365284140466E-2</v>
      </c>
      <c r="V30" s="230">
        <f t="shared" ref="V30" si="33">(V29/U29)-1</f>
        <v>2.8449489619701396E-2</v>
      </c>
      <c r="W30" s="246">
        <f t="shared" ref="W30" si="34">(W29/V29)-1</f>
        <v>3.1260647971687039E-3</v>
      </c>
      <c r="X30" s="230">
        <f t="shared" ref="X30" si="35">(X29/W29)-1</f>
        <v>2.9877716881236971E-3</v>
      </c>
      <c r="Y30" s="230">
        <f t="shared" ref="Y30" si="36">(Y29/X29)-1</f>
        <v>2.8507031564311003E-3</v>
      </c>
      <c r="Z30" s="230">
        <f t="shared" ref="Z30" si="37">(Z29/Y29)-1</f>
        <v>2.8425997483547683E-3</v>
      </c>
      <c r="AA30" s="246">
        <f t="shared" ref="AA30" si="38">(AA29/Z29)-1</f>
        <v>2.9859480499692115E-3</v>
      </c>
      <c r="AB30" s="243"/>
    </row>
    <row r="31" spans="1:49" s="97" customFormat="1" x14ac:dyDescent="0.35">
      <c r="B31" s="99" t="s">
        <v>178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-11.329229999999995</v>
      </c>
      <c r="I31" s="217">
        <f t="shared" ref="I31" si="42">I28-I29</f>
        <v>-15.253798527921759</v>
      </c>
      <c r="J31" s="217">
        <f t="shared" ref="J31" si="43">J28-J29</f>
        <v>-3.9853764337182724</v>
      </c>
      <c r="K31" s="150">
        <f t="shared" ref="K31:N31" si="44">K28-K29</f>
        <v>-6.1647437995782752</v>
      </c>
      <c r="L31" s="239">
        <f t="shared" si="44"/>
        <v>-8.0025135083951398</v>
      </c>
      <c r="M31" s="217">
        <f t="shared" si="44"/>
        <v>-8.1358115154851305</v>
      </c>
      <c r="N31" s="217">
        <f t="shared" si="44"/>
        <v>-8.1776661628989018</v>
      </c>
      <c r="O31" s="150">
        <f t="shared" ref="O31:AA31" si="45">O28-O29</f>
        <v>-8.5862851488537615</v>
      </c>
      <c r="P31" s="150">
        <f t="shared" si="45"/>
        <v>-8.9951372198217712</v>
      </c>
      <c r="Q31" s="150">
        <f t="shared" si="45"/>
        <v>-9.4042229585155326</v>
      </c>
      <c r="R31" s="150">
        <f t="shared" si="45"/>
        <v>-10.174728012378409</v>
      </c>
      <c r="S31" s="150">
        <f t="shared" si="45"/>
        <v>-10.481366564078854</v>
      </c>
      <c r="T31" s="150">
        <f t="shared" si="45"/>
        <v>-10.804259404107256</v>
      </c>
      <c r="U31" s="150">
        <f t="shared" si="45"/>
        <v>-11.141928869888432</v>
      </c>
      <c r="V31" s="150">
        <f t="shared" si="45"/>
        <v>-11.458911059615787</v>
      </c>
      <c r="W31" s="150">
        <f t="shared" si="45"/>
        <v>-11.494732358093188</v>
      </c>
      <c r="X31" s="150">
        <f t="shared" si="45"/>
        <v>-11.529075993995264</v>
      </c>
      <c r="Y31" s="150">
        <f t="shared" si="45"/>
        <v>-11.56194196732207</v>
      </c>
      <c r="Z31" s="150">
        <f t="shared" si="45"/>
        <v>-11.594807940648877</v>
      </c>
      <c r="AA31" s="150">
        <f t="shared" si="45"/>
        <v>-11.629429434809026</v>
      </c>
      <c r="AB31" s="244"/>
    </row>
    <row r="32" spans="1:49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269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-35.750999999999976</v>
      </c>
      <c r="H37" s="217">
        <f t="shared" si="47"/>
        <v>-54.593681691845177</v>
      </c>
      <c r="I37" s="217">
        <f t="shared" si="47"/>
        <v>-55.153337573248791</v>
      </c>
      <c r="J37" s="217">
        <f t="shared" si="47"/>
        <v>-55.951846589752222</v>
      </c>
      <c r="K37" s="150">
        <f t="shared" si="47"/>
        <v>-56.695639249994201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269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-2.8001771349484841</v>
      </c>
      <c r="I43" s="217">
        <f t="shared" si="49"/>
        <v>-2.8288825740026482</v>
      </c>
      <c r="J43" s="217">
        <f t="shared" si="49"/>
        <v>-2.8698390843673991</v>
      </c>
      <c r="K43" s="150">
        <f t="shared" si="49"/>
        <v>-2.907989125467509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1473.0268768819492</v>
      </c>
      <c r="L47" s="104">
        <f t="shared" ref="L47:AA47" si="50">K47*(1+L49)</f>
        <v>1504.4702729216931</v>
      </c>
      <c r="M47" s="104">
        <f t="shared" si="50"/>
        <v>1535.9136689614381</v>
      </c>
      <c r="N47" s="104">
        <f t="shared" si="50"/>
        <v>1567.3570650011823</v>
      </c>
      <c r="O47" s="149">
        <f t="shared" si="50"/>
        <v>1580.6895805420113</v>
      </c>
      <c r="P47" s="104">
        <f t="shared" si="50"/>
        <v>1594.0220960828426</v>
      </c>
      <c r="Q47" s="104">
        <f t="shared" si="50"/>
        <v>1607.3546116236716</v>
      </c>
      <c r="R47" s="104">
        <f t="shared" si="50"/>
        <v>1620.6871271645016</v>
      </c>
      <c r="S47" s="149">
        <f t="shared" si="50"/>
        <v>1631.6773524648111</v>
      </c>
      <c r="T47" s="104">
        <f t="shared" si="50"/>
        <v>1642.6675777651208</v>
      </c>
      <c r="U47" s="104">
        <f t="shared" si="50"/>
        <v>1653.6578030654305</v>
      </c>
      <c r="V47" s="104">
        <f t="shared" si="50"/>
        <v>1664.6480283657397</v>
      </c>
      <c r="W47" s="149">
        <f t="shared" si="50"/>
        <v>1705.6654323951707</v>
      </c>
      <c r="X47" s="104">
        <f t="shared" si="50"/>
        <v>1746.6828364246021</v>
      </c>
      <c r="Y47" s="104">
        <f t="shared" si="50"/>
        <v>1787.7002404540322</v>
      </c>
      <c r="Z47" s="104">
        <f t="shared" si="50"/>
        <v>1828.7176444834631</v>
      </c>
      <c r="AA47" s="149">
        <f t="shared" si="50"/>
        <v>1859.2880041522844</v>
      </c>
      <c r="AB47" s="95"/>
    </row>
    <row r="48" spans="1:28" x14ac:dyDescent="0.35">
      <c r="B48" t="s">
        <v>177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1416.247429866125</v>
      </c>
      <c r="L48" s="104">
        <f t="shared" si="51"/>
        <v>1446.4788054957489</v>
      </c>
      <c r="M48" s="104">
        <f t="shared" si="51"/>
        <v>1476.710181125374</v>
      </c>
      <c r="N48" s="104">
        <f t="shared" si="51"/>
        <v>1506.9415567549979</v>
      </c>
      <c r="O48" s="149">
        <f t="shared" si="51"/>
        <v>1519.7601557667949</v>
      </c>
      <c r="P48" s="104">
        <f t="shared" si="51"/>
        <v>1532.578754778594</v>
      </c>
      <c r="Q48" s="104">
        <f t="shared" si="51"/>
        <v>1545.397353790391</v>
      </c>
      <c r="R48" s="104">
        <f t="shared" si="51"/>
        <v>1558.2159528021889</v>
      </c>
      <c r="S48" s="149">
        <f t="shared" si="51"/>
        <v>1568.782547736397</v>
      </c>
      <c r="T48" s="104">
        <f t="shared" si="51"/>
        <v>1579.349142670605</v>
      </c>
      <c r="U48" s="104">
        <f t="shared" si="51"/>
        <v>1589.9157376048131</v>
      </c>
      <c r="V48" s="104">
        <f t="shared" si="51"/>
        <v>1600.4823325390209</v>
      </c>
      <c r="W48" s="149">
        <f t="shared" si="51"/>
        <v>1639.9186754518039</v>
      </c>
      <c r="X48" s="104">
        <f t="shared" si="51"/>
        <v>1679.3550183645871</v>
      </c>
      <c r="Y48" s="104">
        <f t="shared" si="51"/>
        <v>1718.7913612773691</v>
      </c>
      <c r="Z48" s="104">
        <f t="shared" si="51"/>
        <v>1758.2277041901521</v>
      </c>
      <c r="AA48" s="149">
        <f t="shared" si="51"/>
        <v>1787.619695599499</v>
      </c>
      <c r="AB48" s="95"/>
    </row>
    <row r="49" spans="1:32" s="170" customFormat="1" ht="12" x14ac:dyDescent="0.3">
      <c r="B49" s="210" t="s">
        <v>276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2.1811706680611609E-2</v>
      </c>
      <c r="L49" s="230">
        <f t="shared" ref="L49" si="53">(L48/K48)-1</f>
        <v>2.1346111556567182E-2</v>
      </c>
      <c r="M49" s="230">
        <f t="shared" ref="M49" si="54">(M48/L48)-1</f>
        <v>2.0899978288491994E-2</v>
      </c>
      <c r="N49" s="230">
        <f t="shared" ref="N49" si="55">(N48/M48)-1</f>
        <v>2.047211160052087E-2</v>
      </c>
      <c r="O49" s="246">
        <f t="shared" ref="O49" si="56">(O48/N48)-1</f>
        <v>8.5063677183341291E-3</v>
      </c>
      <c r="P49" s="230">
        <f t="shared" ref="P49" si="57">(P48/O48)-1</f>
        <v>8.4346197412521473E-3</v>
      </c>
      <c r="Q49" s="230">
        <f t="shared" ref="Q49" si="58">(Q48/P48)-1</f>
        <v>8.364071974656051E-3</v>
      </c>
      <c r="R49" s="230">
        <f t="shared" ref="R49" si="59">(R48/Q48)-1</f>
        <v>8.294694552412496E-3</v>
      </c>
      <c r="S49" s="246">
        <f t="shared" ref="S49" si="60">(S48/R48)-1</f>
        <v>6.7812134224436438E-3</v>
      </c>
      <c r="T49" s="230">
        <f t="shared" ref="T49" si="61">(T48/S48)-1</f>
        <v>6.7355382997182911E-3</v>
      </c>
      <c r="U49" s="230">
        <f t="shared" ref="U49" si="62">(U48/T48)-1</f>
        <v>6.6904743534672573E-3</v>
      </c>
      <c r="V49" s="230">
        <f t="shared" ref="V49" si="63">(V48/U48)-1</f>
        <v>6.6460093980365009E-3</v>
      </c>
      <c r="W49" s="246">
        <f t="shared" ref="W49" si="64">(W48/V48)-1</f>
        <v>2.464028631307702E-2</v>
      </c>
      <c r="X49" s="230">
        <f t="shared" ref="X49" si="65">(X48/W48)-1</f>
        <v>2.4047743039403047E-2</v>
      </c>
      <c r="Y49" s="230">
        <f t="shared" ref="Y49" si="66">(Y48/X48)-1</f>
        <v>2.3483029187709503E-2</v>
      </c>
      <c r="Z49" s="230">
        <f t="shared" ref="Z49" si="67">(Z48/Y48)-1</f>
        <v>2.2944229184090448E-2</v>
      </c>
      <c r="AA49" s="246">
        <f t="shared" ref="AA49" si="68">(AA48/Z48)-1</f>
        <v>1.6716828735721112E-2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-12.65283740934774</v>
      </c>
      <c r="I50" s="217">
        <f t="shared" ref="I50" si="72">I47-I48</f>
        <v>23.849631860713998</v>
      </c>
      <c r="J50" s="239">
        <f t="shared" ref="J50" si="73">J47-J48</f>
        <v>55.567426605703986</v>
      </c>
      <c r="K50" s="150">
        <f t="shared" ref="K50:AA50" si="74">K47-K48</f>
        <v>56.779447015824189</v>
      </c>
      <c r="L50" s="217">
        <f t="shared" si="74"/>
        <v>57.991467425944165</v>
      </c>
      <c r="M50" s="217">
        <f t="shared" si="74"/>
        <v>59.203487836064141</v>
      </c>
      <c r="N50" s="217">
        <f t="shared" si="74"/>
        <v>60.415508246184345</v>
      </c>
      <c r="O50" s="150">
        <f t="shared" si="74"/>
        <v>60.929424775216376</v>
      </c>
      <c r="P50" s="217">
        <f t="shared" si="74"/>
        <v>61.443341304248634</v>
      </c>
      <c r="Q50" s="217">
        <f t="shared" si="74"/>
        <v>61.957257833280664</v>
      </c>
      <c r="R50" s="217">
        <f t="shared" si="74"/>
        <v>62.471174362312695</v>
      </c>
      <c r="S50" s="150">
        <f t="shared" si="74"/>
        <v>62.894804728414101</v>
      </c>
      <c r="T50" s="217">
        <f t="shared" si="74"/>
        <v>63.318435094515735</v>
      </c>
      <c r="U50" s="217">
        <f t="shared" si="74"/>
        <v>63.742065460617368</v>
      </c>
      <c r="V50" s="217">
        <f t="shared" si="74"/>
        <v>64.165695826718775</v>
      </c>
      <c r="W50" s="150">
        <f t="shared" si="74"/>
        <v>65.74675694336679</v>
      </c>
      <c r="X50" s="217">
        <f t="shared" si="74"/>
        <v>67.327818060015034</v>
      </c>
      <c r="Y50" s="217">
        <f t="shared" si="74"/>
        <v>68.908879176663049</v>
      </c>
      <c r="Z50" s="217">
        <f t="shared" si="74"/>
        <v>70.489940293311065</v>
      </c>
      <c r="AA50" s="150">
        <f t="shared" si="74"/>
        <v>71.668308552785447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1684.5361789840945</v>
      </c>
      <c r="M54" s="104">
        <f t="shared" ref="M54:AA54" si="75">L54*(1+M56)</f>
        <v>1678.2135536535532</v>
      </c>
      <c r="N54" s="104">
        <f t="shared" si="75"/>
        <v>1660.1984622255873</v>
      </c>
      <c r="O54" s="104">
        <f t="shared" si="75"/>
        <v>1681.586301789001</v>
      </c>
      <c r="P54" s="104">
        <f t="shared" si="75"/>
        <v>1692.7375632632777</v>
      </c>
      <c r="Q54" s="104">
        <f t="shared" si="75"/>
        <v>1696.6630226959808</v>
      </c>
      <c r="R54" s="104">
        <f t="shared" si="75"/>
        <v>1692.2810661974381</v>
      </c>
      <c r="S54" s="104">
        <f t="shared" si="75"/>
        <v>1700.8418499326899</v>
      </c>
      <c r="T54" s="104">
        <f t="shared" si="75"/>
        <v>1710.457851465846</v>
      </c>
      <c r="U54" s="104">
        <f t="shared" si="75"/>
        <v>1719.6335883595871</v>
      </c>
      <c r="V54" s="104">
        <f t="shared" si="75"/>
        <v>1729.4009197745047</v>
      </c>
      <c r="W54" s="104">
        <f t="shared" si="75"/>
        <v>1769.6074835511201</v>
      </c>
      <c r="X54" s="104">
        <f t="shared" si="75"/>
        <v>1803.5824136795445</v>
      </c>
      <c r="Y54" s="104">
        <f t="shared" si="75"/>
        <v>1829.7328819833626</v>
      </c>
      <c r="Z54" s="104">
        <f t="shared" si="75"/>
        <v>1848.8141695445122</v>
      </c>
      <c r="AA54" s="104">
        <f t="shared" si="75"/>
        <v>1857.7181132918283</v>
      </c>
      <c r="AB54" s="95"/>
    </row>
    <row r="55" spans="1:32" x14ac:dyDescent="0.35">
      <c r="B55" t="s">
        <v>177</v>
      </c>
      <c r="D55" s="102" t="e">
        <f>#REF!</f>
        <v>#REF!</v>
      </c>
      <c r="E55" s="104">
        <f t="shared" ref="E55:AA55" si="76">D15</f>
        <v>1828.5000000000009</v>
      </c>
      <c r="F55" s="104">
        <f t="shared" si="76"/>
        <v>1861.4</v>
      </c>
      <c r="G55" s="149">
        <f t="shared" si="76"/>
        <v>1756.1999999999989</v>
      </c>
      <c r="H55" s="104">
        <f t="shared" si="76"/>
        <v>1808.7</v>
      </c>
      <c r="I55" s="104">
        <f t="shared" si="76"/>
        <v>1629.356357104331</v>
      </c>
      <c r="J55" s="104">
        <f t="shared" si="76"/>
        <v>1501.6652887165669</v>
      </c>
      <c r="K55" s="263">
        <f t="shared" si="76"/>
        <v>1514.272945247701</v>
      </c>
      <c r="L55" s="104">
        <f t="shared" si="76"/>
        <v>1515.6150242949509</v>
      </c>
      <c r="M55" s="104">
        <f t="shared" si="76"/>
        <v>1509.926416318757</v>
      </c>
      <c r="N55" s="104">
        <f t="shared" si="76"/>
        <v>1493.7178340556329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1526.525817874995</v>
      </c>
      <c r="R55" s="104">
        <f t="shared" si="76"/>
        <v>1522.5832732221379</v>
      </c>
      <c r="S55" s="149">
        <f t="shared" si="76"/>
        <v>1530.285602569978</v>
      </c>
      <c r="T55" s="104">
        <f t="shared" si="76"/>
        <v>1538.937335064132</v>
      </c>
      <c r="U55" s="104">
        <f t="shared" si="76"/>
        <v>1547.192951576636</v>
      </c>
      <c r="V55" s="104">
        <f t="shared" si="76"/>
        <v>1555.9808389633261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1646.2517581859961</v>
      </c>
      <c r="Z55" s="104">
        <f t="shared" si="76"/>
        <v>1663.4196210501891</v>
      </c>
      <c r="AA55" s="149">
        <f t="shared" si="76"/>
        <v>1671.430699166094</v>
      </c>
      <c r="AB55" s="95"/>
    </row>
    <row r="56" spans="1:32" s="170" customFormat="1" ht="12" x14ac:dyDescent="0.3">
      <c r="B56" s="210" t="s">
        <v>276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8.8628608961260902E-4</v>
      </c>
      <c r="M56" s="230">
        <f t="shared" ref="M56" si="78">(M55/L55)-1</f>
        <v>-3.7533330595216352E-3</v>
      </c>
      <c r="N56" s="230">
        <f t="shared" ref="N56" si="79">(N55/M55)-1</f>
        <v>-1.0734683550103763E-2</v>
      </c>
      <c r="O56" s="246">
        <f t="shared" ref="O56" si="80">(O55/N55)-1</f>
        <v>1.2882700502409916E-2</v>
      </c>
      <c r="P56" s="230">
        <f t="shared" ref="P56" si="81">(P55/O55)-1</f>
        <v>6.6313940964035645E-3</v>
      </c>
      <c r="Q56" s="230">
        <f t="shared" ref="Q56" si="82">(Q55/P55)-1</f>
        <v>2.3190006046391876E-3</v>
      </c>
      <c r="R56" s="230">
        <f t="shared" ref="R56" si="83">(R55/Q55)-1</f>
        <v>-2.5826911059685376E-3</v>
      </c>
      <c r="S56" s="246">
        <f t="shared" ref="S56" si="84">(S55/R55)-1</f>
        <v>5.0587245264688274E-3</v>
      </c>
      <c r="T56" s="230">
        <f t="shared" ref="T56" si="85">(T55/S55)-1</f>
        <v>5.6536717588038243E-3</v>
      </c>
      <c r="U56" s="230">
        <f t="shared" ref="U56" si="86">(U55/T55)-1</f>
        <v>5.3644916686357291E-3</v>
      </c>
      <c r="V56" s="230">
        <f t="shared" ref="V56" si="87">(V55/U55)-1</f>
        <v>5.6798910425068794E-3</v>
      </c>
      <c r="W56" s="246">
        <f t="shared" ref="W56" si="88">(W55/V55)-1</f>
        <v>2.3248839130869614E-2</v>
      </c>
      <c r="X56" s="230">
        <f t="shared" ref="X56" si="89">(X55/W55)-1</f>
        <v>1.9199133392138412E-2</v>
      </c>
      <c r="Y56" s="230">
        <f t="shared" ref="Y56" si="90">(Y55/X55)-1</f>
        <v>1.4499181243660342E-2</v>
      </c>
      <c r="Z56" s="230">
        <f t="shared" ref="Z56" si="91">(Z55/Y55)-1</f>
        <v>1.0428455294778427E-2</v>
      </c>
      <c r="AA56" s="246">
        <f t="shared" ref="AA56" si="92">(AA55/Z55)-1</f>
        <v>4.8160295902046624E-3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271.59300000000098</v>
      </c>
      <c r="H57" s="217">
        <f t="shared" ref="H57" si="95">H54-H55</f>
        <v>1309.4238025000002</v>
      </c>
      <c r="I57" s="217">
        <f t="shared" ref="I57" si="96">I54-I55</f>
        <v>245.4925168769189</v>
      </c>
      <c r="J57" s="217">
        <f t="shared" ref="J57" si="97">J54-J55</f>
        <v>184.80221870982382</v>
      </c>
      <c r="K57" s="264">
        <f t="shared" ref="K57" si="98">K54-K55</f>
        <v>168.7715747900852</v>
      </c>
      <c r="L57" s="217">
        <f t="shared" ref="L57:AA57" si="99">L54-L55</f>
        <v>168.92115468914358</v>
      </c>
      <c r="M57" s="217">
        <f t="shared" si="99"/>
        <v>168.28713733479617</v>
      </c>
      <c r="N57" s="217">
        <f t="shared" si="99"/>
        <v>166.48062816995434</v>
      </c>
      <c r="O57" s="150">
        <f t="shared" si="99"/>
        <v>168.62534824212094</v>
      </c>
      <c r="P57" s="217">
        <f t="shared" si="99"/>
        <v>169.74356938095775</v>
      </c>
      <c r="Q57" s="217">
        <f t="shared" si="99"/>
        <v>170.13720482098574</v>
      </c>
      <c r="R57" s="217">
        <f t="shared" si="99"/>
        <v>169.69779297530022</v>
      </c>
      <c r="S57" s="150">
        <f t="shared" si="99"/>
        <v>170.55624736271193</v>
      </c>
      <c r="T57" s="217">
        <f t="shared" si="99"/>
        <v>171.52051640171408</v>
      </c>
      <c r="U57" s="217">
        <f t="shared" si="99"/>
        <v>172.44063678295106</v>
      </c>
      <c r="V57" s="217">
        <f t="shared" si="99"/>
        <v>173.42008081117865</v>
      </c>
      <c r="W57" s="150">
        <f t="shared" si="99"/>
        <v>177.4518963720202</v>
      </c>
      <c r="X57" s="217">
        <f t="shared" si="99"/>
        <v>180.85881900115442</v>
      </c>
      <c r="Y57" s="217">
        <f t="shared" si="99"/>
        <v>183.48112379736654</v>
      </c>
      <c r="Z57" s="217">
        <f t="shared" si="99"/>
        <v>185.39454849432309</v>
      </c>
      <c r="AA57" s="150">
        <f t="shared" si="99"/>
        <v>186.28741412573436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209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853.25025000000005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77.703294275287234</v>
      </c>
      <c r="N61" s="231">
        <f>M61*(1+N63)</f>
        <v>78.070503655757662</v>
      </c>
      <c r="O61" s="247">
        <f>N61*(1+O63)</f>
        <v>78.435379078301366</v>
      </c>
      <c r="P61" s="231">
        <f>O61*(1+P63)</f>
        <v>78.799476514869525</v>
      </c>
      <c r="Q61" s="231">
        <f t="shared" ref="Q61:AA61" si="100">P61*(1+Q63)</f>
        <v>79.164740930401024</v>
      </c>
      <c r="R61" s="231">
        <f t="shared" si="100"/>
        <v>79.533506282822614</v>
      </c>
      <c r="S61" s="247">
        <f t="shared" si="100"/>
        <v>79.905772572134282</v>
      </c>
      <c r="T61" s="231">
        <f t="shared" si="100"/>
        <v>80.28037281937263</v>
      </c>
      <c r="U61" s="231">
        <f t="shared" si="100"/>
        <v>80.654195080635418</v>
      </c>
      <c r="V61" s="231">
        <f t="shared" si="100"/>
        <v>81.029184320861589</v>
      </c>
      <c r="W61" s="247">
        <f t="shared" si="100"/>
        <v>81.404951547063334</v>
      </c>
      <c r="X61" s="231">
        <f t="shared" si="100"/>
        <v>81.78032978027727</v>
      </c>
      <c r="Y61" s="231">
        <f t="shared" si="100"/>
        <v>82.151040097637804</v>
      </c>
      <c r="Z61" s="231">
        <f t="shared" si="100"/>
        <v>82.51902746408382</v>
      </c>
      <c r="AA61" s="247">
        <f t="shared" si="100"/>
        <v>82.884291879615319</v>
      </c>
      <c r="AB61" s="95"/>
    </row>
    <row r="62" spans="1:32" x14ac:dyDescent="0.35">
      <c r="B62" t="s">
        <v>177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404.18538158623392</v>
      </c>
      <c r="J62" s="104">
        <f t="shared" si="101"/>
        <v>406.11408156777497</v>
      </c>
      <c r="K62" s="149">
        <f t="shared" si="101"/>
        <v>408.08197438316557</v>
      </c>
      <c r="L62" s="223">
        <f t="shared" si="101"/>
        <v>410.07255778657441</v>
      </c>
      <c r="M62" s="104">
        <f t="shared" si="101"/>
        <v>412.05076450560961</v>
      </c>
      <c r="N62" s="104">
        <f t="shared" si="101"/>
        <v>413.998029513711</v>
      </c>
      <c r="O62" s="149">
        <f t="shared" si="101"/>
        <v>415.93291783743882</v>
      </c>
      <c r="P62" s="104">
        <f t="shared" si="101"/>
        <v>417.86368059970891</v>
      </c>
      <c r="Q62" s="104">
        <f t="shared" si="101"/>
        <v>419.80063170416571</v>
      </c>
      <c r="R62" s="104">
        <f t="shared" si="101"/>
        <v>421.75614783518279</v>
      </c>
      <c r="S62" s="149">
        <f t="shared" si="101"/>
        <v>423.7302289927602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429.68753973788392</v>
      </c>
      <c r="W62" s="149">
        <f t="shared" si="101"/>
        <v>431.68018592202162</v>
      </c>
      <c r="X62" s="104">
        <f t="shared" si="101"/>
        <v>433.67076932543029</v>
      </c>
      <c r="Y62" s="104">
        <f t="shared" si="101"/>
        <v>435.63659936009208</v>
      </c>
      <c r="Z62" s="104">
        <f t="shared" si="101"/>
        <v>437.58798992965131</v>
      </c>
      <c r="AA62" s="149">
        <f t="shared" si="101"/>
        <v>439.52494103410811</v>
      </c>
      <c r="AB62" s="95"/>
    </row>
    <row r="63" spans="1:32" s="170" customFormat="1" ht="12" x14ac:dyDescent="0.3">
      <c r="B63" s="210" t="s">
        <v>276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4.8240407251654016E-3</v>
      </c>
      <c r="N63" s="230">
        <f t="shared" si="102"/>
        <v>4.7257890916372336E-3</v>
      </c>
      <c r="O63" s="246">
        <f t="shared" si="102"/>
        <v>4.6736655389412185E-3</v>
      </c>
      <c r="P63" s="230">
        <f t="shared" si="102"/>
        <v>4.6420051875402102E-3</v>
      </c>
      <c r="Q63" s="230">
        <f t="shared" si="102"/>
        <v>4.6353660162015142E-3</v>
      </c>
      <c r="R63" s="230">
        <f t="shared" si="102"/>
        <v>4.6582019733480973E-3</v>
      </c>
      <c r="S63" s="246">
        <f t="shared" si="102"/>
        <v>4.6806221265773829E-3</v>
      </c>
      <c r="T63" s="230">
        <f t="shared" si="102"/>
        <v>4.6880248470182462E-3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4.6374306905740958E-3</v>
      </c>
      <c r="X63" s="230">
        <f t="shared" si="102"/>
        <v>4.6112457053293365E-3</v>
      </c>
      <c r="Y63" s="230">
        <f t="shared" si="102"/>
        <v>4.5330010083908245E-3</v>
      </c>
      <c r="Z63" s="230">
        <f t="shared" si="102"/>
        <v>4.4793999687484654E-3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450.95025000000004</v>
      </c>
      <c r="I64" s="217">
        <f t="shared" si="103"/>
        <v>443.19820174709946</v>
      </c>
      <c r="J64" s="217">
        <f t="shared" si="103"/>
        <v>-298.69716490110829</v>
      </c>
      <c r="K64" s="150">
        <f t="shared" si="103"/>
        <v>-305.33172438316558</v>
      </c>
      <c r="L64" s="217">
        <f t="shared" si="103"/>
        <v>-332.74230778657443</v>
      </c>
      <c r="M64" s="217">
        <f t="shared" si="103"/>
        <v>-334.34747023032236</v>
      </c>
      <c r="N64" s="217">
        <f t="shared" si="103"/>
        <v>-335.92752585795336</v>
      </c>
      <c r="O64" s="150">
        <f t="shared" si="103"/>
        <v>-337.49753875913746</v>
      </c>
      <c r="P64" s="217">
        <f t="shared" si="103"/>
        <v>-339.06420408483939</v>
      </c>
      <c r="Q64" s="217">
        <f t="shared" si="103"/>
        <v>-340.63589077376469</v>
      </c>
      <c r="R64" s="217">
        <f t="shared" si="103"/>
        <v>-342.22264155236019</v>
      </c>
      <c r="S64" s="150">
        <f t="shared" si="103"/>
        <v>-343.82445642062589</v>
      </c>
      <c r="T64" s="217">
        <f t="shared" si="103"/>
        <v>-345.43631401533838</v>
      </c>
      <c r="U64" s="217">
        <f t="shared" si="103"/>
        <v>-347.04482403456859</v>
      </c>
      <c r="V64" s="217">
        <f t="shared" si="103"/>
        <v>-348.65835541702234</v>
      </c>
      <c r="W64" s="150">
        <f t="shared" si="103"/>
        <v>-350.2752343749583</v>
      </c>
      <c r="X64" s="217">
        <f t="shared" si="103"/>
        <v>-351.89043954515301</v>
      </c>
      <c r="Y64" s="217">
        <f t="shared" si="103"/>
        <v>-353.48555926245427</v>
      </c>
      <c r="Z64" s="217">
        <f t="shared" si="103"/>
        <v>-355.06896246556749</v>
      </c>
      <c r="AA64" s="150">
        <f t="shared" si="103"/>
        <v>-356.64064915449279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35">
      <c r="B69" t="s">
        <v>177</v>
      </c>
      <c r="D69" s="102" t="e">
        <f>#REF!</f>
        <v>#REF!</v>
      </c>
      <c r="E69" s="104">
        <f t="shared" ref="E69:AA69" si="105">D17</f>
        <v>884.2600000000001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si="105"/>
        <v>265.27969850165113</v>
      </c>
      <c r="Q69" s="231">
        <f t="shared" si="105"/>
        <v>279.09879389494898</v>
      </c>
      <c r="R69" s="231">
        <f t="shared" si="105"/>
        <v>293.05961551598227</v>
      </c>
      <c r="S69" s="245">
        <f t="shared" si="105"/>
        <v>298.02592203707633</v>
      </c>
      <c r="T69" s="231">
        <f t="shared" si="105"/>
        <v>303.15281641427401</v>
      </c>
      <c r="U69" s="231">
        <f t="shared" si="105"/>
        <v>308.34003676535349</v>
      </c>
      <c r="V69" s="231">
        <f t="shared" si="105"/>
        <v>313.62925193845189</v>
      </c>
      <c r="W69" s="247">
        <f t="shared" si="105"/>
        <v>314.05502117082477</v>
      </c>
      <c r="X69" s="231">
        <f t="shared" si="105"/>
        <v>314.5186220365847</v>
      </c>
      <c r="Y69" s="231">
        <f t="shared" si="105"/>
        <v>315.03063898617683</v>
      </c>
      <c r="Z69" s="231">
        <f t="shared" si="105"/>
        <v>315.58362470772079</v>
      </c>
      <c r="AA69" s="247">
        <f t="shared" si="105"/>
        <v>316.2395853229205</v>
      </c>
      <c r="AB69" s="95"/>
    </row>
    <row r="70" spans="1:28" s="170" customFormat="1" ht="12" x14ac:dyDescent="0.3">
      <c r="B70" s="210" t="s">
        <v>276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5.2092547870608463E-2</v>
      </c>
      <c r="R70" s="230">
        <f t="shared" ref="R70" si="107">(R69/Q69)-1</f>
        <v>5.002107471051298E-2</v>
      </c>
      <c r="S70" s="246">
        <f t="shared" ref="S70" si="108">(S69/R69)-1</f>
        <v>1.6946403592149606E-2</v>
      </c>
      <c r="T70" s="230">
        <f t="shared" ref="T70" si="109">(T69/S69)-1</f>
        <v>1.7202847128713339E-2</v>
      </c>
      <c r="U70" s="230">
        <f t="shared" ref="U70" si="110">(U69/T69)-1</f>
        <v>1.7110909317731293E-2</v>
      </c>
      <c r="V70" s="230">
        <f t="shared" ref="V70" si="111">(V69/U69)-1</f>
        <v>1.7153838433000779E-2</v>
      </c>
      <c r="W70" s="246">
        <f t="shared" ref="W70" si="112">(W69/V69)-1</f>
        <v>1.3575558712757285E-3</v>
      </c>
      <c r="X70" s="230">
        <f t="shared" ref="X70" si="113">(X69/W69)-1</f>
        <v>1.4761772126157258E-3</v>
      </c>
      <c r="Y70" s="230">
        <f t="shared" ref="Y70" si="114">(Y69/X69)-1</f>
        <v>1.6279384230946103E-3</v>
      </c>
      <c r="Z70" s="230">
        <f t="shared" ref="Z70" si="115">(Z69/Y69)-1</f>
        <v>1.7553394911795639E-3</v>
      </c>
      <c r="AA70" s="246">
        <f t="shared" ref="AA70" si="116">(AA69/Z69)-1</f>
        <v>2.0785635370252908E-3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49.271999999999991</v>
      </c>
      <c r="G71" s="150">
        <f t="shared" ref="G71:K71" si="117">G68-G69</f>
        <v>68.244</v>
      </c>
      <c r="H71" s="217">
        <f t="shared" si="117"/>
        <v>61.90180399999997</v>
      </c>
      <c r="I71" s="217">
        <f t="shared" si="117"/>
        <v>92.454570502826414</v>
      </c>
      <c r="J71" s="217">
        <f t="shared" si="117"/>
        <v>103.60367441070301</v>
      </c>
      <c r="K71" s="150">
        <f t="shared" si="117"/>
        <v>98.229777558424473</v>
      </c>
      <c r="L71" s="217">
        <f t="shared" ref="L71:N71" si="118">L68-L69</f>
        <v>83.152512199130257</v>
      </c>
      <c r="M71" s="217">
        <f t="shared" si="118"/>
        <v>78.397392744450201</v>
      </c>
      <c r="N71" s="217">
        <f t="shared" si="118"/>
        <v>73.602356577807058</v>
      </c>
      <c r="O71" s="150">
        <f t="shared" ref="O71:AA71" si="119">O68-O69</f>
        <v>60.738306010595892</v>
      </c>
      <c r="P71" s="250">
        <f t="shared" si="119"/>
        <v>47.876046461255555</v>
      </c>
      <c r="Q71" s="250">
        <f t="shared" si="119"/>
        <v>51.406664131078344</v>
      </c>
      <c r="R71" s="250">
        <f t="shared" si="119"/>
        <v>37.445842510045054</v>
      </c>
      <c r="S71" s="239">
        <f t="shared" si="119"/>
        <v>32.479535988951</v>
      </c>
      <c r="T71" s="250">
        <f t="shared" si="119"/>
        <v>33.038276481380422</v>
      </c>
      <c r="U71" s="250">
        <f t="shared" si="119"/>
        <v>33.603591434267457</v>
      </c>
      <c r="V71" s="250">
        <f t="shared" si="119"/>
        <v>34.180022012499421</v>
      </c>
      <c r="W71" s="251">
        <f t="shared" si="119"/>
        <v>34.226423302062813</v>
      </c>
      <c r="X71" s="250">
        <f t="shared" si="119"/>
        <v>34.27694756821063</v>
      </c>
      <c r="Y71" s="250">
        <f t="shared" si="119"/>
        <v>34.3327483281833</v>
      </c>
      <c r="Z71" s="250">
        <f t="shared" si="119"/>
        <v>34.393013957164499</v>
      </c>
      <c r="AA71" s="251">
        <f t="shared" si="119"/>
        <v>34.464502021904309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B1" activePane="topRight" state="frozen"/>
      <selection pane="topRight" activeCell="B7" sqref="B7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254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285</v>
      </c>
      <c r="J1" t="s">
        <v>271</v>
      </c>
      <c r="K1" t="s">
        <v>287</v>
      </c>
      <c r="L1" t="s">
        <v>288</v>
      </c>
      <c r="M1" t="s">
        <v>289</v>
      </c>
      <c r="N1" t="s">
        <v>344</v>
      </c>
      <c r="O1" t="s">
        <v>357</v>
      </c>
      <c r="P1" t="s">
        <v>368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8.0958169064125514</v>
      </c>
      <c r="C4">
        <v>-61.292000000000002</v>
      </c>
      <c r="D4">
        <v>-35.750999999999976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68.244</v>
      </c>
      <c r="J4" s="151">
        <f>'add-ons calculations'!G68</f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15.945084134642201</v>
      </c>
      <c r="C5">
        <v>-11.329229999999995</v>
      </c>
      <c r="D5">
        <v>-54.593681691845177</v>
      </c>
      <c r="E5">
        <v>-2.8001771349484841</v>
      </c>
      <c r="F5">
        <v>-12.65283740934774</v>
      </c>
      <c r="G5">
        <v>1309.4238025000002</v>
      </c>
      <c r="H5">
        <v>450.95025000000004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35">
      <c r="A6" s="188">
        <v>44377</v>
      </c>
      <c r="B6">
        <v>11.798701344421289</v>
      </c>
      <c r="C6">
        <v>-15.253798527921759</v>
      </c>
      <c r="D6">
        <v>-55.153337573248791</v>
      </c>
      <c r="E6">
        <v>-2.8288825740026482</v>
      </c>
      <c r="F6">
        <v>23.849631860713998</v>
      </c>
      <c r="G6">
        <v>245.4925168769189</v>
      </c>
      <c r="H6">
        <v>443.19820174709946</v>
      </c>
      <c r="I6">
        <v>92.454570502826414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35">
      <c r="A7" s="188">
        <v>44469</v>
      </c>
      <c r="B7">
        <v>7.6523185542003773</v>
      </c>
      <c r="C7">
        <v>-3.9853764337182724</v>
      </c>
      <c r="D7">
        <v>-55.951846589752222</v>
      </c>
      <c r="E7">
        <v>-2.8698390843673991</v>
      </c>
      <c r="F7">
        <v>55.567426605703986</v>
      </c>
      <c r="G7">
        <v>184.80221870982382</v>
      </c>
      <c r="H7">
        <v>-298.69716490110829</v>
      </c>
      <c r="I7">
        <v>103.60367441070301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35">
      <c r="A8" s="188">
        <v>44561</v>
      </c>
      <c r="B8">
        <v>7.0672258031208912</v>
      </c>
      <c r="C8">
        <v>-6.1647437995782752</v>
      </c>
      <c r="D8">
        <v>-56.695639249994201</v>
      </c>
      <c r="E8">
        <v>-2.907989125467509</v>
      </c>
      <c r="F8">
        <v>56.779447015824189</v>
      </c>
      <c r="G8">
        <v>168.7715747900852</v>
      </c>
      <c r="H8">
        <v>-305.33172438316558</v>
      </c>
      <c r="I8">
        <v>98.229777558424473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35">
      <c r="A9" s="188">
        <v>44651</v>
      </c>
      <c r="B9">
        <v>48.039537083112549</v>
      </c>
      <c r="C9">
        <v>-8.0025135083951398</v>
      </c>
      <c r="D9">
        <v>0</v>
      </c>
      <c r="E9">
        <v>0</v>
      </c>
      <c r="F9">
        <v>57.991467425944165</v>
      </c>
      <c r="G9">
        <v>168.92115468914358</v>
      </c>
      <c r="H9">
        <v>-332.74230778657443</v>
      </c>
      <c r="I9">
        <v>83.152512199130257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35">
      <c r="A10" s="188">
        <v>44742</v>
      </c>
      <c r="B10">
        <v>47.454444332033063</v>
      </c>
      <c r="C10">
        <v>-8.1358115154851305</v>
      </c>
      <c r="D10">
        <v>0</v>
      </c>
      <c r="E10">
        <v>0</v>
      </c>
      <c r="F10">
        <v>59.203487836064141</v>
      </c>
      <c r="G10">
        <v>168.28713733479617</v>
      </c>
      <c r="H10">
        <v>-334.34747023032236</v>
      </c>
      <c r="I10">
        <v>78.397392744450201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35">
      <c r="A11" s="188">
        <v>44834</v>
      </c>
      <c r="B11">
        <v>47.613845224176771</v>
      </c>
      <c r="C11">
        <v>-8.1776661628989018</v>
      </c>
      <c r="D11">
        <v>0</v>
      </c>
      <c r="E11">
        <v>0</v>
      </c>
      <c r="F11">
        <v>60.415508246184345</v>
      </c>
      <c r="G11">
        <v>166.48062816995434</v>
      </c>
      <c r="H11">
        <v>-335.92752585795336</v>
      </c>
      <c r="I11">
        <v>73.602356577807058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35">
      <c r="A12" s="188">
        <v>44926</v>
      </c>
      <c r="B12">
        <v>47.098090151658965</v>
      </c>
      <c r="C12">
        <v>-8.5862851488537615</v>
      </c>
      <c r="D12">
        <v>0</v>
      </c>
      <c r="E12">
        <v>0</v>
      </c>
      <c r="F12">
        <v>60.929424775216376</v>
      </c>
      <c r="G12">
        <v>168.62534824212094</v>
      </c>
      <c r="H12">
        <v>-337.49753875913746</v>
      </c>
      <c r="I12">
        <v>60.738306010595892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35">
      <c r="A13" s="188">
        <v>45016</v>
      </c>
      <c r="B13">
        <v>46.582335079141131</v>
      </c>
      <c r="C13">
        <v>-8.9951372198217712</v>
      </c>
      <c r="D13">
        <v>0</v>
      </c>
      <c r="E13">
        <v>0</v>
      </c>
      <c r="F13">
        <v>61.443341304248634</v>
      </c>
      <c r="G13">
        <v>169.74356938095775</v>
      </c>
      <c r="H13">
        <v>-339.06420408483939</v>
      </c>
      <c r="I13">
        <v>47.876046461255555</v>
      </c>
      <c r="K13" s="102">
        <f t="shared" si="1"/>
        <v>44</v>
      </c>
      <c r="L13">
        <v>0</v>
      </c>
      <c r="M13">
        <v>44</v>
      </c>
      <c r="N13">
        <v>0</v>
      </c>
      <c r="O13">
        <f t="shared" si="3"/>
        <v>28.25</v>
      </c>
      <c r="P13">
        <v>0</v>
      </c>
    </row>
    <row r="14" spans="1:16" x14ac:dyDescent="0.35">
      <c r="A14" s="188">
        <v>45107</v>
      </c>
      <c r="B14">
        <v>46.066580006623298</v>
      </c>
      <c r="C14">
        <v>-9.4042229585155326</v>
      </c>
      <c r="D14">
        <v>0</v>
      </c>
      <c r="E14">
        <v>0</v>
      </c>
      <c r="F14">
        <v>61.957257833280664</v>
      </c>
      <c r="G14">
        <v>170.13720482098574</v>
      </c>
      <c r="H14">
        <v>-340.63589077376469</v>
      </c>
      <c r="I14">
        <v>51.406664131078344</v>
      </c>
      <c r="K14" s="102">
        <f t="shared" si="1"/>
        <v>0</v>
      </c>
      <c r="N14">
        <v>0</v>
      </c>
      <c r="O14">
        <v>26.5</v>
      </c>
      <c r="P14">
        <v>0</v>
      </c>
    </row>
    <row r="15" spans="1:16" x14ac:dyDescent="0.35">
      <c r="A15" s="188">
        <v>45199</v>
      </c>
      <c r="B15">
        <v>45.550824934105464</v>
      </c>
      <c r="C15">
        <v>-10.174728012378409</v>
      </c>
      <c r="D15">
        <v>0</v>
      </c>
      <c r="E15">
        <v>0</v>
      </c>
      <c r="F15">
        <v>62.471174362312695</v>
      </c>
      <c r="G15">
        <v>169.69779297530022</v>
      </c>
      <c r="H15">
        <v>-342.22264155236019</v>
      </c>
      <c r="I15">
        <v>37.445842510045054</v>
      </c>
      <c r="K15" s="102">
        <f t="shared" si="1"/>
        <v>0</v>
      </c>
      <c r="N15">
        <v>0</v>
      </c>
      <c r="O15">
        <v>26.5</v>
      </c>
      <c r="P15">
        <v>0</v>
      </c>
    </row>
    <row r="16" spans="1:16" x14ac:dyDescent="0.35">
      <c r="A16" s="188">
        <v>45291</v>
      </c>
      <c r="B16">
        <v>45.820220544996459</v>
      </c>
      <c r="C16">
        <v>-10.481366564078854</v>
      </c>
      <c r="D16">
        <v>0</v>
      </c>
      <c r="E16">
        <v>0</v>
      </c>
      <c r="F16">
        <v>62.894804728414101</v>
      </c>
      <c r="G16">
        <v>170.55624736271193</v>
      </c>
      <c r="H16">
        <v>-343.82445642062589</v>
      </c>
      <c r="I16">
        <v>32.479535988951</v>
      </c>
      <c r="K16" s="102">
        <f t="shared" si="1"/>
        <v>0</v>
      </c>
      <c r="N16">
        <v>0</v>
      </c>
      <c r="O16">
        <v>26.5</v>
      </c>
      <c r="P16">
        <v>0</v>
      </c>
    </row>
    <row r="17" spans="1:16" x14ac:dyDescent="0.35">
      <c r="A17" s="188">
        <v>45382</v>
      </c>
      <c r="B17">
        <v>46.08961615588737</v>
      </c>
      <c r="C17">
        <v>-10.804259404107256</v>
      </c>
      <c r="D17">
        <v>0</v>
      </c>
      <c r="E17">
        <v>0</v>
      </c>
      <c r="F17">
        <v>63.318435094515735</v>
      </c>
      <c r="G17">
        <v>171.52051640171408</v>
      </c>
      <c r="H17">
        <v>-345.43631401533838</v>
      </c>
      <c r="I17">
        <v>33.038276481380422</v>
      </c>
      <c r="K17" s="102">
        <f t="shared" si="1"/>
        <v>0</v>
      </c>
      <c r="N17">
        <v>0</v>
      </c>
      <c r="O17">
        <v>26.5</v>
      </c>
      <c r="P17">
        <v>0</v>
      </c>
    </row>
    <row r="18" spans="1:16" x14ac:dyDescent="0.35">
      <c r="A18" s="188">
        <v>45473</v>
      </c>
      <c r="B18">
        <v>46.359011766778281</v>
      </c>
      <c r="C18">
        <v>-11.141928869888432</v>
      </c>
      <c r="D18">
        <v>0</v>
      </c>
      <c r="E18">
        <v>0</v>
      </c>
      <c r="F18">
        <v>63.742065460617368</v>
      </c>
      <c r="G18">
        <v>172.44063678295106</v>
      </c>
      <c r="H18">
        <v>-347.04482403456859</v>
      </c>
      <c r="I18">
        <v>33.603591434267457</v>
      </c>
      <c r="K18" s="102">
        <f t="shared" si="1"/>
        <v>0</v>
      </c>
      <c r="N18">
        <v>0</v>
      </c>
      <c r="O18">
        <v>26.5</v>
      </c>
      <c r="P18">
        <v>0</v>
      </c>
    </row>
    <row r="19" spans="1:16" x14ac:dyDescent="0.35">
      <c r="A19" s="188">
        <v>45565</v>
      </c>
      <c r="B19">
        <v>46.62840737766922</v>
      </c>
      <c r="C19">
        <v>-11.458911059615787</v>
      </c>
      <c r="D19">
        <v>0</v>
      </c>
      <c r="E19">
        <v>0</v>
      </c>
      <c r="F19">
        <v>64.165695826718775</v>
      </c>
      <c r="G19">
        <v>173.42008081117865</v>
      </c>
      <c r="H19">
        <v>-348.65835541702234</v>
      </c>
      <c r="I19">
        <v>34.180022012499421</v>
      </c>
      <c r="K19" s="102">
        <f t="shared" si="1"/>
        <v>0</v>
      </c>
      <c r="N19">
        <v>0</v>
      </c>
      <c r="O19">
        <v>26.5</v>
      </c>
      <c r="P19">
        <v>0</v>
      </c>
    </row>
    <row r="20" spans="1:16" x14ac:dyDescent="0.35">
      <c r="A20" s="188">
        <v>45657</v>
      </c>
      <c r="B20">
        <v>47.321344008295341</v>
      </c>
      <c r="C20">
        <v>-11.494732358093188</v>
      </c>
      <c r="D20">
        <v>0</v>
      </c>
      <c r="E20">
        <v>0</v>
      </c>
      <c r="F20">
        <v>65.74675694336679</v>
      </c>
      <c r="G20">
        <v>177.4518963720202</v>
      </c>
      <c r="H20">
        <v>-350.2752343749583</v>
      </c>
      <c r="I20">
        <v>34.226423302062813</v>
      </c>
      <c r="K20" s="102">
        <f t="shared" si="1"/>
        <v>0</v>
      </c>
      <c r="N20">
        <v>0</v>
      </c>
      <c r="O20">
        <v>26.5</v>
      </c>
      <c r="P20">
        <v>0</v>
      </c>
    </row>
    <row r="21" spans="1:16" x14ac:dyDescent="0.35">
      <c r="A21" s="188">
        <v>45747</v>
      </c>
      <c r="B21">
        <v>48.01428063892152</v>
      </c>
      <c r="C21">
        <v>-11.529075993995264</v>
      </c>
      <c r="D21">
        <v>0</v>
      </c>
      <c r="E21">
        <v>0</v>
      </c>
      <c r="F21">
        <v>67.327818060015034</v>
      </c>
      <c r="G21">
        <v>180.85881900115442</v>
      </c>
      <c r="H21">
        <v>-351.89043954515301</v>
      </c>
      <c r="I21">
        <v>34.27694756821063</v>
      </c>
      <c r="K21" s="102">
        <f t="shared" si="1"/>
        <v>0</v>
      </c>
      <c r="N21">
        <v>0</v>
      </c>
      <c r="O21">
        <v>26.5</v>
      </c>
      <c r="P21">
        <v>0</v>
      </c>
    </row>
    <row r="22" spans="1:16" x14ac:dyDescent="0.35">
      <c r="A22" s="188">
        <v>45838</v>
      </c>
      <c r="B22">
        <v>48.707217269547613</v>
      </c>
      <c r="C22">
        <v>-11.56194196732207</v>
      </c>
      <c r="D22">
        <v>0</v>
      </c>
      <c r="E22">
        <v>0</v>
      </c>
      <c r="F22">
        <v>68.908879176663049</v>
      </c>
      <c r="G22">
        <v>183.48112379736654</v>
      </c>
      <c r="H22">
        <v>-353.48555926245427</v>
      </c>
      <c r="I22">
        <v>34.3327483281833</v>
      </c>
      <c r="K22" s="102">
        <f t="shared" si="1"/>
        <v>0</v>
      </c>
      <c r="N22">
        <v>0</v>
      </c>
      <c r="O22">
        <v>26.5</v>
      </c>
      <c r="P22">
        <v>0</v>
      </c>
    </row>
    <row r="23" spans="1:16" x14ac:dyDescent="0.35">
      <c r="A23" s="188">
        <v>45930</v>
      </c>
      <c r="B23">
        <v>49.400153900173734</v>
      </c>
      <c r="C23">
        <v>-11.594807940648877</v>
      </c>
      <c r="D23">
        <v>0</v>
      </c>
      <c r="E23">
        <v>0</v>
      </c>
      <c r="F23">
        <v>70.489940293311065</v>
      </c>
      <c r="G23">
        <v>185.39454849432309</v>
      </c>
      <c r="H23">
        <v>-355.06896246556749</v>
      </c>
      <c r="I23">
        <v>34.393013957164499</v>
      </c>
      <c r="K23" s="102">
        <f t="shared" si="1"/>
        <v>0</v>
      </c>
      <c r="N23">
        <v>0</v>
      </c>
      <c r="O23">
        <v>26.5</v>
      </c>
      <c r="P23">
        <v>0</v>
      </c>
    </row>
    <row r="24" spans="1:16" x14ac:dyDescent="0.35">
      <c r="A24" s="188">
        <v>46022</v>
      </c>
      <c r="B24">
        <v>50.090219694107674</v>
      </c>
      <c r="C24">
        <v>-11.629429434809026</v>
      </c>
      <c r="D24">
        <v>0</v>
      </c>
      <c r="E24">
        <v>0</v>
      </c>
      <c r="F24">
        <v>71.668308552785447</v>
      </c>
      <c r="G24">
        <v>186.28741412573436</v>
      </c>
      <c r="H24">
        <v>-356.64064915449279</v>
      </c>
      <c r="I24">
        <v>34.464502021904309</v>
      </c>
      <c r="K24" s="102">
        <f t="shared" si="1"/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264</v>
      </c>
      <c r="U1" s="340"/>
      <c r="V1" s="340"/>
      <c r="W1" s="340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212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211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8" t="s">
        <v>206</v>
      </c>
      <c r="B1" s="349"/>
      <c r="C1" s="35"/>
      <c r="I1" s="240"/>
      <c r="J1" s="356" t="s">
        <v>278</v>
      </c>
      <c r="V1" s="340"/>
      <c r="W1" s="340"/>
      <c r="X1" s="340"/>
      <c r="Y1" s="340"/>
    </row>
    <row r="2" spans="1:27" x14ac:dyDescent="0.35">
      <c r="A2" s="350" t="s">
        <v>191</v>
      </c>
      <c r="B2" s="126"/>
      <c r="C2" t="s">
        <v>192</v>
      </c>
      <c r="H2" s="95"/>
      <c r="I2" s="241"/>
      <c r="J2" s="356"/>
    </row>
    <row r="3" spans="1:27" x14ac:dyDescent="0.35">
      <c r="A3" s="351"/>
      <c r="B3" s="127"/>
      <c r="C3" t="s">
        <v>193</v>
      </c>
      <c r="H3" s="95"/>
      <c r="I3" s="241"/>
      <c r="J3" s="356"/>
    </row>
    <row r="4" spans="1:27" x14ac:dyDescent="0.35">
      <c r="A4" s="351"/>
      <c r="B4" s="128"/>
      <c r="C4" t="s">
        <v>194</v>
      </c>
      <c r="H4" s="95"/>
      <c r="I4" s="95"/>
      <c r="J4" s="95"/>
    </row>
    <row r="5" spans="1:27" x14ac:dyDescent="0.35">
      <c r="A5" s="352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276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276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276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276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254</v>
      </c>
      <c r="B1" s="259" t="s">
        <v>247</v>
      </c>
      <c r="C1" s="259" t="s">
        <v>248</v>
      </c>
      <c r="D1" s="259" t="s">
        <v>249</v>
      </c>
      <c r="E1" s="259" t="s">
        <v>250</v>
      </c>
      <c r="F1" s="259" t="s">
        <v>251</v>
      </c>
      <c r="G1" s="259" t="s">
        <v>252</v>
      </c>
      <c r="H1" s="259" t="s">
        <v>253</v>
      </c>
      <c r="I1" s="259" t="s">
        <v>285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-35.750999999999976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68.244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-54.593681691845177</v>
      </c>
      <c r="E4" s="259">
        <v>-2.8001771349484841</v>
      </c>
      <c r="F4" s="259">
        <v>66.012511731550148</v>
      </c>
      <c r="G4" s="259">
        <v>1201.8936191406992</v>
      </c>
      <c r="H4" s="259">
        <v>450.95025000000004</v>
      </c>
      <c r="I4" s="259">
        <v>61.90180399999997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-55.153337573248791</v>
      </c>
      <c r="E5" s="259">
        <v>-2.8288825740026482</v>
      </c>
      <c r="F5" s="259">
        <v>101.61723848447548</v>
      </c>
      <c r="G5" s="259">
        <v>854.05661636033483</v>
      </c>
      <c r="H5" s="259">
        <v>443.19820174709946</v>
      </c>
      <c r="I5" s="259">
        <v>92.454570502826414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-55.951846589752222</v>
      </c>
      <c r="E6" s="259">
        <v>-2.8698390843673991</v>
      </c>
      <c r="F6" s="259">
        <v>137.50135897728978</v>
      </c>
      <c r="G6" s="259">
        <v>906.03001879956446</v>
      </c>
      <c r="H6" s="259">
        <v>-298.69716490110829</v>
      </c>
      <c r="I6" s="259">
        <v>103.60367441070301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-56.695639249994201</v>
      </c>
      <c r="E7" s="259">
        <v>-2.907989125467509</v>
      </c>
      <c r="F7" s="259">
        <v>144.44402858127864</v>
      </c>
      <c r="G7" s="259">
        <v>926.50683572140088</v>
      </c>
      <c r="H7" s="259">
        <v>-305.33172438316558</v>
      </c>
      <c r="I7" s="259">
        <v>98.229777558424473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-332.74230778657443</v>
      </c>
      <c r="I8" s="259">
        <v>83.152512199130257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-334.34747023032236</v>
      </c>
      <c r="I9" s="259">
        <v>78.397392744450201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-335.92752585795336</v>
      </c>
      <c r="I10" s="259">
        <v>73.602356577807058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-337.49753875913746</v>
      </c>
      <c r="I11" s="259">
        <v>60.738306010595892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-339.06420408483939</v>
      </c>
      <c r="I12" s="259">
        <v>47.876046461255555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-340.63589077376469</v>
      </c>
      <c r="I13" s="259">
        <v>51.406664131078344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-342.22264155236019</v>
      </c>
      <c r="I14" s="259">
        <v>37.445842510045054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-343.82445642062589</v>
      </c>
      <c r="I15" s="259">
        <v>32.479535988951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-345.43631401533838</v>
      </c>
      <c r="I16" s="259">
        <v>33.038276481380422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-347.04482403456859</v>
      </c>
      <c r="I17" s="259">
        <v>33.603591434267457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-348.65835541702234</v>
      </c>
      <c r="I18" s="259">
        <v>34.180022012499421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-350.2752343749583</v>
      </c>
      <c r="I19" s="259">
        <v>34.226423302062813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-351.89043954515301</v>
      </c>
      <c r="I20" s="259">
        <v>34.27694756821063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-353.48555926245427</v>
      </c>
      <c r="I21" s="259">
        <v>34.3327483281833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-355.06896246556749</v>
      </c>
      <c r="I22" s="259">
        <v>34.393013957164499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-356.64064915449279</v>
      </c>
      <c r="I23" s="259">
        <v>34.464502021904309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topLeftCell="A19" workbookViewId="0">
      <selection activeCell="J34" sqref="J34"/>
    </sheetView>
  </sheetViews>
  <sheetFormatPr defaultColWidth="8.81640625" defaultRowHeight="14.5" x14ac:dyDescent="0.35"/>
  <sheetData>
    <row r="1" spans="1:10" s="297" customFormat="1" x14ac:dyDescent="0.35">
      <c r="A1" s="297" t="s">
        <v>320</v>
      </c>
      <c r="B1" s="297" t="s">
        <v>321</v>
      </c>
      <c r="C1" s="297" t="s">
        <v>322</v>
      </c>
      <c r="D1" s="297" t="s">
        <v>323</v>
      </c>
      <c r="E1" s="297" t="s">
        <v>324</v>
      </c>
      <c r="F1" s="297" t="s">
        <v>325</v>
      </c>
      <c r="G1" s="297" t="s">
        <v>326</v>
      </c>
      <c r="H1" s="297" t="s">
        <v>327</v>
      </c>
      <c r="I1" s="297" t="s">
        <v>328</v>
      </c>
      <c r="J1" s="297" t="s">
        <v>372</v>
      </c>
    </row>
    <row r="2" spans="1:10" x14ac:dyDescent="0.35">
      <c r="A2" t="s">
        <v>290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291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292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293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294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295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296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297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329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330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299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300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301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302</v>
      </c>
      <c r="H15">
        <v>1078100</v>
      </c>
      <c r="I15">
        <v>15600</v>
      </c>
      <c r="J15">
        <v>5000</v>
      </c>
    </row>
    <row r="16" spans="1:10" x14ac:dyDescent="0.35">
      <c r="A16" t="s">
        <v>303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304</v>
      </c>
      <c r="H17">
        <v>19100</v>
      </c>
      <c r="I17">
        <v>27000</v>
      </c>
      <c r="J17">
        <v>10800</v>
      </c>
    </row>
    <row r="18" spans="1:10" x14ac:dyDescent="0.35">
      <c r="A18" t="s">
        <v>305</v>
      </c>
      <c r="H18">
        <v>160900</v>
      </c>
      <c r="I18">
        <v>58400</v>
      </c>
      <c r="J18">
        <v>34500</v>
      </c>
    </row>
    <row r="19" spans="1:10" x14ac:dyDescent="0.35">
      <c r="A19" t="s">
        <v>306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307</v>
      </c>
      <c r="H20">
        <v>609300</v>
      </c>
      <c r="I20">
        <v>865600</v>
      </c>
      <c r="J20">
        <v>260300</v>
      </c>
    </row>
    <row r="21" spans="1:10" x14ac:dyDescent="0.35">
      <c r="A21" t="s">
        <v>308</v>
      </c>
      <c r="H21">
        <v>63800</v>
      </c>
      <c r="I21">
        <v>15000</v>
      </c>
      <c r="J21">
        <v>100</v>
      </c>
    </row>
    <row r="22" spans="1:10" x14ac:dyDescent="0.35">
      <c r="A22" t="s">
        <v>309</v>
      </c>
      <c r="H22">
        <v>73300</v>
      </c>
      <c r="I22">
        <v>73300</v>
      </c>
      <c r="J22">
        <v>73300</v>
      </c>
    </row>
    <row r="23" spans="1:10" x14ac:dyDescent="0.35">
      <c r="A23" t="s">
        <v>310</v>
      </c>
      <c r="H23">
        <v>140000</v>
      </c>
      <c r="I23">
        <v>140000</v>
      </c>
      <c r="J23">
        <v>140000</v>
      </c>
    </row>
    <row r="24" spans="1:10" x14ac:dyDescent="0.35">
      <c r="A24" t="s">
        <v>311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314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313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315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316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317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318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319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298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332</v>
      </c>
      <c r="H33">
        <v>277100</v>
      </c>
      <c r="I33">
        <v>228300</v>
      </c>
      <c r="J33">
        <v>213400</v>
      </c>
    </row>
    <row r="34" spans="1:10" x14ac:dyDescent="0.35">
      <c r="A34" t="s">
        <v>312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254</v>
      </c>
      <c r="B1" t="s">
        <v>286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230</v>
      </c>
    </row>
    <row r="3" spans="1:16" x14ac:dyDescent="0.35">
      <c r="B3" s="157" t="s">
        <v>231</v>
      </c>
    </row>
    <row r="4" spans="1:16" x14ac:dyDescent="0.35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234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235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236</v>
      </c>
      <c r="C8" s="160"/>
      <c r="D8" s="161">
        <f>SUMPRODUCT(B5:B6,C5:C6)</f>
        <v>0.45</v>
      </c>
    </row>
    <row r="9" spans="1:16" x14ac:dyDescent="0.35">
      <c r="B9" s="157" t="s">
        <v>237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239</v>
      </c>
      <c r="D19" s="157">
        <f>SUMPRODUCT(C15:C17,B15:B17)</f>
        <v>0.86186821348990206</v>
      </c>
    </row>
    <row r="20" spans="1:12" x14ac:dyDescent="0.35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240</v>
      </c>
    </row>
    <row r="23" spans="1:12" x14ac:dyDescent="0.35">
      <c r="A23" s="157" t="s">
        <v>241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242</v>
      </c>
      <c r="C26" s="157">
        <v>1065.5</v>
      </c>
      <c r="D26" s="157">
        <f>C26/C25</f>
        <v>0.18843065822516181</v>
      </c>
    </row>
    <row r="27" spans="1:12" x14ac:dyDescent="0.35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230</v>
      </c>
    </row>
    <row r="3" spans="1:16" x14ac:dyDescent="0.35">
      <c r="B3" s="157" t="s">
        <v>231</v>
      </c>
    </row>
    <row r="4" spans="1:16" x14ac:dyDescent="0.35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234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235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236</v>
      </c>
      <c r="C8" s="160"/>
      <c r="D8" s="161">
        <f>SUMPRODUCT(B5:B6,C5:C6)</f>
        <v>0.52500000000000002</v>
      </c>
    </row>
    <row r="9" spans="1:16" x14ac:dyDescent="0.35">
      <c r="B9" s="157" t="s">
        <v>237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239</v>
      </c>
      <c r="D19" s="157">
        <f>SUMPRODUCT(C15:C17,B15:B17)</f>
        <v>0.86186821348990206</v>
      </c>
    </row>
    <row r="20" spans="1:12" x14ac:dyDescent="0.35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240</v>
      </c>
    </row>
    <row r="23" spans="1:12" x14ac:dyDescent="0.35">
      <c r="A23" s="157" t="s">
        <v>241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242</v>
      </c>
      <c r="C26" s="157">
        <v>1065.5</v>
      </c>
      <c r="D26" s="157">
        <f>C26/C25</f>
        <v>0.18843065822516181</v>
      </c>
    </row>
    <row r="27" spans="1:12" x14ac:dyDescent="0.35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218</v>
      </c>
      <c r="E12" s="28" t="s">
        <v>216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224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217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223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222</v>
      </c>
    </row>
    <row r="15" spans="1:19" x14ac:dyDescent="0.35">
      <c r="A15" t="s">
        <v>221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219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35">
      <c r="A2" s="363" t="s">
        <v>191</v>
      </c>
      <c r="B2" s="107"/>
      <c r="C2" t="s">
        <v>192</v>
      </c>
    </row>
    <row r="3" spans="1:32" x14ac:dyDescent="0.35">
      <c r="A3" s="363"/>
      <c r="B3" s="108"/>
      <c r="C3" t="s">
        <v>193</v>
      </c>
    </row>
    <row r="4" spans="1:32" x14ac:dyDescent="0.35">
      <c r="A4" s="363"/>
      <c r="B4" s="109"/>
      <c r="C4" t="s">
        <v>194</v>
      </c>
    </row>
    <row r="5" spans="1:32" x14ac:dyDescent="0.35">
      <c r="A5" s="363"/>
      <c r="B5" s="98"/>
      <c r="C5" t="s">
        <v>181</v>
      </c>
    </row>
    <row r="7" spans="1:32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853.25025000000005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-243.83788151563999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9" t="s">
        <v>104</v>
      </c>
      <c r="B2" s="369"/>
      <c r="C2" s="369"/>
      <c r="D2" s="369"/>
      <c r="E2" s="369"/>
      <c r="F2" s="369"/>
      <c r="G2" s="369"/>
      <c r="H2" s="369"/>
      <c r="I2" s="369"/>
      <c r="J2" s="369"/>
      <c r="K2" s="77"/>
    </row>
    <row r="3" spans="1:24" x14ac:dyDescent="0.35">
      <c r="A3" s="369" t="s">
        <v>105</v>
      </c>
      <c r="B3" s="369"/>
      <c r="C3" s="369"/>
      <c r="D3" s="369"/>
      <c r="E3" s="369"/>
      <c r="F3" s="369"/>
      <c r="G3" s="369"/>
      <c r="H3" s="369"/>
      <c r="I3" s="369"/>
      <c r="J3" s="369"/>
      <c r="K3" s="77"/>
    </row>
    <row r="4" spans="1:24" ht="15" thickBot="1" x14ac:dyDescent="0.4">
      <c r="A4" s="370"/>
      <c r="B4" s="370"/>
      <c r="C4" s="370"/>
      <c r="D4" s="370"/>
      <c r="E4" s="370"/>
      <c r="F4" s="370"/>
      <c r="G4" s="370"/>
      <c r="H4" s="370"/>
      <c r="I4" s="370"/>
      <c r="J4" s="370"/>
      <c r="K4" s="375" t="s">
        <v>160</v>
      </c>
      <c r="L4" s="375"/>
      <c r="M4" s="375"/>
      <c r="N4" s="375"/>
    </row>
    <row r="5" spans="1:24" x14ac:dyDescent="0.35">
      <c r="A5" s="47"/>
      <c r="B5" s="48"/>
      <c r="C5" s="371" t="s">
        <v>106</v>
      </c>
      <c r="D5" s="372"/>
      <c r="E5" s="372"/>
      <c r="F5" s="372"/>
      <c r="G5" s="372"/>
      <c r="H5" s="372"/>
      <c r="I5" s="372"/>
      <c r="J5" s="373"/>
      <c r="K5" s="78"/>
      <c r="L5" s="374" t="s">
        <v>107</v>
      </c>
      <c r="M5" s="340"/>
      <c r="N5" s="340"/>
    </row>
    <row r="6" spans="1:24" x14ac:dyDescent="0.35">
      <c r="A6" s="1" t="s">
        <v>109</v>
      </c>
      <c r="B6" s="49"/>
      <c r="C6" s="365">
        <v>2020</v>
      </c>
      <c r="D6" s="366"/>
      <c r="E6" s="366"/>
      <c r="F6" s="366"/>
      <c r="G6" s="366"/>
      <c r="H6" s="366"/>
      <c r="I6" s="366"/>
      <c r="J6" s="367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8" t="s">
        <v>108</v>
      </c>
      <c r="L23" s="368"/>
      <c r="M23" s="368"/>
      <c r="N23" s="368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64" t="s">
        <v>256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64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64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64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64" t="s">
        <v>141</v>
      </c>
      <c r="J33" s="85" t="s">
        <v>256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64"/>
      <c r="J34" t="s">
        <v>257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265</v>
      </c>
    </row>
    <row r="37" spans="3:23" x14ac:dyDescent="0.35">
      <c r="C37" t="s">
        <v>266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373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256</v>
      </c>
      <c r="O47">
        <v>32</v>
      </c>
    </row>
    <row r="48" spans="3:23" x14ac:dyDescent="0.35">
      <c r="N48" t="s">
        <v>257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77" t="s">
        <v>87</v>
      </c>
      <c r="F6" s="377"/>
      <c r="G6" s="377"/>
      <c r="H6" s="377"/>
      <c r="I6" s="377"/>
      <c r="J6" s="377"/>
      <c r="K6" s="377"/>
      <c r="L6" s="377"/>
      <c r="M6" s="377"/>
      <c r="N6" s="377"/>
      <c r="O6" s="377"/>
      <c r="P6" s="377"/>
      <c r="Q6" s="377"/>
      <c r="R6" s="377"/>
    </row>
    <row r="7" spans="1:18" x14ac:dyDescent="0.35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8" t="s">
        <v>95</v>
      </c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79" t="s">
        <v>99</v>
      </c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79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8" t="s">
        <v>101</v>
      </c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microsoft.com/office/infopath/2007/PartnerControls"/>
    <ds:schemaRef ds:uri="66951ee6-cd93-49c7-9437-e871b2a117d6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cac5d118-ba7b-4807-b700-df6f95cfff5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2021-05-17T20:02:32Z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