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8_{B3C0502C-FC58-4492-A55D-4D6A183ED256}" xr6:coauthVersionLast="44" xr6:coauthVersionMax="44" xr10:uidLastSave="{00000000-0000-0000-0000-000000000000}"/>
  <bookViews>
    <workbookView xWindow="-110" yWindow="-110" windowWidth="19420" windowHeight="104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M74" i="1" l="1"/>
  <c r="M86" i="1" s="1"/>
  <c r="N74" i="1"/>
  <c r="M73" i="1"/>
  <c r="L73" i="1"/>
  <c r="L70" i="1" s="1"/>
  <c r="O93" i="1"/>
  <c r="O94" i="1"/>
  <c r="O95" i="1"/>
  <c r="D22" i="5"/>
  <c r="D29" i="5"/>
  <c r="D36" i="5"/>
  <c r="D42" i="5"/>
  <c r="D48" i="5"/>
  <c r="D55" i="5"/>
  <c r="O75" i="1"/>
  <c r="P75" i="1"/>
  <c r="Q75" i="1"/>
  <c r="R75" i="1"/>
  <c r="S75" i="1"/>
  <c r="O92" i="1" l="1"/>
  <c r="L8" i="1"/>
  <c r="K8" i="1"/>
  <c r="J8" i="1"/>
  <c r="I8" i="1"/>
  <c r="H8" i="1"/>
  <c r="G8" i="1"/>
  <c r="M13" i="4" l="1"/>
  <c r="M12" i="4"/>
  <c r="M11" i="4"/>
  <c r="M10" i="4"/>
  <c r="T75" i="1"/>
  <c r="U75" i="1"/>
  <c r="V75" i="1"/>
  <c r="W75" i="1"/>
  <c r="X75" i="1"/>
  <c r="Y75" i="1"/>
  <c r="Z75" i="1"/>
  <c r="L74" i="1"/>
  <c r="I62" i="5"/>
  <c r="O8" i="9"/>
  <c r="O7" i="9"/>
  <c r="O6" i="9"/>
  <c r="O5" i="9"/>
  <c r="L12" i="9"/>
  <c r="L11" i="9"/>
  <c r="L10" i="9"/>
  <c r="L9" i="9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3" i="1"/>
  <c r="N109" i="1"/>
  <c r="N106" i="1"/>
  <c r="N103" i="1"/>
  <c r="N100" i="1"/>
  <c r="N96" i="1"/>
  <c r="N89" i="1"/>
  <c r="N88" i="1"/>
  <c r="N90" i="1" s="1"/>
  <c r="N69" i="1"/>
  <c r="N62" i="1"/>
  <c r="N61" i="1"/>
  <c r="N60" i="1"/>
  <c r="N58" i="1"/>
  <c r="N55" i="1"/>
  <c r="N50" i="1"/>
  <c r="N48" i="1"/>
  <c r="N41" i="1"/>
  <c r="N35" i="1"/>
  <c r="N34" i="1"/>
  <c r="N18" i="1"/>
  <c r="N15" i="1"/>
  <c r="N12" i="1"/>
  <c r="N7" i="1"/>
  <c r="N5" i="1"/>
  <c r="N29" i="1"/>
  <c r="N28" i="1"/>
  <c r="N27" i="1"/>
  <c r="L105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7" i="1"/>
  <c r="N111" i="1"/>
  <c r="N98" i="1"/>
  <c r="N26" i="1"/>
  <c r="G35" i="5" s="1"/>
  <c r="G37" i="5" s="1"/>
  <c r="N105" i="1"/>
  <c r="N101" i="1"/>
  <c r="O101" i="1" s="1"/>
  <c r="P101" i="1" s="1"/>
  <c r="Q101" i="1" s="1"/>
  <c r="R101" i="1" s="1"/>
  <c r="S101" i="1" s="1"/>
  <c r="N115" i="1"/>
  <c r="N71" i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N59" i="1"/>
  <c r="N47" i="1"/>
  <c r="N40" i="1"/>
  <c r="N11" i="1"/>
  <c r="N6" i="1"/>
  <c r="N30" i="1" s="1"/>
  <c r="G41" i="5" s="1"/>
  <c r="G43" i="5" s="1"/>
  <c r="N91" i="1"/>
  <c r="N86" i="1" l="1"/>
  <c r="F21" i="5"/>
  <c r="F24" i="5" s="1"/>
  <c r="G47" i="5"/>
  <c r="G50" i="5" s="1"/>
  <c r="N56" i="1"/>
  <c r="N51" i="1"/>
  <c r="N31" i="1"/>
  <c r="O26" i="4"/>
  <c r="N26" i="4"/>
  <c r="L115" i="1"/>
  <c r="D21" i="5" s="1"/>
  <c r="K115" i="1"/>
  <c r="J115" i="1"/>
  <c r="I115" i="1"/>
  <c r="H115" i="1"/>
  <c r="G115" i="1"/>
  <c r="F115" i="1"/>
  <c r="N52" i="1" l="1"/>
  <c r="B21" i="16"/>
  <c r="C20" i="16"/>
  <c r="S67" i="1" s="1"/>
  <c r="S56" i="1" s="1"/>
  <c r="C19" i="16"/>
  <c r="R39" i="1" s="1"/>
  <c r="C18" i="16"/>
  <c r="R66" i="1" s="1"/>
  <c r="C17" i="16"/>
  <c r="B16" i="16"/>
  <c r="C16" i="16" s="1"/>
  <c r="C15" i="16"/>
  <c r="P38" i="1" s="1"/>
  <c r="B13" i="16"/>
  <c r="C13" i="16" s="1"/>
  <c r="V82" i="1" s="1"/>
  <c r="B10" i="16"/>
  <c r="C10" i="16" s="1"/>
  <c r="U84" i="1" s="1"/>
  <c r="C9" i="16"/>
  <c r="P95" i="1" s="1"/>
  <c r="C8" i="16"/>
  <c r="Q94" i="1" s="1"/>
  <c r="C7" i="16"/>
  <c r="C14" i="16"/>
  <c r="C12" i="16"/>
  <c r="P65" i="1" s="1"/>
  <c r="C11" i="16"/>
  <c r="C6" i="16"/>
  <c r="C5" i="16"/>
  <c r="T83" i="1" s="1"/>
  <c r="C4" i="16"/>
  <c r="O37" i="1" s="1"/>
  <c r="P5" i="9" s="1"/>
  <c r="C3" i="16"/>
  <c r="O45" i="1" s="1"/>
  <c r="C2" i="16"/>
  <c r="R95" i="1"/>
  <c r="AD96" i="1"/>
  <c r="AC96" i="1"/>
  <c r="AI96" i="1"/>
  <c r="AJ96" i="1"/>
  <c r="AK96" i="1"/>
  <c r="W97" i="1"/>
  <c r="X97" i="1"/>
  <c r="Y97" i="1"/>
  <c r="Z97" i="1"/>
  <c r="P82" i="1" l="1"/>
  <c r="P93" i="1"/>
  <c r="O82" i="1"/>
  <c r="W82" i="1"/>
  <c r="W83" i="1"/>
  <c r="T67" i="1"/>
  <c r="X83" i="1"/>
  <c r="Q93" i="1"/>
  <c r="P64" i="1"/>
  <c r="O64" i="1"/>
  <c r="Q95" i="1"/>
  <c r="Z83" i="1"/>
  <c r="X82" i="1"/>
  <c r="V84" i="1"/>
  <c r="Y82" i="1"/>
  <c r="W84" i="1"/>
  <c r="Z82" i="1"/>
  <c r="X84" i="1"/>
  <c r="Y83" i="1"/>
  <c r="O83" i="1"/>
  <c r="Y84" i="1"/>
  <c r="R93" i="1"/>
  <c r="O66" i="1"/>
  <c r="P83" i="1"/>
  <c r="Z84" i="1"/>
  <c r="P66" i="1"/>
  <c r="Q83" i="1"/>
  <c r="Q66" i="1"/>
  <c r="U83" i="1"/>
  <c r="V83" i="1"/>
  <c r="Z85" i="1"/>
  <c r="Y85" i="1"/>
  <c r="X85" i="1"/>
  <c r="W85" i="1"/>
  <c r="V85" i="1"/>
  <c r="O85" i="1"/>
  <c r="U85" i="1"/>
  <c r="T85" i="1"/>
  <c r="S85" i="1"/>
  <c r="R85" i="1"/>
  <c r="Q85" i="1"/>
  <c r="P85" i="1"/>
  <c r="O65" i="1"/>
  <c r="U67" i="1"/>
  <c r="Q65" i="1"/>
  <c r="V67" i="1"/>
  <c r="O39" i="1"/>
  <c r="O67" i="1"/>
  <c r="P39" i="1"/>
  <c r="R94" i="1"/>
  <c r="Q39" i="1"/>
  <c r="O84" i="1"/>
  <c r="Q82" i="1"/>
  <c r="P84" i="1"/>
  <c r="O38" i="1"/>
  <c r="R82" i="1"/>
  <c r="Q84" i="1"/>
  <c r="R67" i="1"/>
  <c r="S82" i="1"/>
  <c r="R84" i="1"/>
  <c r="Q67" i="1"/>
  <c r="T82" i="1"/>
  <c r="R83" i="1"/>
  <c r="S84" i="1"/>
  <c r="P67" i="1"/>
  <c r="U82" i="1"/>
  <c r="S83" i="1"/>
  <c r="T84" i="1"/>
  <c r="P94" i="1"/>
  <c r="W55" i="1"/>
  <c r="X55" i="1"/>
  <c r="Y55" i="1"/>
  <c r="Z55" i="1"/>
  <c r="Z98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P92" i="1" l="1"/>
  <c r="Q92" i="1"/>
  <c r="V81" i="1"/>
  <c r="V74" i="1" s="1"/>
  <c r="O56" i="1"/>
  <c r="W81" i="1"/>
  <c r="W74" i="1" s="1"/>
  <c r="Y81" i="1"/>
  <c r="Y74" i="1" s="1"/>
  <c r="Z81" i="1"/>
  <c r="Z74" i="1" s="1"/>
  <c r="U81" i="1"/>
  <c r="U74" i="1" s="1"/>
  <c r="X81" i="1"/>
  <c r="X74" i="1" s="1"/>
  <c r="P81" i="1"/>
  <c r="P74" i="1" s="1"/>
  <c r="Q81" i="1"/>
  <c r="Q74" i="1" s="1"/>
  <c r="O81" i="1"/>
  <c r="O74" i="1" s="1"/>
  <c r="T81" i="1"/>
  <c r="T74" i="1" s="1"/>
  <c r="R92" i="1"/>
  <c r="S81" i="1"/>
  <c r="S74" i="1" s="1"/>
  <c r="R81" i="1"/>
  <c r="R74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10" i="1" l="1"/>
  <c r="P110" i="1" s="1"/>
  <c r="Q110" i="1" s="1"/>
  <c r="R110" i="1" s="1"/>
  <c r="S110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5" i="1"/>
  <c r="X115" i="1"/>
  <c r="W115" i="1"/>
  <c r="Y114" i="1"/>
  <c r="X114" i="1"/>
  <c r="W114" i="1"/>
  <c r="G107" i="1"/>
  <c r="H107" i="1"/>
  <c r="I107" i="1"/>
  <c r="J107" i="1"/>
  <c r="K107" i="1"/>
  <c r="L107" i="1"/>
  <c r="L111" i="1"/>
  <c r="K111" i="1"/>
  <c r="W116" i="1" l="1"/>
  <c r="X116" i="1"/>
  <c r="Y116" i="1"/>
  <c r="M5" i="15"/>
  <c r="L7" i="15"/>
  <c r="L9" i="15"/>
  <c r="N5" i="15" l="1"/>
  <c r="M7" i="15"/>
  <c r="M9" i="15"/>
  <c r="L59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1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8" i="1"/>
  <c r="P56" i="1" s="1"/>
  <c r="Q58" i="1"/>
  <c r="Q56" i="1" s="1"/>
  <c r="R58" i="1"/>
  <c r="R56" i="1" s="1"/>
  <c r="T58" i="1"/>
  <c r="U58" i="1"/>
  <c r="V58" i="1"/>
  <c r="T59" i="1"/>
  <c r="U59" i="1"/>
  <c r="V59" i="1"/>
  <c r="V56" i="1" l="1"/>
  <c r="T56" i="1"/>
  <c r="U56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5" i="1"/>
  <c r="U55" i="1"/>
  <c r="T55" i="1"/>
  <c r="S55" i="1"/>
  <c r="L61" i="5" s="1"/>
  <c r="U40" i="1" l="1"/>
  <c r="V40" i="1"/>
  <c r="S40" i="1"/>
  <c r="T40" i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8" i="1" s="1"/>
  <c r="T4" i="10"/>
  <c r="Q64" i="5"/>
  <c r="R61" i="5"/>
  <c r="X35" i="1" l="1"/>
  <c r="X98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8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101" i="1" l="1"/>
  <c r="K101" i="1"/>
  <c r="J101" i="1"/>
  <c r="I101" i="1"/>
  <c r="H101" i="1"/>
  <c r="G101" i="1"/>
  <c r="F101" i="1"/>
  <c r="G71" i="1"/>
  <c r="H71" i="1"/>
  <c r="I71" i="1"/>
  <c r="J71" i="1"/>
  <c r="K71" i="1"/>
  <c r="L71" i="1"/>
  <c r="L72" i="1" s="1"/>
  <c r="F71" i="1"/>
  <c r="J105" i="1"/>
  <c r="K105" i="1"/>
  <c r="G105" i="1"/>
  <c r="H105" i="1"/>
  <c r="I105" i="1"/>
  <c r="F105" i="1"/>
  <c r="F15" i="7" l="1"/>
  <c r="F13" i="7" s="1"/>
  <c r="L86" i="1"/>
  <c r="E68" i="5" s="1"/>
  <c r="J2" i="9" s="1"/>
  <c r="K86" i="1"/>
  <c r="T110" i="1"/>
  <c r="I15" i="7" l="1"/>
  <c r="I13" i="7" s="1"/>
  <c r="AK103" i="1" s="1"/>
  <c r="K15" i="7"/>
  <c r="K13" i="7" s="1"/>
  <c r="H15" i="7"/>
  <c r="H13" i="7" s="1"/>
  <c r="AJ103" i="1" s="1"/>
  <c r="G15" i="7"/>
  <c r="G13" i="7" s="1"/>
  <c r="AI103" i="1" s="1"/>
  <c r="J15" i="7"/>
  <c r="J13" i="7" s="1"/>
  <c r="U110" i="1"/>
  <c r="V110" i="1" s="1"/>
  <c r="O106" i="1"/>
  <c r="P106" i="1" s="1"/>
  <c r="Q106" i="1" s="1"/>
  <c r="R106" i="1" s="1"/>
  <c r="S106" i="1" s="1"/>
  <c r="T106" i="1" s="1"/>
  <c r="U106" i="1" s="1"/>
  <c r="V106" i="1" s="1"/>
  <c r="L15" i="7"/>
  <c r="L13" i="7" s="1"/>
  <c r="AD103" i="1"/>
  <c r="F114" i="1"/>
  <c r="F116" i="1" s="1"/>
  <c r="L47" i="1"/>
  <c r="L6" i="10" l="1"/>
  <c r="G24" i="11" s="1"/>
  <c r="G27" i="11" s="1"/>
  <c r="O103" i="1"/>
  <c r="O96" i="1" s="1"/>
  <c r="O98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P10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6" i="1"/>
  <c r="F54" i="6"/>
  <c r="Q10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6" i="1"/>
  <c r="AE96" i="1" s="1"/>
  <c r="G54" i="6"/>
  <c r="F56" i="6"/>
  <c r="F58" i="6" s="1"/>
  <c r="R103" i="1"/>
  <c r="AE103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6" i="1"/>
  <c r="G56" i="6"/>
  <c r="G58" i="6" s="1"/>
  <c r="H54" i="6"/>
  <c r="S103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6" i="1"/>
  <c r="H56" i="6"/>
  <c r="H58" i="6" s="1"/>
  <c r="I54" i="6"/>
  <c r="T103" i="1"/>
  <c r="S86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6" i="1"/>
  <c r="I56" i="6"/>
  <c r="I58" i="6" s="1"/>
  <c r="J54" i="6"/>
  <c r="U103" i="1"/>
  <c r="T86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6" i="1"/>
  <c r="AF96" i="1" s="1"/>
  <c r="M27" i="11"/>
  <c r="K54" i="6"/>
  <c r="K56" i="6" s="1"/>
  <c r="K58" i="6" s="1"/>
  <c r="J56" i="6"/>
  <c r="J58" i="6" s="1"/>
  <c r="O24" i="11"/>
  <c r="N27" i="11"/>
  <c r="V103" i="1"/>
  <c r="AF103" i="1"/>
  <c r="U86" i="1"/>
  <c r="N68" i="5" s="1"/>
  <c r="N71" i="5" s="1"/>
  <c r="O86" i="1"/>
  <c r="P86" i="1"/>
  <c r="Q86" i="1"/>
  <c r="R86" i="1"/>
  <c r="O55" i="1"/>
  <c r="P55" i="1"/>
  <c r="Q55" i="1"/>
  <c r="R55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6" i="1"/>
  <c r="V115" i="1" s="1"/>
  <c r="P24" i="11"/>
  <c r="O27" i="11"/>
  <c r="L49" i="5"/>
  <c r="V86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6" i="1" l="1"/>
  <c r="P68" i="5" s="1"/>
  <c r="P71" i="5" s="1"/>
  <c r="H2" i="12" a="1"/>
  <c r="H12" i="12" s="1"/>
  <c r="Q24" i="11"/>
  <c r="P27" i="11"/>
  <c r="H3" i="9" a="1"/>
  <c r="X86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6" i="1" l="1"/>
  <c r="Y86" i="1"/>
  <c r="S24" i="11"/>
  <c r="R27" i="11"/>
  <c r="R71" i="5"/>
  <c r="T24" i="11" l="1"/>
  <c r="S27" i="11"/>
  <c r="T68" i="5"/>
  <c r="S71" i="5"/>
  <c r="G114" i="1"/>
  <c r="G116" i="1" s="1"/>
  <c r="H114" i="1"/>
  <c r="H116" i="1" s="1"/>
  <c r="I114" i="1"/>
  <c r="I116" i="1" s="1"/>
  <c r="J114" i="1"/>
  <c r="J116" i="1" s="1"/>
  <c r="K114" i="1"/>
  <c r="K116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1" i="1"/>
  <c r="K51" i="1"/>
  <c r="J51" i="1"/>
  <c r="AD47" i="1"/>
  <c r="G48" i="2"/>
  <c r="AI47" i="1" s="1"/>
  <c r="AI53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2" i="1"/>
  <c r="J97" i="1"/>
  <c r="K97" i="1"/>
  <c r="D54" i="5" s="1"/>
  <c r="K52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7" i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1" i="1"/>
  <c r="H97" i="1"/>
  <c r="I51" i="1"/>
  <c r="F51" i="1"/>
  <c r="AC40" i="1"/>
  <c r="I47" i="2"/>
  <c r="H47" i="2"/>
  <c r="F24" i="2"/>
  <c r="N114" i="1" l="1"/>
  <c r="AF40" i="1"/>
  <c r="AE46" i="1"/>
  <c r="N37" i="4"/>
  <c r="N38" i="4" s="1"/>
  <c r="N18" i="4" s="1"/>
  <c r="L97" i="1"/>
  <c r="E54" i="5" s="1"/>
  <c r="L40" i="1"/>
  <c r="Y24" i="11"/>
  <c r="X27" i="11"/>
  <c r="F97" i="1"/>
  <c r="G97" i="1"/>
  <c r="G52" i="1"/>
  <c r="H52" i="1"/>
  <c r="I97" i="1"/>
  <c r="I52" i="1"/>
  <c r="J52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4" i="1"/>
  <c r="L116" i="1" s="1"/>
  <c r="E28" i="5" s="1"/>
  <c r="AE40" i="1"/>
  <c r="H49" i="2"/>
  <c r="H50" i="2" s="1"/>
  <c r="I49" i="2"/>
  <c r="I50" i="2" s="1"/>
  <c r="N116" i="1" l="1"/>
  <c r="N17" i="4"/>
  <c r="Z24" i="11"/>
  <c r="Y27" i="11"/>
  <c r="AD40" i="1"/>
  <c r="Z68" i="5"/>
  <c r="Y71" i="5"/>
  <c r="AE15" i="1"/>
  <c r="AF18" i="1"/>
  <c r="AE18" i="1"/>
  <c r="AC69" i="1"/>
  <c r="AC55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1" i="1" s="1"/>
  <c r="AK34" i="1"/>
  <c r="AK51" i="1" s="1"/>
  <c r="AF15" i="1"/>
  <c r="B2" i="12" l="1" a="1"/>
  <c r="B2" i="12" s="1"/>
  <c r="AD21" i="1"/>
  <c r="AI51" i="1"/>
  <c r="AD35" i="1"/>
  <c r="AD53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8" i="1"/>
  <c r="AC51" i="1"/>
  <c r="O21" i="1"/>
  <c r="AD51" i="1"/>
  <c r="AO51" i="1" s="1"/>
  <c r="AE35" i="1"/>
  <c r="F54" i="5" l="1"/>
  <c r="F57" i="5" s="1"/>
  <c r="AN51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5" i="1"/>
  <c r="G21" i="5" s="1"/>
  <c r="G24" i="5" s="1"/>
  <c r="H68" i="5"/>
  <c r="H71" i="5" s="1"/>
  <c r="H47" i="5"/>
  <c r="H50" i="5" s="1"/>
  <c r="I68" i="5" l="1"/>
  <c r="I71" i="5" s="1"/>
  <c r="P115" i="1"/>
  <c r="H21" i="5" s="1"/>
  <c r="H24" i="5" s="1"/>
  <c r="P98" i="1"/>
  <c r="I47" i="5" s="1"/>
  <c r="I50" i="5" s="1"/>
  <c r="J68" i="5" l="1"/>
  <c r="J71" i="5" s="1"/>
  <c r="Q115" i="1"/>
  <c r="I21" i="5" s="1"/>
  <c r="I24" i="5" s="1"/>
  <c r="Q98" i="1"/>
  <c r="J47" i="5" s="1"/>
  <c r="K47" i="5" l="1"/>
  <c r="K50" i="5" s="1"/>
  <c r="J50" i="5"/>
  <c r="K68" i="5"/>
  <c r="K71" i="5" s="1"/>
  <c r="R98" i="1"/>
  <c r="R115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5" i="1"/>
  <c r="K21" i="5" s="1"/>
  <c r="K24" i="5" s="1"/>
  <c r="S98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5" i="1"/>
  <c r="L21" i="5" s="1"/>
  <c r="L24" i="5" s="1"/>
  <c r="T98" i="1"/>
  <c r="M50" i="5" s="1"/>
  <c r="R47" i="5" l="1"/>
  <c r="Q50" i="5"/>
  <c r="U98" i="1"/>
  <c r="N50" i="5" s="1"/>
  <c r="U115" i="1"/>
  <c r="M21" i="5" s="1"/>
  <c r="M24" i="5" l="1"/>
  <c r="N21" i="5"/>
  <c r="S47" i="5"/>
  <c r="R50" i="5"/>
  <c r="O100" i="1" l="1"/>
  <c r="O21" i="5"/>
  <c r="N24" i="5"/>
  <c r="S50" i="5"/>
  <c r="T47" i="5"/>
  <c r="O114" i="1" l="1"/>
  <c r="M5" i="10"/>
  <c r="H31" i="11" s="1"/>
  <c r="H34" i="11" s="1"/>
  <c r="L5" i="10"/>
  <c r="G31" i="11" s="1"/>
  <c r="G34" i="11" s="1"/>
  <c r="O24" i="5"/>
  <c r="P21" i="5"/>
  <c r="T50" i="5"/>
  <c r="U47" i="5"/>
  <c r="P100" i="1"/>
  <c r="O116" i="1" l="1"/>
  <c r="H28" i="5" s="1"/>
  <c r="H31" i="5" s="1"/>
  <c r="P114" i="1"/>
  <c r="N5" i="10"/>
  <c r="I31" i="11" s="1"/>
  <c r="I34" i="11" s="1"/>
  <c r="Q21" i="5"/>
  <c r="P24" i="5"/>
  <c r="U50" i="5"/>
  <c r="V47" i="5"/>
  <c r="Q100" i="1"/>
  <c r="P116" i="1" l="1"/>
  <c r="I28" i="5" s="1"/>
  <c r="I31" i="5" s="1"/>
  <c r="Q114" i="1"/>
  <c r="O5" i="10"/>
  <c r="J31" i="11" s="1"/>
  <c r="J34" i="11" s="1"/>
  <c r="R21" i="5"/>
  <c r="Q24" i="5"/>
  <c r="W47" i="5"/>
  <c r="V50" i="5"/>
  <c r="R100" i="1"/>
  <c r="Q116" i="1" l="1"/>
  <c r="J28" i="5" s="1"/>
  <c r="J31" i="5" s="1"/>
  <c r="R114" i="1"/>
  <c r="P5" i="10"/>
  <c r="K31" i="11" s="1"/>
  <c r="K34" i="11" s="1"/>
  <c r="R24" i="5"/>
  <c r="S21" i="5"/>
  <c r="X47" i="5"/>
  <c r="W50" i="5"/>
  <c r="S100" i="1"/>
  <c r="T101" i="1"/>
  <c r="R116" i="1" l="1"/>
  <c r="K28" i="5" s="1"/>
  <c r="K31" i="5" s="1"/>
  <c r="S114" i="1"/>
  <c r="Q5" i="10"/>
  <c r="L31" i="11" s="1"/>
  <c r="S24" i="5"/>
  <c r="T21" i="5"/>
  <c r="Y47" i="5"/>
  <c r="X50" i="5"/>
  <c r="T100" i="1"/>
  <c r="U101" i="1"/>
  <c r="S116" i="1" l="1"/>
  <c r="L28" i="5" s="1"/>
  <c r="L34" i="11"/>
  <c r="M31" i="11"/>
  <c r="T114" i="1"/>
  <c r="T116" i="1" s="1"/>
  <c r="R5" i="10"/>
  <c r="U100" i="1"/>
  <c r="V101" i="1"/>
  <c r="V10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4" i="1"/>
  <c r="V116" i="1" s="1"/>
  <c r="T5" i="10"/>
  <c r="U114" i="1"/>
  <c r="U11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1" i="1"/>
  <c r="O34" i="1" l="1"/>
  <c r="M3" i="10" s="1"/>
  <c r="H45" i="11" s="1"/>
  <c r="H48" i="11" s="1"/>
  <c r="O97" i="1"/>
  <c r="H54" i="5" s="1"/>
  <c r="H57" i="5" s="1"/>
  <c r="P51" i="1"/>
  <c r="L3" i="10"/>
  <c r="G45" i="11" s="1"/>
  <c r="G48" i="11" s="1"/>
  <c r="Q51" i="1" l="1"/>
  <c r="P34" i="1"/>
  <c r="N3" i="10" s="1"/>
  <c r="I45" i="11" s="1"/>
  <c r="I48" i="11" s="1"/>
  <c r="P97" i="1"/>
  <c r="I54" i="5" s="1"/>
  <c r="I57" i="5" s="1"/>
  <c r="Q34" i="1" l="1"/>
  <c r="O3" i="10" s="1"/>
  <c r="J45" i="11" s="1"/>
  <c r="J48" i="11" s="1"/>
  <c r="Q97" i="1"/>
  <c r="J54" i="5" s="1"/>
  <c r="J57" i="5" s="1"/>
  <c r="R51" i="1"/>
  <c r="AE51" i="1"/>
  <c r="R97" i="1" l="1"/>
  <c r="K54" i="5" s="1"/>
  <c r="S51" i="1"/>
  <c r="R34" i="1"/>
  <c r="P3" i="10" s="1"/>
  <c r="K45" i="11" s="1"/>
  <c r="K48" i="11" l="1"/>
  <c r="L45" i="11"/>
  <c r="S97" i="1"/>
  <c r="S34" i="1"/>
  <c r="Q3" i="10" s="1"/>
  <c r="T51" i="1"/>
  <c r="K57" i="5"/>
  <c r="L54" i="5"/>
  <c r="M54" i="5" l="1"/>
  <c r="L57" i="5"/>
  <c r="T97" i="1"/>
  <c r="T34" i="1"/>
  <c r="R3" i="10" s="1"/>
  <c r="U51" i="1"/>
  <c r="AF51" i="1" s="1"/>
  <c r="M45" i="11"/>
  <c r="L48" i="11"/>
  <c r="M48" i="11" l="1"/>
  <c r="N45" i="11"/>
  <c r="V51" i="1"/>
  <c r="V97" i="1" s="1"/>
  <c r="U34" i="1"/>
  <c r="S3" i="10" s="1"/>
  <c r="U97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U27" i="1"/>
  <c r="T26" i="1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V27" i="1"/>
  <c r="V26" i="1" s="1"/>
  <c r="U26" i="1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5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4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5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2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7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82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3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4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5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10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3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3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<sst xmlns="http://schemas.openxmlformats.org/spreadsheetml/2006/main" count="1025" uniqueCount="386">
  <si>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</si>
  <si>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</si>
  <si>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</si>
  <si>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</si>
  <si>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</si>
  <si>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</si>
  <si>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</si>
  <si>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</si>
  <si>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</si>
  <si>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</si>
  <si>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</si>
  <si>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</si>
  <si>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</si>
  <si>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</si>
  <si>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</si>
  <si>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</si>
  <si>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</si>
  <si>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</si>
  <si>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</si>
  <si>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</si>
  <si>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</si>
  <si>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</si>
  <si>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</si>
  <si>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</si>
  <si>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</si>
  <si>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</si>
  <si>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</si>
  <si>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</si>
  <si>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</si>
  <si>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</si>
  <si>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</si>
  <si>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</si>
  <si>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</si>
  <si>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</si>
  <si>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</si>
  <si>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</si>
  <si>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</si>
  <si>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</si>
  <si>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</si>
  <si>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</si>
  <si>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</si>
  <si>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</si>
  <si>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</si>
  <si>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</si>
  <si>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</si>
  <si>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</si>
  <si>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</si>
  <si>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</si>
  <si>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</si>
  <si>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</si>
  <si>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</si>
  <si>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</si>
  <si>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</si>
  <si>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</si>
  <si>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</si>
  <si>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</si>
  <si>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</si>
  <si>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</si>
  <si>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</si>
  <si>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</si>
  <si>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</si>
  <si>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</si>
  <si>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</si>
  <si>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</si>
  <si>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</si>
  <si>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</si>
  <si>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</si>
  <si>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</si>
  <si>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</si>
  <si>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</si>
  <si>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</si>
  <si>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</si>
  <si>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</si>
  <si>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</si>
  <si>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</si>
  <si>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</si>
  <si>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</si>
  <si>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</si>
  <si>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</si>
  <si>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</si>
  <si>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</si>
  <si>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</si>
  <si>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</si>
  <si>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</si>
  <si>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</si>
  <si>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</si>
  <si>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</si>
  <si>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</si>
  <si>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</si>
  <si>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</si>
  <si>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</si>
  <si>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</si>
  <si>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</si>
  <si>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</si>
  <si>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</si>
  <si>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</si>
  <si>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</si>
  <si>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</si>
  <si>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</si>
  <si>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</si>
  <si>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</si>
  <si>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</si>
  <si>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</si>
  <si>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</si>
  <si>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</si>
  <si>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</si>
  <si>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</si>
  <si>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</si>
  <si>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</si>
  <si>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</si>
  <si>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</si>
  <si>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</si>
  <si>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</si>
  <si>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</si>
  <si>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</si>
  <si>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</si>
  <si>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</si>
  <si>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</si>
  <si>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</si>
  <si>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</si>
  <si>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</si>
  <si>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</si>
  <si>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</si>
  <si>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</si>
  <si>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</si>
  <si>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</si>
  <si>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</si>
  <si>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</si>
  <si>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</si>
  <si>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</si>
  <si>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</si>
  <si>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</si>
  <si>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</si>
  <si>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</si>
  <si>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</si>
  <si>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</si>
  <si>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</si>
  <si>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</si>
  <si>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</si>
  <si>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</si>
  <si>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</si>
  <si>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</si>
  <si>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</si>
  <si>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</si>
  <si>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</si>
  <si>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</si>
  <si>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</si>
  <si>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</si>
  <si>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</si>
  <si>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</si>
  <si>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</si>
  <si>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</si>
  <si>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</si>
  <si>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</si>
  <si>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</si>
  <si>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</si>
  <si>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</si>
  <si>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</si>
  <si>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</si>
  <si>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</si>
  <si>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</si>
  <si>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</si>
  <si>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</si>
  <si>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</si>
  <si>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</si>
  <si>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</si>
  <si>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</si>
  <si>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</si>
  <si>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</si>
  <si>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</si>
  <si>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</si>
  <si>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</si>
  <si>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</si>
  <si>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</si>
  <si>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</si>
  <si>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</si>
  <si>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</si>
  <si>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</si>
  <si>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</si>
  <si>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</si>
  <si>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</si>
  <si>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</si>
  <si>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</si>
  <si>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</si>
  <si>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</si>
  <si>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</si>
  <si>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</si>
  <si>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</si>
  <si>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</si>
  <si>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</si>
  <si>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</si>
  <si>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</si>
  <si>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</si>
  <si>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</si>
  <si>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</si>
  <si>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</si>
  <si>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</si>
  <si>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</si>
  <si>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</si>
  <si>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</si>
  <si>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</si>
  <si>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</si>
  <si>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</si>
  <si>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</si>
  <si>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</si>
  <si>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</si>
  <si>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</si>
  <si>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</si>
  <si>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</si>
  <si>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</si>
  <si>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</si>
  <si>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</si>
  <si>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</si>
  <si>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</si>
  <si>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</si>
  <si>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</si>
  <si>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</si>
  <si>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</si>
  <si>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</si>
  <si>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</si>
  <si>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</si>
  <si>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</si>
  <si>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</si>
  <si>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</si>
  <si>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</si>
  <si>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</si>
  <si>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</si>
  <si>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</si>
  <si>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</si>
  <si>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</si>
  <si>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</si>
  <si>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</si>
  <si>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</si>
  <si>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</si>
  <si>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</si>
  <si>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</si>
  <si>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</si>
  <si>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</si>
  <si>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</si>
  <si>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</si>
  <si>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</si>
  <si>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</si>
  <si>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</si>
  <si>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</si>
  <si>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</si>
  <si>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</si>
  <si>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</si>
  <si>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</si>
  <si>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</si>
  <si>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</si>
  <si>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</si>
  <si>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</si>
  <si>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</si>
  <si>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</si>
  <si>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</si>
  <si>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</si>
  <si>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</si>
  <si>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</si>
  <si>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</si>
  <si>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</si>
  <si>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</si>
  <si>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</si>
  <si>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</si>
  <si>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</si>
  <si>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</si>
  <si>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</si>
  <si>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</si>
  <si>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</si>
  <si>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</si>
  <si>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</si>
  <si>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</si>
  <si>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</si>
  <si>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</si>
  <si>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</si>
  <si>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</si>
  <si>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</si>
  <si>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</si>
  <si>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</si>
  <si>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</si>
  <si>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</si>
  <si>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</si>
  <si>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</si>
  <si>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</si>
  <si>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</si>
  <si>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</si>
  <si>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</si>
  <si>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</si>
  <si>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</si>
  <si>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</si>
  <si>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</si>
  <si>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</si>
  <si>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</si>
  <si>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</si>
  <si>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</si>
  <si>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</si>
  <si>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</si>
  <si>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</si>
  <si>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</si>
  <si>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</si>
  <si>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</si>
  <si>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</si>
  <si>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</si>
  <si>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</si>
  <si>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</si>
  <si>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</si>
  <si>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</si>
  <si>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</si>
  <si>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</si>
  <si>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</si>
  <si>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</si>
  <si>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</si>
  <si>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</si>
  <si>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</si>
  <si>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</si>
  <si>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</si>
  <si>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</si>
  <si>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</si>
  <si>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</si>
  <si>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</si>
  <si>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</si>
  <si>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</si>
  <si>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</si>
  <si>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</si>
  <si>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</si>
  <si>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</si>
  <si>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</si>
  <si>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</si>
  <si>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</si>
  <si>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</si>
  <si>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</si>
  <si>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</si>
  <si>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</si>
  <si>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</si>
  <si>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</si>
  <si>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</si>
  <si>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</si>
  <si>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</si>
  <si>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</si>
  <si>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</si>
  <si>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</si>
  <si>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</si>
  <si>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</si>
  <si>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</si>
  <si>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</si>
  <si>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</si>
  <si>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</si>
  <si>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</si>
  <si>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</si>
  <si>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</si>
  <si>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</si>
  <si>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</si>
  <si>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</si>
  <si>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</si>
  <si>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</si>
  <si>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</si>
  <si>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</si>
  <si>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</si>
  <si>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</si>
  <si>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</si>
  <si>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</si>
  <si>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</si>
  <si>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</si>
  <si>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</si>
  <si>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</si>
  <si>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</si>
  <si>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</si>
  <si>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</si>
  <si>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</si>
  <si>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</si>
  <si>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</si>
  <si>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</si>
  <si>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</si>
  <si>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</si>
  <si>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</si>
  <si>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</si>
  <si>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</si>
  <si>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</si>
  <si>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</si>
  <si>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</si>
  <si>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</si>
  <si>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</si>
  <si>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</si>
  <si>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Nonprofit PPP Sophia</t>
  </si>
  <si>
    <t>Non profit Provider relief Sophia (correct)</t>
  </si>
  <si>
    <t>Education Sophia</t>
  </si>
  <si>
    <t>Support for hospitals (state) 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</si>
</sst>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8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3" fontId="0" fillId="9" borderId="35" xfId="0" applyNumberFormat="1" applyFill="1" applyBorder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4" dT="2020-12-17T16:13:31.41" personId="{2D35AFA9-F227-4AE7-B9A7-D673D9D18C70}" id="{C5311C2D-4764-4363-AE1C-A82227666FB7}">
    <text>estimated $300 billion next year. over three quarters = 100. annualized ( x4).</text>
  </threadedComment>
  <threadedComment ref="O64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5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2" dT="2020-09-10T19:09:05.64" personId="{2D35AFA9-F227-4AE7-B9A7-D673D9D18C70}" id="{2D81BDF9-A0D8-4A1A-915B-91D32E8E61FF}">
    <text>grow with nom purchases</text>
  </threadedComment>
  <threadedComment ref="L77" dT="2020-10-27T15:26:37.39" personId="{2D35AFA9-F227-4AE7-B9A7-D673D9D18C70}" id="{33EF6DF5-9556-47EC-86E1-A12FDBDC0AA8}">
    <text>CBO indicated 17 for q2? why do we split the quarter 3 payments into q2?</text>
  </threadedComment>
  <threadedComment ref="L77" dT="2020-10-28T16:31:53.35" personId="{2D35AFA9-F227-4AE7-B9A7-D673D9D18C70}" id="{1079BF34-6E2F-4888-8715-72B28B28D9AA}" parentId="{33EF6DF5-9556-47EC-86E1-A12FDBDC0AA8}">
    <text>we're comfortable leaving this as is</text>
  </threadedComment>
  <threadedComment ref="O82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3" dT="2020-12-21T21:00:34.35" personId="{2D35AFA9-F227-4AE7-B9A7-D673D9D18C70}" id="{DA48DE65-66E5-4DD8-819A-2F757A61D389}">
    <text>CRFB: estimates $82B. According to the Louise x Wendy, MPC is 100% over 3 years.</text>
  </threadedComment>
  <threadedComment ref="O84" dT="2020-12-21T21:03:38.65" personId="{2D35AFA9-F227-4AE7-B9A7-D673D9D18C70}" id="{1FC8F5D3-F5DD-4502-A8BF-AD36B99CFAF5}">
    <text>CRFB: estimates $63B. MPC is 100% over 12 quarters and then annualize</text>
  </threadedComment>
  <threadedComment ref="O85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101" dT="2020-09-11T20:43:00.49" personId="{2D35AFA9-F227-4AE7-B9A7-D673D9D18C70}" id="{11731043-8530-4DAC-9476-3C98D0D836BB}">
    <text>grow with S&amp;L nom purchases</text>
  </threadedComment>
  <threadedComment ref="O113" dT="2020-09-30T15:34:25.90" personId="{2D35AFA9-F227-4AE7-B9A7-D673D9D18C70}" id="{D84F0053-F219-4B69-8181-0F12AE7D3FC2}">
    <text>overide in the fim with 4%</text>
  </threadedComment>
  <threadedComment ref="O11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3" dT="2020-09-30T15:34:25.90" personId="{2D35AFA9-F227-4AE7-B9A7-D673D9D18C70}" id="{3B711313-D2C6-42FC-83C8-BA827015079B}">
    <text>overide in the fim with 4%</text>
  </threadedComment>
  <threadedComment ref="P11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4"/>
  <sheetViews>
    <sheetView tabSelected="1" zoomScale="134" zoomScaleNormal="110" workbookViewId="0">
      <pane xSplit="2" ySplit="3" topLeftCell="L47" activePane="bottomRight" state="frozen"/>
      <selection pane="topRight" activeCell="C1" sqref="C1"/>
      <selection pane="bottomLeft" activeCell="A4" sqref="A4"/>
      <selection pane="bottomRight" activeCell="O49" sqref="O49"/>
    </sheetView>
  </sheetViews>
  <sheetFormatPr defaultColWidth="8.81640625" defaultRowHeight="14.5" x14ac:dyDescent="0.35"/>
  <cols>
    <col min="1" max="1" width="32.6328125" customWidth="1"/>
    <col min="2" max="2" width="10.81640625" customWidth="1"/>
    <col min="3" max="4" width="10.81640625" style="35" customWidth="1"/>
    <col min="6" max="14" width="16.1796875" bestFit="1" customWidth="1"/>
    <col min="15" max="15" width="13.36328125" customWidth="1"/>
    <col min="16" max="22" width="16.1796875" bestFit="1" customWidth="1"/>
    <col min="23" max="23" width="16.1796875" style="35" customWidth="1"/>
    <col min="24" max="25" width="12.453125" bestFit="1" customWidth="1"/>
    <col min="26" max="26" width="11.81640625" bestFit="1" customWidth="1"/>
    <col min="27" max="27" width="11.81640625" customWidth="1"/>
    <col min="28" max="32" width="8.81640625" customWidth="1"/>
    <col min="33" max="33" width="15.453125" hidden="1" customWidth="1"/>
    <col min="34" max="34" width="10.453125" hidden="1" customWidth="1"/>
    <col min="35" max="35" width="8.81640625" customWidth="1"/>
    <col min="39" max="39" width="8.6328125" style="146"/>
  </cols>
  <sheetData>
    <row r="1" spans="1:43" ht="19" customHeight="1" x14ac:dyDescent="0.45">
      <c r="A1" s="327" t="s">
        <v>371</v>
      </c>
      <c r="B1" s="327"/>
      <c r="C1" s="268"/>
      <c r="D1" s="268"/>
      <c r="E1" s="35"/>
      <c r="N1" t="s">
        <v>373</v>
      </c>
      <c r="AC1" s="333" t="s">
        <v>247</v>
      </c>
      <c r="AD1" s="333"/>
      <c r="AE1" s="331" t="s">
        <v>245</v>
      </c>
      <c r="AF1" s="332"/>
      <c r="AG1" t="s">
        <v>28</v>
      </c>
      <c r="AI1" s="329" t="s">
        <v>278</v>
      </c>
      <c r="AJ1" s="329"/>
      <c r="AK1" s="329"/>
      <c r="AL1" s="329"/>
      <c r="AM1" s="328" t="s">
        <v>276</v>
      </c>
      <c r="AN1" s="328"/>
      <c r="AO1" s="328"/>
      <c r="AP1" s="328"/>
    </row>
    <row r="2" spans="1:43" ht="23" customHeight="1" x14ac:dyDescent="0.35">
      <c r="F2" s="326" t="s">
        <v>21</v>
      </c>
      <c r="G2" s="326"/>
      <c r="H2" s="326"/>
      <c r="I2" s="326"/>
      <c r="J2" s="326" t="s">
        <v>9</v>
      </c>
      <c r="K2" s="326"/>
      <c r="L2" s="326"/>
      <c r="M2" s="326"/>
      <c r="N2" s="326" t="s">
        <v>10</v>
      </c>
      <c r="O2" s="326"/>
      <c r="P2" s="326"/>
      <c r="Q2" s="326"/>
      <c r="R2" s="326" t="s">
        <v>11</v>
      </c>
      <c r="S2" s="326"/>
      <c r="T2" s="326"/>
      <c r="U2" s="326"/>
      <c r="V2" s="326" t="s">
        <v>265</v>
      </c>
      <c r="W2" s="326"/>
      <c r="X2" s="326"/>
      <c r="Y2" s="326"/>
      <c r="Z2" s="221"/>
      <c r="AA2" s="283"/>
      <c r="AB2" s="221"/>
      <c r="AC2" s="326" t="s">
        <v>102</v>
      </c>
      <c r="AD2" s="326"/>
      <c r="AE2" s="326"/>
      <c r="AF2" s="326"/>
      <c r="AG2" s="326"/>
      <c r="AH2" s="326"/>
      <c r="AI2" s="326"/>
      <c r="AJ2" s="326"/>
      <c r="AK2" s="326"/>
      <c r="AL2" s="330"/>
    </row>
    <row r="3" spans="1:43" x14ac:dyDescent="0.35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246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265</v>
      </c>
      <c r="AN3" s="97" t="s">
        <v>12</v>
      </c>
      <c r="AO3" s="97" t="s">
        <v>11</v>
      </c>
      <c r="AP3" s="97" t="s">
        <v>265</v>
      </c>
    </row>
    <row r="4" spans="1:43" ht="18.5" x14ac:dyDescent="0.45">
      <c r="A4" s="325" t="s">
        <v>261</v>
      </c>
      <c r="B4" s="325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35">
      <c r="A5" t="s">
        <v>259</v>
      </c>
      <c r="B5" t="s">
        <v>280</v>
      </c>
      <c r="C5" s="35" t="s">
        <v>291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3">
      <c r="A6" s="169" t="s">
        <v>214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35">
      <c r="A7" t="s">
        <v>260</v>
      </c>
      <c r="B7" t="s">
        <v>280</v>
      </c>
      <c r="C7" s="35" t="s">
        <v>292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3">
      <c r="A8" s="169" t="s">
        <v>214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35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35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35">
      <c r="A11" s="176" t="s">
        <v>256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35">
      <c r="A12" s="211" t="s">
        <v>25</v>
      </c>
      <c r="B12" t="s">
        <v>280</v>
      </c>
      <c r="C12" t="s">
        <v>293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35">
      <c r="A13" s="212" t="s">
        <v>376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35">
      <c r="A14" s="212" t="s">
        <v>372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35">
      <c r="A15" s="211" t="s">
        <v>26</v>
      </c>
      <c r="B15" t="s">
        <v>280</v>
      </c>
      <c r="C15" t="s">
        <v>294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35">
      <c r="A16" s="212" t="s">
        <v>376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35">
      <c r="A17" s="212" t="s">
        <v>214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35">
      <c r="A18" s="211" t="s">
        <v>27</v>
      </c>
      <c r="B18" t="s">
        <v>280</v>
      </c>
      <c r="C18" t="s">
        <v>295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35">
      <c r="A19" s="212" t="s">
        <v>376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35">
      <c r="A20" s="212" t="s">
        <v>214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35">
      <c r="A21" s="176" t="s">
        <v>0</v>
      </c>
      <c r="B21" t="s">
        <v>280</v>
      </c>
      <c r="C21" t="s">
        <v>296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35">
      <c r="A22" s="177" t="s">
        <v>376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35">
      <c r="A23" s="177" t="s">
        <v>214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35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35">
      <c r="A25" t="s">
        <v>262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35">
      <c r="A26" s="176" t="s">
        <v>263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35">
      <c r="A27" s="211" t="s">
        <v>22</v>
      </c>
      <c r="C27" t="s">
        <v>297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35">
      <c r="A28" s="211" t="s">
        <v>23</v>
      </c>
      <c r="C28" t="s">
        <v>298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35">
      <c r="A29" s="211" t="s">
        <v>24</v>
      </c>
      <c r="C29" t="s">
        <v>299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35">
      <c r="A30" s="176" t="s">
        <v>0</v>
      </c>
      <c r="C30" t="s">
        <v>300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3">
      <c r="A31" s="177" t="s">
        <v>264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35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35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x14ac:dyDescent="0.35">
      <c r="A34" s="86" t="s">
        <v>14</v>
      </c>
      <c r="B34" t="s">
        <v>280</v>
      </c>
      <c r="C34" t="s">
        <v>301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>O35+O40+O51</f>
        <v>3270456.7169724014</v>
      </c>
      <c r="P34" s="133">
        <f>P35+P40+P51</f>
        <v>2708796.7165770018</v>
      </c>
      <c r="Q34" s="133">
        <f>Q35+Q40+Q51</f>
        <v>2611509.6718853824</v>
      </c>
      <c r="R34" s="133">
        <f>R35+R40+R51</f>
        <v>2678465.9441347551</v>
      </c>
      <c r="S34" s="133">
        <f>S35+S40+S51</f>
        <v>2735176.6542439447</v>
      </c>
      <c r="T34" s="133">
        <f>T35+T40+T51</f>
        <v>2793300.2519227522</v>
      </c>
      <c r="U34" s="133">
        <f>U35+U40+U51</f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x14ac:dyDescent="0.35">
      <c r="A35" s="86" t="s">
        <v>3</v>
      </c>
      <c r="B35" t="s">
        <v>280</v>
      </c>
      <c r="C35" t="s">
        <v>302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x14ac:dyDescent="0.35">
      <c r="A36" s="93" t="s">
        <v>338</v>
      </c>
      <c r="B36" t="s">
        <v>280</v>
      </c>
      <c r="C36" t="s">
        <v>303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x14ac:dyDescent="0.35">
      <c r="A37" s="281" t="s">
        <v>339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x14ac:dyDescent="0.35">
      <c r="A38" s="281" t="s">
        <v>346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x14ac:dyDescent="0.35">
      <c r="A39" s="281" t="s">
        <v>350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x14ac:dyDescent="0.35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29">O42+O46</f>
        <v>724000</v>
      </c>
      <c r="P40" s="87">
        <f t="shared" si="29"/>
        <v>152000</v>
      </c>
      <c r="Q40" s="87">
        <f t="shared" si="29"/>
        <v>44000</v>
      </c>
      <c r="R40" s="87">
        <f t="shared" si="29"/>
        <v>44000</v>
      </c>
      <c r="S40" s="87">
        <f t="shared" si="29"/>
        <v>44000</v>
      </c>
      <c r="T40" s="87">
        <f t="shared" si="29"/>
        <v>44000</v>
      </c>
      <c r="U40" s="87">
        <f t="shared" si="29"/>
        <v>44000</v>
      </c>
      <c r="V40" s="87">
        <f t="shared" si="29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1" si="30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x14ac:dyDescent="0.35">
      <c r="A41" s="115" t="s">
        <v>332</v>
      </c>
      <c r="B41" t="s">
        <v>280</v>
      </c>
      <c r="C41" t="s">
        <v>304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x14ac:dyDescent="0.35">
      <c r="A42" s="117" t="s">
        <v>211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1">Q43+Q44+Q45</f>
        <v>0</v>
      </c>
      <c r="R42" s="87">
        <f t="shared" ref="R42" si="32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x14ac:dyDescent="0.35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0"/>
        <v>0</v>
      </c>
      <c r="AG43" s="3"/>
      <c r="AI43" s="3"/>
      <c r="AJ43" s="3"/>
      <c r="AK43" s="3"/>
      <c r="AL43" s="3"/>
      <c r="AM43" s="182"/>
    </row>
    <row r="44" spans="1:39" x14ac:dyDescent="0.35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35">
      <c r="A45" s="273" t="s">
        <v>344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x14ac:dyDescent="0.35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0"/>
        <v>44</v>
      </c>
      <c r="AG46" s="3"/>
      <c r="AI46" s="3"/>
      <c r="AJ46" s="3"/>
      <c r="AK46" s="3"/>
      <c r="AL46" s="3"/>
      <c r="AM46" s="182"/>
    </row>
    <row r="47" spans="1:39" s="107" customFormat="1" ht="29" x14ac:dyDescent="0.35">
      <c r="A47" s="368" t="s">
        <v>147</v>
      </c>
      <c r="F47" s="369"/>
      <c r="G47" s="369"/>
      <c r="H47" s="369"/>
      <c r="I47" s="369"/>
      <c r="J47" s="369">
        <v>0</v>
      </c>
      <c r="K47" s="369">
        <v>0</v>
      </c>
      <c r="L47" s="369">
        <f>SUM(L48:L50)</f>
        <v>179900</v>
      </c>
      <c r="M47" s="370">
        <v>85400</v>
      </c>
      <c r="N47" s="371">
        <f>SUM(N48:N50)</f>
        <v>45300</v>
      </c>
      <c r="O47" s="372">
        <f t="shared" ref="O47:R47" si="33">SUM(O48:O50)</f>
        <v>54177.595548489669</v>
      </c>
      <c r="P47" s="372">
        <f t="shared" si="33"/>
        <v>43000</v>
      </c>
      <c r="Q47" s="372">
        <f t="shared" si="33"/>
        <v>43000</v>
      </c>
      <c r="R47" s="372">
        <f t="shared" si="33"/>
        <v>15000</v>
      </c>
      <c r="S47" s="372"/>
      <c r="T47" s="372"/>
      <c r="U47" s="372"/>
      <c r="V47" s="373"/>
      <c r="W47" s="373"/>
      <c r="X47" s="373"/>
      <c r="Y47" s="373"/>
      <c r="Z47" s="373"/>
      <c r="AA47" s="373"/>
      <c r="AB47" s="373"/>
      <c r="AC47" s="373"/>
      <c r="AD47" s="374">
        <f>AVERAGE(J47:M47)/1000</f>
        <v>66.325000000000003</v>
      </c>
      <c r="AE47" s="374">
        <f>AVERAGE(N47:Q47)/1000</f>
        <v>46.369398887122415</v>
      </c>
      <c r="AF47" s="374">
        <f t="shared" ref="AF47" si="34">AVERAGE(R47:U47)/1000</f>
        <v>15</v>
      </c>
      <c r="AG47" s="373"/>
      <c r="AI47" s="373">
        <f>'figuring out social benefits'!G48</f>
        <v>105</v>
      </c>
      <c r="AJ47" s="373"/>
      <c r="AK47" s="373"/>
      <c r="AL47" s="373"/>
      <c r="AM47" s="375"/>
    </row>
    <row r="48" spans="1:39" s="107" customFormat="1" x14ac:dyDescent="0.35">
      <c r="A48" s="376" t="s">
        <v>205</v>
      </c>
      <c r="B48" s="107" t="s">
        <v>280</v>
      </c>
      <c r="C48" s="107" t="s">
        <v>305</v>
      </c>
      <c r="F48" s="369"/>
      <c r="G48" s="369"/>
      <c r="H48" s="369"/>
      <c r="I48" s="369"/>
      <c r="J48" s="369"/>
      <c r="K48" s="369"/>
      <c r="L48" s="369">
        <v>19000</v>
      </c>
      <c r="M48" s="370">
        <v>27000</v>
      </c>
      <c r="N48" s="371">
        <f>VLOOKUP($C$48,'Haver NA'!$A$1:$J$34,10,0)</f>
        <v>10800</v>
      </c>
      <c r="O48" s="372">
        <v>377.5955484896661</v>
      </c>
      <c r="P48" s="372">
        <v>0</v>
      </c>
      <c r="Q48" s="372">
        <v>0</v>
      </c>
      <c r="R48" s="372">
        <v>0</v>
      </c>
      <c r="S48" s="372"/>
      <c r="T48" s="372"/>
      <c r="U48" s="372"/>
      <c r="V48" s="372"/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I48" s="373"/>
      <c r="AJ48" s="373"/>
      <c r="AK48" s="373"/>
      <c r="AL48" s="373"/>
      <c r="AM48" s="375"/>
    </row>
    <row r="49" spans="1:41" s="107" customFormat="1" x14ac:dyDescent="0.35">
      <c r="A49" s="376" t="s">
        <v>382</v>
      </c>
      <c r="B49" s="107" t="s">
        <v>280</v>
      </c>
      <c r="C49" s="107" t="s">
        <v>305</v>
      </c>
      <c r="F49" s="369"/>
      <c r="G49" s="369"/>
      <c r="H49" s="369"/>
      <c r="I49" s="369"/>
      <c r="J49" s="369"/>
      <c r="K49" s="369"/>
      <c r="L49" s="369"/>
      <c r="M49" s="370"/>
      <c r="N49" s="371"/>
      <c r="O49" s="372">
        <v>10800</v>
      </c>
      <c r="P49" s="372"/>
      <c r="Q49" s="372"/>
      <c r="R49" s="372"/>
      <c r="S49" s="372"/>
      <c r="T49" s="372"/>
      <c r="U49" s="372"/>
      <c r="V49" s="372"/>
      <c r="W49" s="372"/>
      <c r="X49" s="372"/>
      <c r="Y49" s="372"/>
      <c r="Z49" s="372"/>
      <c r="AA49" s="372"/>
      <c r="AB49" s="372"/>
      <c r="AC49" s="372"/>
      <c r="AD49" s="372"/>
      <c r="AE49" s="372"/>
      <c r="AF49" s="372"/>
      <c r="AG49" s="372"/>
      <c r="AI49" s="373"/>
      <c r="AJ49" s="373"/>
      <c r="AK49" s="373"/>
      <c r="AL49" s="373"/>
      <c r="AM49" s="375"/>
    </row>
    <row r="50" spans="1:41" s="107" customFormat="1" ht="29" x14ac:dyDescent="0.35">
      <c r="A50" s="376" t="s">
        <v>383</v>
      </c>
      <c r="B50" s="107" t="s">
        <v>280</v>
      </c>
      <c r="C50" s="107" t="s">
        <v>306</v>
      </c>
      <c r="F50" s="369"/>
      <c r="G50" s="369"/>
      <c r="H50" s="369"/>
      <c r="I50" s="369"/>
      <c r="J50" s="369"/>
      <c r="K50" s="369"/>
      <c r="L50" s="369">
        <v>160900</v>
      </c>
      <c r="M50" s="370">
        <v>58400</v>
      </c>
      <c r="N50" s="371">
        <f>VLOOKUP($C$50,'Haver NA'!$A$1:$J$34,10,0)</f>
        <v>34500</v>
      </c>
      <c r="O50" s="372">
        <v>43000</v>
      </c>
      <c r="P50" s="372">
        <v>43000</v>
      </c>
      <c r="Q50" s="372">
        <v>43000</v>
      </c>
      <c r="R50" s="372">
        <v>15000</v>
      </c>
      <c r="S50" s="372"/>
      <c r="T50" s="372"/>
      <c r="U50" s="372"/>
      <c r="V50" s="372"/>
      <c r="W50" s="372"/>
      <c r="X50" s="372"/>
      <c r="Y50" s="372"/>
      <c r="Z50" s="372"/>
      <c r="AA50" s="372"/>
      <c r="AB50" s="372"/>
      <c r="AC50" s="372"/>
      <c r="AD50" s="372"/>
      <c r="AE50" s="372"/>
      <c r="AF50" s="372"/>
      <c r="AG50" s="372"/>
      <c r="AI50" s="373"/>
      <c r="AJ50" s="373"/>
      <c r="AK50" s="373"/>
      <c r="AL50" s="373"/>
      <c r="AM50" s="375"/>
    </row>
    <row r="51" spans="1:41" ht="43.5" x14ac:dyDescent="0.35">
      <c r="A51" s="86" t="s">
        <v>149</v>
      </c>
      <c r="F51" s="197">
        <f>F34-F36-F40-F35</f>
        <v>1440187</v>
      </c>
      <c r="G51" s="197">
        <f>G34-G36-G40-G35</f>
        <v>1503410</v>
      </c>
      <c r="H51" s="201">
        <f>H34-H36-H40-H35</f>
        <v>1508652</v>
      </c>
      <c r="I51" s="197">
        <f>I34-I36-I40-I35</f>
        <v>1513957</v>
      </c>
      <c r="J51" s="201">
        <f>J34-J36-J40-J35-J47</f>
        <v>1521941</v>
      </c>
      <c r="K51" s="201">
        <f>K34-K36-K40-K35-K47</f>
        <v>1574462</v>
      </c>
      <c r="L51" s="201">
        <f>L34-L36-L41-L35-L47</f>
        <v>1648724</v>
      </c>
      <c r="M51" s="303">
        <v>1669801</v>
      </c>
      <c r="N51" s="306">
        <f>N34-N36-N40-N35-N47-N37</f>
        <v>1675893</v>
      </c>
      <c r="O51" s="88">
        <f>N51*(1+O53)</f>
        <v>1663323.8025</v>
      </c>
      <c r="P51" s="88">
        <f t="shared" ref="P51:Q51" si="35">O51*(1+P53)</f>
        <v>1650848.87398125</v>
      </c>
      <c r="Q51" s="88">
        <f t="shared" si="35"/>
        <v>1638467.5074263907</v>
      </c>
      <c r="R51" s="88">
        <f>Q51*(1+R53)</f>
        <v>1663044.5200377863</v>
      </c>
      <c r="S51" s="88">
        <f t="shared" ref="S51:U51" si="36">R51*(1+S53)</f>
        <v>1687990.187838353</v>
      </c>
      <c r="T51" s="88">
        <f t="shared" si="36"/>
        <v>1713310.0406559282</v>
      </c>
      <c r="U51" s="88">
        <f t="shared" si="36"/>
        <v>1739009.691265767</v>
      </c>
      <c r="V51" s="88">
        <f>U51*(1+V53)</f>
        <v>1756399.7881784246</v>
      </c>
      <c r="W51" s="44"/>
      <c r="X51" s="3"/>
      <c r="Y51" s="3"/>
      <c r="Z51" s="3"/>
      <c r="AA51" s="3"/>
      <c r="AB51" s="3"/>
      <c r="AC51" s="3">
        <f>AD34-AD36-AD40-AD35-AD47</f>
        <v>-1666.23125</v>
      </c>
      <c r="AD51" s="45">
        <f>AVERAGE(J51:M51)/1000</f>
        <v>1603.732</v>
      </c>
      <c r="AE51" s="45">
        <f>AVERAGE(N51:Q51)/1000</f>
        <v>1657.1332959769102</v>
      </c>
      <c r="AF51" s="45">
        <f t="shared" si="30"/>
        <v>1700.8386099494589</v>
      </c>
      <c r="AG51" s="3"/>
      <c r="AI51" s="3">
        <f>AI34-AI36-AI40-AI35-AI47</f>
        <v>1571.7041322167745</v>
      </c>
      <c r="AJ51" s="3">
        <f>AJ34-AJ36-AJ40-AJ35</f>
        <v>1644.9470557811208</v>
      </c>
      <c r="AK51" s="3">
        <f>AK34-AK36-AK40-AK35</f>
        <v>1684.8968956203648</v>
      </c>
      <c r="AL51" s="3"/>
      <c r="AM51" s="182"/>
      <c r="AN51">
        <f>AJ51/AI51*AD51</f>
        <v>1678.467452993958</v>
      </c>
      <c r="AO51">
        <f>AK51/AI51*AD51</f>
        <v>1719.2313825604638</v>
      </c>
    </row>
    <row r="52" spans="1:41" s="170" customFormat="1" ht="12" x14ac:dyDescent="0.3">
      <c r="A52" s="169" t="s">
        <v>214</v>
      </c>
      <c r="C52" s="269"/>
      <c r="D52" s="269"/>
      <c r="F52" s="225"/>
      <c r="G52" s="227">
        <f>G51/F51-1</f>
        <v>4.3899160317375507E-2</v>
      </c>
      <c r="H52" s="227">
        <f t="shared" ref="H52:L52" si="37">H51/G51-1</f>
        <v>3.4867401440725754E-3</v>
      </c>
      <c r="I52" s="227">
        <f t="shared" si="37"/>
        <v>3.5163841628156334E-3</v>
      </c>
      <c r="J52" s="227">
        <f t="shared" si="37"/>
        <v>5.2735975988749129E-3</v>
      </c>
      <c r="K52" s="227">
        <f t="shared" si="37"/>
        <v>3.4509222105193249E-2</v>
      </c>
      <c r="L52" s="227">
        <f t="shared" si="37"/>
        <v>4.7166587697893059E-2</v>
      </c>
      <c r="M52" s="227">
        <v>1.2783825552366457E-2</v>
      </c>
      <c r="N52" s="227">
        <f t="shared" ref="N52" si="38">N51/M51-1</f>
        <v>3.6483389338011207E-3</v>
      </c>
      <c r="O52" s="226"/>
      <c r="P52" s="226"/>
      <c r="Q52" s="226"/>
      <c r="R52" s="226"/>
      <c r="S52" s="226"/>
      <c r="T52" s="226"/>
      <c r="U52" s="226"/>
      <c r="V52" s="226"/>
      <c r="W52" s="172"/>
      <c r="X52" s="174"/>
      <c r="Y52" s="174"/>
      <c r="Z52" s="174"/>
      <c r="AA52" s="174"/>
      <c r="AB52" s="174"/>
      <c r="AC52" s="174"/>
      <c r="AD52" s="173"/>
      <c r="AE52" s="173"/>
      <c r="AF52" s="173"/>
      <c r="AG52" s="174"/>
      <c r="AI52" s="174"/>
      <c r="AJ52" s="174"/>
      <c r="AK52" s="174"/>
      <c r="AL52" s="174"/>
      <c r="AM52" s="183"/>
    </row>
    <row r="53" spans="1:41" s="185" customFormat="1" x14ac:dyDescent="0.35">
      <c r="A53" s="169" t="s">
        <v>268</v>
      </c>
      <c r="F53" s="207"/>
      <c r="G53" s="207"/>
      <c r="H53" s="207"/>
      <c r="I53" s="207"/>
      <c r="J53" s="200"/>
      <c r="K53" s="200"/>
      <c r="L53" s="200"/>
      <c r="M53" s="301"/>
      <c r="N53" s="302"/>
      <c r="O53" s="175">
        <v>-7.4999999999999997E-3</v>
      </c>
      <c r="P53" s="175">
        <v>-7.4999999999999997E-3</v>
      </c>
      <c r="Q53" s="175">
        <v>-7.4999999999999997E-3</v>
      </c>
      <c r="R53" s="175">
        <v>1.4999999999999999E-2</v>
      </c>
      <c r="S53" s="175">
        <v>1.4999999999999999E-2</v>
      </c>
      <c r="T53" s="175">
        <v>1.4999999999999999E-2</v>
      </c>
      <c r="U53" s="175">
        <v>1.4999999999999999E-2</v>
      </c>
      <c r="V53" s="175">
        <v>0.01</v>
      </c>
      <c r="W53" s="175"/>
      <c r="AD53" s="187">
        <f>AD35+AD36+AD40+AD47</f>
        <v>1666.23125</v>
      </c>
      <c r="AI53" s="187">
        <f>AI35+AI36+AI40+AI47</f>
        <v>1749.068</v>
      </c>
      <c r="AM53" s="234"/>
      <c r="AN53" s="224">
        <v>-7.4999999999999997E-3</v>
      </c>
      <c r="AO53" s="224">
        <v>1.4999999999999999E-2</v>
      </c>
    </row>
    <row r="54" spans="1:41" s="35" customFormat="1" ht="14" customHeight="1" x14ac:dyDescent="0.35">
      <c r="A54"/>
      <c r="B54"/>
      <c r="E54"/>
      <c r="F54" s="197"/>
      <c r="G54" s="197"/>
      <c r="H54" s="197"/>
      <c r="I54" s="197"/>
      <c r="J54" s="197"/>
      <c r="K54" s="197"/>
      <c r="L54" s="197"/>
      <c r="M54" s="301"/>
      <c r="N54" s="307"/>
      <c r="O54" s="3"/>
      <c r="P54" s="3"/>
      <c r="Q54" s="3"/>
      <c r="R54" s="3"/>
      <c r="S54" s="3"/>
      <c r="T54" s="3"/>
      <c r="U54" s="3"/>
      <c r="V54" s="3"/>
      <c r="W54" s="44"/>
      <c r="X54" s="44"/>
      <c r="Y54" s="44"/>
      <c r="Z54" s="44"/>
      <c r="AA54" s="44"/>
      <c r="AB54" s="44"/>
      <c r="AC54" s="44"/>
      <c r="AD54" s="45"/>
      <c r="AE54" s="45"/>
      <c r="AF54" s="45"/>
      <c r="AG54" s="44"/>
      <c r="AI54" s="44"/>
      <c r="AJ54" s="44"/>
      <c r="AK54" s="44"/>
      <c r="AL54" s="44"/>
      <c r="AM54" s="235"/>
    </row>
    <row r="55" spans="1:41" s="35" customFormat="1" x14ac:dyDescent="0.35">
      <c r="A55" s="141" t="s">
        <v>4</v>
      </c>
      <c r="B55" s="141" t="s">
        <v>280</v>
      </c>
      <c r="C55" t="s">
        <v>307</v>
      </c>
      <c r="D55"/>
      <c r="E55" s="141"/>
      <c r="F55" s="197">
        <v>79458</v>
      </c>
      <c r="G55" s="197">
        <v>71318</v>
      </c>
      <c r="H55" s="197">
        <v>61083</v>
      </c>
      <c r="I55" s="202">
        <v>81998</v>
      </c>
      <c r="J55" s="202">
        <v>81147</v>
      </c>
      <c r="K55" s="202">
        <v>75093</v>
      </c>
      <c r="L55" s="202">
        <v>1086548</v>
      </c>
      <c r="M55" s="303">
        <v>1213480</v>
      </c>
      <c r="N55" s="308">
        <f>VLOOKUP($C$55,'Haver NA'!$A$1:$J$34,10,0)</f>
        <v>610536</v>
      </c>
      <c r="O55" s="144">
        <f t="shared" ref="O55:Z55" si="39">O56+AVERAGE($H$55:$K$55)</f>
        <v>794083.58333333337</v>
      </c>
      <c r="P55" s="144">
        <f t="shared" si="39"/>
        <v>794083.58333333337</v>
      </c>
      <c r="Q55" s="144">
        <f t="shared" si="39"/>
        <v>144083.58333333331</v>
      </c>
      <c r="R55" s="144">
        <f t="shared" si="39"/>
        <v>122750.25</v>
      </c>
      <c r="S55" s="144">
        <f t="shared" si="39"/>
        <v>77330.25</v>
      </c>
      <c r="T55" s="144">
        <f t="shared" si="39"/>
        <v>77330.25</v>
      </c>
      <c r="U55" s="144">
        <f t="shared" si="39"/>
        <v>77330.25</v>
      </c>
      <c r="V55" s="144">
        <f t="shared" si="39"/>
        <v>77330.25</v>
      </c>
      <c r="W55" s="144">
        <f t="shared" si="39"/>
        <v>74830.25</v>
      </c>
      <c r="X55" s="144">
        <f t="shared" si="39"/>
        <v>74830.25</v>
      </c>
      <c r="Y55" s="144">
        <f t="shared" si="39"/>
        <v>74830.25</v>
      </c>
      <c r="Z55" s="144">
        <f t="shared" si="39"/>
        <v>74830.25</v>
      </c>
      <c r="AA55" s="44"/>
      <c r="AB55" s="44"/>
      <c r="AC55" s="44">
        <f>AVERAGE(F55:I55)/1000</f>
        <v>73.464250000000007</v>
      </c>
      <c r="AD55" s="44"/>
      <c r="AE55" s="44"/>
      <c r="AF55" s="44"/>
      <c r="AM55" s="233"/>
    </row>
    <row r="56" spans="1:41" s="35" customFormat="1" x14ac:dyDescent="0.35">
      <c r="A56" s="134" t="s">
        <v>200</v>
      </c>
      <c r="F56" s="197"/>
      <c r="G56" s="197"/>
      <c r="H56" s="197"/>
      <c r="I56" s="202"/>
      <c r="J56" s="202"/>
      <c r="K56" s="202"/>
      <c r="L56" s="202"/>
      <c r="M56" s="299">
        <v>1093900</v>
      </c>
      <c r="N56" s="308">
        <f t="shared" ref="N56" si="40">N58+N59+N64</f>
        <v>473700</v>
      </c>
      <c r="O56" s="116">
        <f>O58+O59+SUM(O64:O67)</f>
        <v>719253.33333333337</v>
      </c>
      <c r="P56" s="116">
        <f t="shared" ref="P56:V56" si="41">P58+P59+SUM(P64:P67)</f>
        <v>719253.33333333337</v>
      </c>
      <c r="Q56" s="116">
        <f t="shared" si="41"/>
        <v>69253.333333333328</v>
      </c>
      <c r="R56" s="116">
        <f t="shared" si="41"/>
        <v>47920</v>
      </c>
      <c r="S56" s="116">
        <f t="shared" si="41"/>
        <v>2500</v>
      </c>
      <c r="T56" s="116">
        <f t="shared" si="41"/>
        <v>2500</v>
      </c>
      <c r="U56" s="116">
        <f t="shared" si="41"/>
        <v>2500</v>
      </c>
      <c r="V56" s="116">
        <f t="shared" si="41"/>
        <v>2500</v>
      </c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x14ac:dyDescent="0.35">
      <c r="A57" s="219" t="s">
        <v>336</v>
      </c>
      <c r="F57" s="197"/>
      <c r="G57" s="197"/>
      <c r="H57" s="197"/>
      <c r="I57" s="202"/>
      <c r="J57" s="202"/>
      <c r="K57" s="202"/>
      <c r="L57" s="202"/>
      <c r="M57" s="303"/>
      <c r="N57" s="308"/>
      <c r="O57" s="116"/>
      <c r="P57" s="116"/>
      <c r="Q57" s="116"/>
      <c r="R57" s="116"/>
      <c r="S57" s="116"/>
      <c r="T57" s="116"/>
      <c r="U57" s="116"/>
      <c r="V57" s="116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x14ac:dyDescent="0.35">
      <c r="A58" s="271" t="s">
        <v>334</v>
      </c>
      <c r="C58" t="s">
        <v>308</v>
      </c>
      <c r="D58"/>
      <c r="F58" s="197"/>
      <c r="G58" s="197"/>
      <c r="H58" s="197"/>
      <c r="I58" s="202"/>
      <c r="J58" s="202"/>
      <c r="K58" s="202"/>
      <c r="L58" s="202">
        <v>609300</v>
      </c>
      <c r="M58" s="301">
        <v>865600</v>
      </c>
      <c r="N58" s="308">
        <f>VLOOKUP($C$58,'Haver NA'!$A$1:$J$34,10,0)</f>
        <v>260300</v>
      </c>
      <c r="O58" s="116"/>
      <c r="P58" s="116">
        <f>'[1]Revised Add Factors'!F$13*1000</f>
        <v>0</v>
      </c>
      <c r="Q58" s="116">
        <f>'[1]Revised Add Factors'!G$13*1000</f>
        <v>0</v>
      </c>
      <c r="R58" s="116">
        <f>'[1]Revised Add Factors'!H$13*1000</f>
        <v>0</v>
      </c>
      <c r="S58" s="116"/>
      <c r="T58" s="116">
        <f>'[1]Revised Add Factors'!J$13*1000</f>
        <v>0</v>
      </c>
      <c r="U58" s="116">
        <f>'[1]Revised Add Factors'!K$13*1000</f>
        <v>0</v>
      </c>
      <c r="V58" s="116">
        <f>'[1]Revised Add Factors'!L$13*1000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35" customFormat="1" ht="27.5" customHeight="1" x14ac:dyDescent="0.35">
      <c r="A59" s="113" t="s">
        <v>271</v>
      </c>
      <c r="C59" t="s">
        <v>333</v>
      </c>
      <c r="D59"/>
      <c r="F59" s="197"/>
      <c r="G59" s="197"/>
      <c r="H59" s="197"/>
      <c r="I59" s="202"/>
      <c r="J59" s="202"/>
      <c r="K59" s="202"/>
      <c r="L59" s="202">
        <f>SUM(L60:L62)</f>
        <v>277100</v>
      </c>
      <c r="M59" s="301">
        <v>228300</v>
      </c>
      <c r="N59" s="308">
        <f>SUM(N60:N62)</f>
        <v>213400</v>
      </c>
      <c r="O59" s="116">
        <v>25420</v>
      </c>
      <c r="P59" s="116">
        <v>25420</v>
      </c>
      <c r="Q59" s="116">
        <v>25420</v>
      </c>
      <c r="R59" s="116">
        <v>25420</v>
      </c>
      <c r="S59" s="116"/>
      <c r="T59" s="116">
        <f>'[1]Revised Add Factors'!J$14*1000</f>
        <v>0</v>
      </c>
      <c r="U59" s="116">
        <f>'[1]Revised Add Factors'!K$14*1000</f>
        <v>0</v>
      </c>
      <c r="V59" s="116">
        <f>'[1]Revised Add Factors'!L$14*1000</f>
        <v>0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M59" s="233"/>
    </row>
    <row r="60" spans="1:41" s="185" customFormat="1" x14ac:dyDescent="0.35">
      <c r="A60" s="272" t="s">
        <v>281</v>
      </c>
      <c r="B60" s="185" t="s">
        <v>280</v>
      </c>
      <c r="C60" t="s">
        <v>309</v>
      </c>
      <c r="D60"/>
      <c r="F60" s="207"/>
      <c r="G60" s="207"/>
      <c r="H60" s="207"/>
      <c r="I60" s="253"/>
      <c r="J60" s="253"/>
      <c r="K60" s="253"/>
      <c r="L60" s="253">
        <v>63800</v>
      </c>
      <c r="M60" s="304">
        <v>15000</v>
      </c>
      <c r="N60" s="309">
        <f>VLOOKUP($C$60,'Haver NA'!$A$1:$J$34,10,0)</f>
        <v>100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35">
      <c r="A61" s="272" t="s">
        <v>282</v>
      </c>
      <c r="B61" s="185" t="s">
        <v>280</v>
      </c>
      <c r="C61" t="s">
        <v>310</v>
      </c>
      <c r="D61"/>
      <c r="F61" s="207"/>
      <c r="G61" s="207"/>
      <c r="H61" s="207"/>
      <c r="I61" s="253"/>
      <c r="J61" s="253"/>
      <c r="K61" s="253"/>
      <c r="L61" s="253">
        <v>73300</v>
      </c>
      <c r="M61" s="304">
        <v>73300</v>
      </c>
      <c r="N61" s="309">
        <f>VLOOKUP($C$61,'Haver NA'!$A$1:$J$34,10,0)</f>
        <v>73300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x14ac:dyDescent="0.35">
      <c r="A62" s="272" t="s">
        <v>283</v>
      </c>
      <c r="B62" s="185" t="s">
        <v>280</v>
      </c>
      <c r="C62" t="s">
        <v>311</v>
      </c>
      <c r="D62"/>
      <c r="F62" s="207"/>
      <c r="G62" s="207"/>
      <c r="H62" s="207"/>
      <c r="I62" s="253"/>
      <c r="J62" s="253"/>
      <c r="K62" s="253"/>
      <c r="L62" s="253">
        <v>140000</v>
      </c>
      <c r="M62" s="304">
        <v>140000</v>
      </c>
      <c r="N62" s="309">
        <f>VLOOKUP($C$62,'Haver NA'!$A$1:$J$34,10,0)</f>
        <v>140000</v>
      </c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185" customFormat="1" x14ac:dyDescent="0.35">
      <c r="A63" s="219" t="s">
        <v>337</v>
      </c>
      <c r="C63"/>
      <c r="D63"/>
      <c r="F63" s="207"/>
      <c r="G63" s="207"/>
      <c r="H63" s="207"/>
      <c r="I63" s="253"/>
      <c r="J63" s="253"/>
      <c r="K63" s="253"/>
      <c r="L63" s="253"/>
      <c r="M63" s="301"/>
      <c r="N63" s="309"/>
      <c r="O63" s="254"/>
      <c r="P63" s="254"/>
      <c r="Q63" s="254"/>
      <c r="R63" s="254"/>
      <c r="S63" s="254"/>
      <c r="T63" s="254"/>
      <c r="U63" s="254"/>
      <c r="V63" s="254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M63" s="234"/>
    </row>
    <row r="64" spans="1:41" s="274" customFormat="1" x14ac:dyDescent="0.35">
      <c r="A64" s="273" t="s">
        <v>335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2'!$C$2*4/2</f>
        <v>650000</v>
      </c>
      <c r="P64" s="279">
        <f>'Stimulus Round 2'!$C$2*4/2</f>
        <v>650000</v>
      </c>
      <c r="Q64" s="279"/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x14ac:dyDescent="0.35">
      <c r="A65" s="273" t="s">
        <v>348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2'!$C$12*4/3</f>
        <v>21333.333333333332</v>
      </c>
      <c r="P65" s="279">
        <f>'Stimulus Round 2'!$C$12*4/3</f>
        <v>21333.333333333332</v>
      </c>
      <c r="Q65" s="279">
        <f>'Stimulus Round 2'!$C$12*4/3</f>
        <v>21333.333333333332</v>
      </c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x14ac:dyDescent="0.35">
      <c r="A66" s="273" t="s">
        <v>282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2'!$C$18*4/4</f>
        <v>20000</v>
      </c>
      <c r="P66" s="279">
        <f>'Stimulus Round 2'!$C$18*4/4</f>
        <v>20000</v>
      </c>
      <c r="Q66" s="279">
        <f>'Stimulus Round 2'!$C$18*4/4</f>
        <v>20000</v>
      </c>
      <c r="R66" s="279">
        <f>'Stimulus Round 2'!$C$18*4/4</f>
        <v>20000</v>
      </c>
      <c r="S66" s="279"/>
      <c r="T66" s="279"/>
      <c r="U66" s="279"/>
      <c r="V66" s="279"/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274" customFormat="1" x14ac:dyDescent="0.35">
      <c r="A67" s="273" t="s">
        <v>351</v>
      </c>
      <c r="F67" s="197"/>
      <c r="G67" s="197"/>
      <c r="H67" s="197"/>
      <c r="I67" s="202"/>
      <c r="J67" s="202"/>
      <c r="K67" s="202"/>
      <c r="L67" s="202"/>
      <c r="M67" s="301"/>
      <c r="N67" s="308"/>
      <c r="O67" s="279">
        <f>'Stimulus Round 2'!$C$20*4/8</f>
        <v>2500</v>
      </c>
      <c r="P67" s="279">
        <f>'Stimulus Round 2'!$C$20*4/8</f>
        <v>2500</v>
      </c>
      <c r="Q67" s="279">
        <f>'Stimulus Round 2'!$C$20*4/8</f>
        <v>2500</v>
      </c>
      <c r="R67" s="279">
        <f>'Stimulus Round 2'!$C$20*4/8</f>
        <v>2500</v>
      </c>
      <c r="S67" s="279">
        <f>'Stimulus Round 2'!$C$20*4/8</f>
        <v>2500</v>
      </c>
      <c r="T67" s="279">
        <f>'Stimulus Round 2'!$C$20*4/8</f>
        <v>2500</v>
      </c>
      <c r="U67" s="279">
        <f>'Stimulus Round 2'!$C$20*4/8</f>
        <v>2500</v>
      </c>
      <c r="V67" s="279">
        <f>'Stimulus Round 2'!$C$20*4/8</f>
        <v>2500</v>
      </c>
      <c r="W67" s="276"/>
      <c r="X67" s="276"/>
      <c r="Y67" s="276"/>
      <c r="Z67" s="276"/>
      <c r="AA67" s="276"/>
      <c r="AB67" s="276"/>
      <c r="AC67" s="276"/>
      <c r="AD67" s="276"/>
      <c r="AE67" s="276"/>
      <c r="AF67" s="276"/>
      <c r="AG67" s="276"/>
      <c r="AM67" s="280"/>
    </row>
    <row r="68" spans="1:39" s="35" customFormat="1" x14ac:dyDescent="0.35">
      <c r="A68" s="134"/>
      <c r="F68" s="197"/>
      <c r="G68" s="197"/>
      <c r="H68" s="197"/>
      <c r="I68" s="202"/>
      <c r="J68" s="202"/>
      <c r="K68" s="202"/>
      <c r="L68" s="202"/>
      <c r="M68" s="301"/>
      <c r="N68" s="308"/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M68" s="233"/>
    </row>
    <row r="69" spans="1:39" s="35" customFormat="1" x14ac:dyDescent="0.35">
      <c r="A69" s="35" t="s">
        <v>16</v>
      </c>
      <c r="B69" s="35" t="s">
        <v>280</v>
      </c>
      <c r="C69" t="s">
        <v>312</v>
      </c>
      <c r="D69"/>
      <c r="F69" s="197">
        <v>586475</v>
      </c>
      <c r="G69" s="197">
        <v>594213</v>
      </c>
      <c r="H69" s="197">
        <v>612547</v>
      </c>
      <c r="I69" s="202">
        <v>610331</v>
      </c>
      <c r="J69" s="202">
        <v>615406</v>
      </c>
      <c r="K69" s="202">
        <v>627805</v>
      </c>
      <c r="L69" s="202">
        <v>1396890</v>
      </c>
      <c r="M69" s="301">
        <v>728172</v>
      </c>
      <c r="N69" s="308">
        <f>VLOOKUP($C$69,'Haver NA'!$A$1:$J$34,10,0)</f>
        <v>738144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>
        <f>AVERAGE(F69:I69)/1000</f>
        <v>600.89149999999995</v>
      </c>
      <c r="AD69" s="44"/>
      <c r="AE69" s="44"/>
      <c r="AF69" s="44"/>
      <c r="AM69" s="233"/>
    </row>
    <row r="70" spans="1:39" s="35" customFormat="1" x14ac:dyDescent="0.35">
      <c r="C70"/>
      <c r="D70"/>
      <c r="F70" s="197"/>
      <c r="G70" s="197"/>
      <c r="H70" s="197"/>
      <c r="I70" s="202"/>
      <c r="J70" s="202"/>
      <c r="K70" s="202"/>
      <c r="L70" s="202">
        <f>L73-L76-L77-L79</f>
        <v>562900</v>
      </c>
      <c r="M70" s="301"/>
      <c r="N70" s="308"/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M70" s="233"/>
    </row>
    <row r="71" spans="1:39" s="35" customFormat="1" x14ac:dyDescent="0.35">
      <c r="A71" s="35" t="s">
        <v>227</v>
      </c>
      <c r="F71" s="203">
        <f t="shared" ref="F71:L71" si="42">F69-F96</f>
        <v>196851</v>
      </c>
      <c r="G71" s="203">
        <f t="shared" si="42"/>
        <v>189684</v>
      </c>
      <c r="H71" s="203">
        <f t="shared" si="42"/>
        <v>192875</v>
      </c>
      <c r="I71" s="203">
        <f t="shared" si="42"/>
        <v>191507</v>
      </c>
      <c r="J71" s="203">
        <f t="shared" si="42"/>
        <v>203997</v>
      </c>
      <c r="K71" s="203">
        <f t="shared" si="42"/>
        <v>204376</v>
      </c>
      <c r="L71" s="203">
        <f t="shared" si="42"/>
        <v>884250</v>
      </c>
      <c r="M71" s="301">
        <v>242100</v>
      </c>
      <c r="N71" s="308">
        <f>N69-N96</f>
        <v>225951</v>
      </c>
      <c r="O71" s="116"/>
      <c r="P71" s="116"/>
      <c r="Q71" s="116"/>
      <c r="R71" s="116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33"/>
    </row>
    <row r="72" spans="1:39" s="35" customFormat="1" x14ac:dyDescent="0.35">
      <c r="A72" s="136" t="s">
        <v>228</v>
      </c>
      <c r="F72" s="197"/>
      <c r="G72" s="197"/>
      <c r="H72" s="197"/>
      <c r="I72" s="202"/>
      <c r="J72" s="202"/>
      <c r="K72" s="202"/>
      <c r="L72" s="202">
        <f>L71-L73</f>
        <v>230950</v>
      </c>
      <c r="M72" s="303">
        <v>203600</v>
      </c>
      <c r="N72" s="308">
        <f>N71-N73</f>
        <v>196951</v>
      </c>
      <c r="O72" s="116">
        <f>N72*(1+O90)</f>
        <v>197738.804</v>
      </c>
      <c r="P72" s="116">
        <f t="shared" ref="P72:Z72" si="43">O72*(1+P90)</f>
        <v>198529.75921600001</v>
      </c>
      <c r="Q72" s="116">
        <f t="shared" si="43"/>
        <v>199323.878252864</v>
      </c>
      <c r="R72" s="116">
        <f t="shared" si="43"/>
        <v>200121.17376587546</v>
      </c>
      <c r="S72" s="116">
        <f t="shared" si="43"/>
        <v>200921.65846093895</v>
      </c>
      <c r="T72" s="116">
        <f t="shared" si="43"/>
        <v>201725.34509478271</v>
      </c>
      <c r="U72" s="116">
        <f t="shared" si="43"/>
        <v>202532.24647516184</v>
      </c>
      <c r="V72" s="116">
        <f t="shared" si="43"/>
        <v>203342.37546106247</v>
      </c>
      <c r="W72" s="116">
        <f t="shared" si="43"/>
        <v>204155.74496290673</v>
      </c>
      <c r="X72" s="116">
        <f t="shared" si="43"/>
        <v>204972.36794275834</v>
      </c>
      <c r="Y72" s="116">
        <f t="shared" si="43"/>
        <v>205792.25741452936</v>
      </c>
      <c r="Z72" s="116">
        <f t="shared" si="43"/>
        <v>206615.42644418747</v>
      </c>
      <c r="AA72" s="44"/>
      <c r="AB72" s="44"/>
      <c r="AC72" s="44"/>
      <c r="AD72" s="44"/>
      <c r="AE72" s="44"/>
      <c r="AF72" s="44"/>
      <c r="AG72" s="44"/>
      <c r="AM72" s="233"/>
    </row>
    <row r="73" spans="1:39" s="138" customFormat="1" x14ac:dyDescent="0.35">
      <c r="A73" s="137" t="s">
        <v>208</v>
      </c>
      <c r="B73" s="138" t="s">
        <v>280</v>
      </c>
      <c r="C73" t="s">
        <v>313</v>
      </c>
      <c r="D73"/>
      <c r="F73" s="204"/>
      <c r="G73" s="204"/>
      <c r="H73" s="204"/>
      <c r="I73" s="205"/>
      <c r="J73" s="205"/>
      <c r="K73" s="205"/>
      <c r="L73" s="205">
        <f>597.9*1000 +L79+L77</f>
        <v>653300</v>
      </c>
      <c r="M73" s="205">
        <f>M76+M77+M79</f>
        <v>87800</v>
      </c>
      <c r="N73" s="205">
        <f>VLOOKUP($C$73,'Haver NA'!$A$1:$J$34,10,0)</f>
        <v>29000</v>
      </c>
      <c r="O73" s="139"/>
      <c r="P73" s="139"/>
      <c r="Q73" s="139"/>
      <c r="R73" s="139"/>
      <c r="S73" s="140"/>
      <c r="T73" s="140"/>
      <c r="U73" s="140"/>
      <c r="V73" s="140"/>
      <c r="W73" s="140"/>
      <c r="X73" s="140"/>
      <c r="Y73" s="140"/>
      <c r="Z73" s="140"/>
      <c r="AA73" s="140"/>
      <c r="AB73" s="140"/>
      <c r="AC73" s="140"/>
      <c r="AD73" s="140"/>
      <c r="AE73" s="140"/>
      <c r="AF73" s="140"/>
      <c r="AG73" s="140"/>
      <c r="AM73" s="236"/>
    </row>
    <row r="74" spans="1:39" s="35" customFormat="1" x14ac:dyDescent="0.35">
      <c r="A74" s="134" t="s">
        <v>209</v>
      </c>
      <c r="F74" s="197"/>
      <c r="G74" s="197"/>
      <c r="H74" s="197"/>
      <c r="I74" s="202"/>
      <c r="J74" s="202"/>
      <c r="K74" s="202"/>
      <c r="L74" s="206">
        <f>SUM(L76:L79)</f>
        <v>90400</v>
      </c>
      <c r="M74" s="206">
        <f t="shared" ref="M74:N74" si="44">SUM(M76:M79)</f>
        <v>87800</v>
      </c>
      <c r="N74" s="206">
        <f t="shared" si="44"/>
        <v>87200</v>
      </c>
      <c r="O74" s="116">
        <f t="shared" ref="O74:Z74" si="45">O75+O81</f>
        <v>177900</v>
      </c>
      <c r="P74" s="116">
        <f t="shared" si="45"/>
        <v>121000</v>
      </c>
      <c r="Q74" s="116">
        <f t="shared" si="45"/>
        <v>121000</v>
      </c>
      <c r="R74" s="116">
        <f t="shared" si="45"/>
        <v>115000</v>
      </c>
      <c r="S74" s="116">
        <f t="shared" si="45"/>
        <v>109000</v>
      </c>
      <c r="T74" s="116">
        <f t="shared" si="45"/>
        <v>109000</v>
      </c>
      <c r="U74" s="116">
        <f t="shared" si="45"/>
        <v>109000</v>
      </c>
      <c r="V74" s="116">
        <f t="shared" si="45"/>
        <v>109000</v>
      </c>
      <c r="W74" s="116">
        <f t="shared" si="45"/>
        <v>109000</v>
      </c>
      <c r="X74" s="116">
        <f t="shared" si="45"/>
        <v>59000</v>
      </c>
      <c r="Y74" s="116">
        <f t="shared" si="45"/>
        <v>59000</v>
      </c>
      <c r="Z74" s="116">
        <f t="shared" si="45"/>
        <v>59000</v>
      </c>
      <c r="AA74" s="116"/>
      <c r="AB74" s="116"/>
      <c r="AC74" s="44"/>
      <c r="AD74" s="44"/>
      <c r="AE74" s="44"/>
      <c r="AF74" s="44"/>
      <c r="AG74" s="44"/>
      <c r="AM74" s="233"/>
    </row>
    <row r="75" spans="1:39" s="35" customFormat="1" x14ac:dyDescent="0.35">
      <c r="A75" s="219" t="s">
        <v>340</v>
      </c>
      <c r="F75" s="197"/>
      <c r="G75" s="197"/>
      <c r="H75" s="197"/>
      <c r="I75" s="202"/>
      <c r="J75" s="202"/>
      <c r="K75" s="202"/>
      <c r="L75" s="206"/>
      <c r="M75" s="301"/>
      <c r="N75" s="308"/>
      <c r="O75" s="116">
        <f>SUM(O76:O79)</f>
        <v>118900</v>
      </c>
      <c r="P75" s="116">
        <f t="shared" ref="P75:Z75" si="46">SUM(P76:P79)</f>
        <v>62000</v>
      </c>
      <c r="Q75" s="116">
        <f t="shared" si="46"/>
        <v>62000</v>
      </c>
      <c r="R75" s="116">
        <f t="shared" si="46"/>
        <v>56000</v>
      </c>
      <c r="S75" s="116">
        <f t="shared" si="46"/>
        <v>50000</v>
      </c>
      <c r="T75" s="116">
        <f t="shared" si="46"/>
        <v>50000</v>
      </c>
      <c r="U75" s="116">
        <f t="shared" si="46"/>
        <v>50000</v>
      </c>
      <c r="V75" s="116">
        <f t="shared" si="46"/>
        <v>50000</v>
      </c>
      <c r="W75" s="116">
        <f t="shared" si="46"/>
        <v>50000</v>
      </c>
      <c r="X75" s="116">
        <f t="shared" si="46"/>
        <v>0</v>
      </c>
      <c r="Y75" s="116">
        <f t="shared" si="46"/>
        <v>0</v>
      </c>
      <c r="Z75" s="116">
        <f t="shared" si="46"/>
        <v>0</v>
      </c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35">
      <c r="A76" s="113" t="s">
        <v>197</v>
      </c>
      <c r="B76" s="35" t="s">
        <v>280</v>
      </c>
      <c r="C76" s="35" t="s">
        <v>377</v>
      </c>
      <c r="F76" s="197"/>
      <c r="G76" s="197"/>
      <c r="H76" s="197"/>
      <c r="I76" s="202"/>
      <c r="J76" s="202"/>
      <c r="K76" s="202"/>
      <c r="L76" s="206">
        <v>35000</v>
      </c>
      <c r="M76" s="301">
        <v>45000</v>
      </c>
      <c r="N76" s="308">
        <v>60000</v>
      </c>
      <c r="O76" s="116">
        <v>60000</v>
      </c>
      <c r="P76" s="116">
        <v>50000</v>
      </c>
      <c r="Q76" s="116">
        <v>50000</v>
      </c>
      <c r="R76" s="116">
        <v>50000</v>
      </c>
      <c r="S76" s="116">
        <v>50000</v>
      </c>
      <c r="T76" s="116">
        <v>50000</v>
      </c>
      <c r="U76" s="116">
        <v>50000</v>
      </c>
      <c r="V76" s="116">
        <v>50000</v>
      </c>
      <c r="W76" s="116">
        <v>50000</v>
      </c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107" customFormat="1" x14ac:dyDescent="0.35">
      <c r="A77" s="377" t="s">
        <v>381</v>
      </c>
      <c r="B77" s="107" t="s">
        <v>280</v>
      </c>
      <c r="C77" s="107" t="s">
        <v>378</v>
      </c>
      <c r="F77" s="378"/>
      <c r="G77" s="378"/>
      <c r="H77" s="378"/>
      <c r="I77" s="369"/>
      <c r="J77" s="369"/>
      <c r="K77" s="369"/>
      <c r="L77" s="369">
        <v>28400</v>
      </c>
      <c r="M77" s="370">
        <v>15800</v>
      </c>
      <c r="N77" s="379">
        <v>15200</v>
      </c>
      <c r="O77" s="380">
        <v>18000</v>
      </c>
      <c r="P77" s="380">
        <v>0</v>
      </c>
      <c r="Q77" s="380">
        <v>0</v>
      </c>
      <c r="R77" s="380">
        <v>0</v>
      </c>
      <c r="S77" s="373"/>
      <c r="T77" s="373"/>
      <c r="U77" s="373"/>
      <c r="V77" s="373"/>
      <c r="W77" s="373"/>
      <c r="X77" s="373"/>
      <c r="Y77" s="373"/>
      <c r="Z77" s="373"/>
      <c r="AA77" s="373"/>
      <c r="AB77" s="373"/>
      <c r="AC77" s="373"/>
      <c r="AD77" s="373"/>
      <c r="AE77" s="373"/>
      <c r="AF77" s="373"/>
      <c r="AG77" s="373"/>
      <c r="AM77" s="381"/>
    </row>
    <row r="78" spans="1:39" s="107" customFormat="1" x14ac:dyDescent="0.35">
      <c r="A78" s="377" t="s">
        <v>384</v>
      </c>
      <c r="B78" s="107" t="s">
        <v>280</v>
      </c>
      <c r="C78" s="107" t="s">
        <v>378</v>
      </c>
      <c r="F78" s="378"/>
      <c r="G78" s="378"/>
      <c r="H78" s="378"/>
      <c r="I78" s="369"/>
      <c r="J78" s="369"/>
      <c r="K78" s="369"/>
      <c r="L78" s="369"/>
      <c r="M78" s="370"/>
      <c r="N78" s="379"/>
      <c r="O78" s="380">
        <v>28900</v>
      </c>
      <c r="P78" s="380"/>
      <c r="Q78" s="380"/>
      <c r="R78" s="380"/>
      <c r="S78" s="373"/>
      <c r="T78" s="373"/>
      <c r="U78" s="373"/>
      <c r="V78" s="373"/>
      <c r="W78" s="373"/>
      <c r="X78" s="373"/>
      <c r="Y78" s="373"/>
      <c r="Z78" s="373"/>
      <c r="AA78" s="373"/>
      <c r="AB78" s="373"/>
      <c r="AC78" s="373"/>
      <c r="AD78" s="373"/>
      <c r="AE78" s="373"/>
      <c r="AF78" s="373"/>
      <c r="AG78" s="373"/>
      <c r="AM78" s="381"/>
    </row>
    <row r="79" spans="1:39" s="107" customFormat="1" x14ac:dyDescent="0.35">
      <c r="A79" s="377" t="s">
        <v>201</v>
      </c>
      <c r="B79" s="107" t="s">
        <v>280</v>
      </c>
      <c r="C79" s="107" t="s">
        <v>379</v>
      </c>
      <c r="F79" s="378"/>
      <c r="G79" s="378"/>
      <c r="H79" s="378"/>
      <c r="I79" s="369"/>
      <c r="J79" s="369"/>
      <c r="K79" s="369"/>
      <c r="L79" s="369">
        <v>27000</v>
      </c>
      <c r="M79" s="370">
        <v>27000</v>
      </c>
      <c r="N79" s="379">
        <v>12000</v>
      </c>
      <c r="O79" s="380">
        <v>12000</v>
      </c>
      <c r="P79" s="380">
        <v>12000</v>
      </c>
      <c r="Q79" s="380">
        <v>12000</v>
      </c>
      <c r="R79" s="380">
        <v>6000</v>
      </c>
      <c r="S79" s="373"/>
      <c r="T79" s="373"/>
      <c r="U79" s="373"/>
      <c r="V79" s="373"/>
      <c r="W79" s="373"/>
      <c r="X79" s="373"/>
      <c r="Y79" s="373"/>
      <c r="Z79" s="373"/>
      <c r="AA79" s="373"/>
      <c r="AB79" s="373"/>
      <c r="AC79" s="373"/>
      <c r="AD79" s="373"/>
      <c r="AE79" s="373"/>
      <c r="AF79" s="373"/>
      <c r="AG79" s="373"/>
      <c r="AM79" s="381"/>
    </row>
    <row r="80" spans="1:39" s="107" customFormat="1" x14ac:dyDescent="0.35">
      <c r="A80" s="377" t="s">
        <v>385</v>
      </c>
      <c r="B80" s="107" t="s">
        <v>280</v>
      </c>
      <c r="C80" s="107" t="s">
        <v>379</v>
      </c>
      <c r="F80" s="378"/>
      <c r="G80" s="378"/>
      <c r="H80" s="378"/>
      <c r="I80" s="369"/>
      <c r="J80" s="369"/>
      <c r="K80" s="369"/>
      <c r="L80" s="369">
        <v>64400</v>
      </c>
      <c r="M80" s="382">
        <v>23400</v>
      </c>
      <c r="N80" s="379">
        <v>13800</v>
      </c>
      <c r="O80" s="380">
        <v>17100</v>
      </c>
      <c r="P80" s="380"/>
      <c r="Q80" s="380"/>
      <c r="R80" s="380"/>
      <c r="S80" s="373"/>
      <c r="T80" s="373"/>
      <c r="U80" s="373"/>
      <c r="V80" s="373"/>
      <c r="W80" s="373"/>
      <c r="X80" s="373"/>
      <c r="Y80" s="373"/>
      <c r="Z80" s="373"/>
      <c r="AA80" s="373"/>
      <c r="AB80" s="373"/>
      <c r="AC80" s="373"/>
      <c r="AD80" s="373"/>
      <c r="AE80" s="373"/>
      <c r="AF80" s="373"/>
      <c r="AG80" s="373"/>
      <c r="AM80" s="381"/>
    </row>
    <row r="81" spans="1:39" s="35" customFormat="1" x14ac:dyDescent="0.35">
      <c r="A81" s="220" t="s">
        <v>341</v>
      </c>
      <c r="F81" s="197"/>
      <c r="G81" s="197"/>
      <c r="H81" s="197"/>
      <c r="I81" s="202"/>
      <c r="J81" s="202"/>
      <c r="K81" s="202"/>
      <c r="L81" s="202"/>
      <c r="M81" s="301"/>
      <c r="N81" s="308"/>
      <c r="O81" s="116">
        <f>SUM(O82:O85)</f>
        <v>59000</v>
      </c>
      <c r="P81" s="116">
        <f t="shared" ref="P81:Z81" si="47">SUM(P82:P85)</f>
        <v>59000</v>
      </c>
      <c r="Q81" s="116">
        <f t="shared" si="47"/>
        <v>59000</v>
      </c>
      <c r="R81" s="116">
        <f t="shared" si="47"/>
        <v>59000</v>
      </c>
      <c r="S81" s="116">
        <f t="shared" si="47"/>
        <v>59000</v>
      </c>
      <c r="T81" s="116">
        <f t="shared" si="47"/>
        <v>59000</v>
      </c>
      <c r="U81" s="116">
        <f t="shared" si="47"/>
        <v>59000</v>
      </c>
      <c r="V81" s="116">
        <f t="shared" si="47"/>
        <v>59000</v>
      </c>
      <c r="W81" s="116">
        <f t="shared" si="47"/>
        <v>59000</v>
      </c>
      <c r="X81" s="116">
        <f t="shared" si="47"/>
        <v>59000</v>
      </c>
      <c r="Y81" s="116">
        <f t="shared" si="47"/>
        <v>59000</v>
      </c>
      <c r="Z81" s="116">
        <f t="shared" si="47"/>
        <v>59000</v>
      </c>
      <c r="AA81" s="116"/>
      <c r="AB81" s="44"/>
      <c r="AC81" s="44"/>
      <c r="AD81" s="44"/>
      <c r="AE81" s="44"/>
      <c r="AF81" s="44"/>
      <c r="AG81" s="44"/>
      <c r="AM81" s="233"/>
    </row>
    <row r="82" spans="1:39" s="274" customFormat="1" x14ac:dyDescent="0.35">
      <c r="A82" s="282" t="s">
        <v>342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79">
        <f>'Stimulus Round 2'!$C$13*4/12</f>
        <v>9666.6666666666661</v>
      </c>
      <c r="P82" s="279">
        <f>'Stimulus Round 2'!$C$13*4/12</f>
        <v>9666.6666666666661</v>
      </c>
      <c r="Q82" s="279">
        <f>'Stimulus Round 2'!$C$13*4/12</f>
        <v>9666.6666666666661</v>
      </c>
      <c r="R82" s="279">
        <f>'Stimulus Round 2'!$C$13*4/12</f>
        <v>9666.6666666666661</v>
      </c>
      <c r="S82" s="279">
        <f>'Stimulus Round 2'!$C$13*4/12</f>
        <v>9666.6666666666661</v>
      </c>
      <c r="T82" s="279">
        <f>'Stimulus Round 2'!$C$13*4/12</f>
        <v>9666.6666666666661</v>
      </c>
      <c r="U82" s="279">
        <f>'Stimulus Round 2'!$C$13*4/12</f>
        <v>9666.6666666666661</v>
      </c>
      <c r="V82" s="279">
        <f>'Stimulus Round 2'!$C$13*4/12</f>
        <v>9666.6666666666661</v>
      </c>
      <c r="W82" s="279">
        <f>'Stimulus Round 2'!$C$13*4/12</f>
        <v>9666.6666666666661</v>
      </c>
      <c r="X82" s="279">
        <f>'Stimulus Round 2'!$C$13*4/12</f>
        <v>9666.6666666666661</v>
      </c>
      <c r="Y82" s="279">
        <f>'Stimulus Round 2'!$C$13*4/12</f>
        <v>9666.6666666666661</v>
      </c>
      <c r="Z82" s="279">
        <f>'Stimulus Round 2'!$C$13*4/12</f>
        <v>9666.6666666666661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274" customFormat="1" x14ac:dyDescent="0.35">
      <c r="A83" s="282" t="s">
        <v>343</v>
      </c>
      <c r="F83" s="197"/>
      <c r="G83" s="197"/>
      <c r="H83" s="197"/>
      <c r="I83" s="202"/>
      <c r="J83" s="202"/>
      <c r="K83" s="202"/>
      <c r="L83" s="202"/>
      <c r="M83" s="301"/>
      <c r="N83" s="308"/>
      <c r="O83" s="279">
        <f>'Stimulus Round 2'!$C$5*4/12</f>
        <v>27333.333333333332</v>
      </c>
      <c r="P83" s="279">
        <f>'Stimulus Round 2'!$C$5*4/12</f>
        <v>27333.333333333332</v>
      </c>
      <c r="Q83" s="279">
        <f>'Stimulus Round 2'!$C$5*4/12</f>
        <v>27333.333333333332</v>
      </c>
      <c r="R83" s="279">
        <f>'Stimulus Round 2'!$C$5*4/12</f>
        <v>27333.333333333332</v>
      </c>
      <c r="S83" s="279">
        <f>'Stimulus Round 2'!$C$5*4/12</f>
        <v>27333.333333333332</v>
      </c>
      <c r="T83" s="279">
        <f>'Stimulus Round 2'!$C$5*4/12</f>
        <v>27333.333333333332</v>
      </c>
      <c r="U83" s="279">
        <f>'Stimulus Round 2'!$C$5*4/12</f>
        <v>27333.333333333332</v>
      </c>
      <c r="V83" s="279">
        <f>'Stimulus Round 2'!$C$5*4/12</f>
        <v>27333.333333333332</v>
      </c>
      <c r="W83" s="279">
        <f>'Stimulus Round 2'!$C$5*4/12</f>
        <v>27333.333333333332</v>
      </c>
      <c r="X83" s="279">
        <f>'Stimulus Round 2'!$C$5*4/12</f>
        <v>27333.333333333332</v>
      </c>
      <c r="Y83" s="279">
        <f>'Stimulus Round 2'!$C$5*4/12</f>
        <v>27333.333333333332</v>
      </c>
      <c r="Z83" s="279">
        <f>'Stimulus Round 2'!$C$5*4/12</f>
        <v>27333.333333333332</v>
      </c>
      <c r="AA83" s="276"/>
      <c r="AB83" s="276"/>
      <c r="AC83" s="276"/>
      <c r="AD83" s="276"/>
      <c r="AE83" s="276"/>
      <c r="AF83" s="276"/>
      <c r="AG83" s="276"/>
      <c r="AM83" s="280"/>
    </row>
    <row r="84" spans="1:39" s="274" customFormat="1" x14ac:dyDescent="0.35">
      <c r="A84" s="282" t="s">
        <v>347</v>
      </c>
      <c r="F84" s="197"/>
      <c r="G84" s="197"/>
      <c r="H84" s="197"/>
      <c r="I84" s="202"/>
      <c r="J84" s="202"/>
      <c r="K84" s="202"/>
      <c r="L84" s="202"/>
      <c r="M84" s="301"/>
      <c r="N84" s="308"/>
      <c r="O84" s="279">
        <f>'Stimulus Round 2'!$C$10*4/12</f>
        <v>4000</v>
      </c>
      <c r="P84" s="279">
        <f>'Stimulus Round 2'!$C$10*4/12</f>
        <v>4000</v>
      </c>
      <c r="Q84" s="279">
        <f>'Stimulus Round 2'!$C$10*4/12</f>
        <v>4000</v>
      </c>
      <c r="R84" s="279">
        <f>'Stimulus Round 2'!$C$10*4/12</f>
        <v>4000</v>
      </c>
      <c r="S84" s="279">
        <f>'Stimulus Round 2'!$C$10*4/12</f>
        <v>4000</v>
      </c>
      <c r="T84" s="279">
        <f>'Stimulus Round 2'!$C$10*4/12</f>
        <v>4000</v>
      </c>
      <c r="U84" s="279">
        <f>'Stimulus Round 2'!$C$10*4/12</f>
        <v>4000</v>
      </c>
      <c r="V84" s="279">
        <f>'Stimulus Round 2'!$C$10*4/12</f>
        <v>4000</v>
      </c>
      <c r="W84" s="279">
        <f>'Stimulus Round 2'!$C$10*4/12</f>
        <v>4000</v>
      </c>
      <c r="X84" s="279">
        <f>'Stimulus Round 2'!$C$10*4/12</f>
        <v>4000</v>
      </c>
      <c r="Y84" s="279">
        <f>'Stimulus Round 2'!$C$10*4/12</f>
        <v>4000</v>
      </c>
      <c r="Z84" s="279">
        <f>'Stimulus Round 2'!$C$10*4/12</f>
        <v>4000</v>
      </c>
      <c r="AA84" s="276"/>
      <c r="AB84" s="276"/>
      <c r="AC84" s="276"/>
      <c r="AD84" s="276"/>
      <c r="AE84" s="276"/>
      <c r="AF84" s="276"/>
      <c r="AG84" s="276"/>
      <c r="AM84" s="280"/>
    </row>
    <row r="85" spans="1:39" s="274" customFormat="1" x14ac:dyDescent="0.35">
      <c r="A85" s="282" t="s">
        <v>349</v>
      </c>
      <c r="F85" s="197"/>
      <c r="G85" s="197"/>
      <c r="H85" s="197"/>
      <c r="I85" s="202"/>
      <c r="J85" s="202"/>
      <c r="K85" s="202"/>
      <c r="L85" s="202"/>
      <c r="M85" s="301"/>
      <c r="N85" s="308"/>
      <c r="O85" s="279">
        <f>'Stimulus Round 2'!$C$16*4/12</f>
        <v>18000</v>
      </c>
      <c r="P85" s="279">
        <f>'Stimulus Round 2'!$C$16*4/12</f>
        <v>18000</v>
      </c>
      <c r="Q85" s="279">
        <f>'Stimulus Round 2'!$C$16*4/12</f>
        <v>18000</v>
      </c>
      <c r="R85" s="279">
        <f>'Stimulus Round 2'!$C$16*4/12</f>
        <v>18000</v>
      </c>
      <c r="S85" s="279">
        <f>'Stimulus Round 2'!$C$16*4/12</f>
        <v>18000</v>
      </c>
      <c r="T85" s="279">
        <f>'Stimulus Round 2'!$C$16*4/12</f>
        <v>18000</v>
      </c>
      <c r="U85" s="279">
        <f>'Stimulus Round 2'!$C$16*4/12</f>
        <v>18000</v>
      </c>
      <c r="V85" s="279">
        <f>'Stimulus Round 2'!$C$16*4/12</f>
        <v>18000</v>
      </c>
      <c r="W85" s="279">
        <f>'Stimulus Round 2'!$C$16*4/12</f>
        <v>18000</v>
      </c>
      <c r="X85" s="279">
        <f>'Stimulus Round 2'!$C$16*4/12</f>
        <v>18000</v>
      </c>
      <c r="Y85" s="279">
        <f>'Stimulus Round 2'!$C$16*4/12</f>
        <v>18000</v>
      </c>
      <c r="Z85" s="279">
        <f>'Stimulus Round 2'!$C$16*4/12</f>
        <v>18000</v>
      </c>
      <c r="AA85" s="276"/>
      <c r="AB85" s="276"/>
      <c r="AC85" s="276"/>
      <c r="AD85" s="276"/>
      <c r="AE85" s="276"/>
      <c r="AF85" s="276"/>
      <c r="AG85" s="276"/>
      <c r="AM85" s="280"/>
    </row>
    <row r="86" spans="1:39" s="35" customFormat="1" x14ac:dyDescent="0.35">
      <c r="A86" s="145" t="s">
        <v>216</v>
      </c>
      <c r="B86" s="141"/>
      <c r="E86" s="141"/>
      <c r="F86" s="197"/>
      <c r="G86" s="197"/>
      <c r="H86" s="197"/>
      <c r="I86" s="202"/>
      <c r="J86" s="202"/>
      <c r="K86" s="202">
        <f>K69-K96</f>
        <v>204376</v>
      </c>
      <c r="L86" s="206">
        <f>L72+L74</f>
        <v>321350</v>
      </c>
      <c r="M86" s="206">
        <f>M72+M74</f>
        <v>291400</v>
      </c>
      <c r="N86" s="308">
        <f>N72+N74</f>
        <v>284151</v>
      </c>
      <c r="O86" s="144">
        <f t="shared" ref="O86:Z86" si="48">O72+O74</f>
        <v>375638.804</v>
      </c>
      <c r="P86" s="144">
        <f t="shared" si="48"/>
        <v>319529.75921599998</v>
      </c>
      <c r="Q86" s="144">
        <f t="shared" si="48"/>
        <v>320323.878252864</v>
      </c>
      <c r="R86" s="144">
        <f t="shared" si="48"/>
        <v>315121.17376587546</v>
      </c>
      <c r="S86" s="144">
        <f t="shared" si="48"/>
        <v>309921.65846093895</v>
      </c>
      <c r="T86" s="144">
        <f t="shared" si="48"/>
        <v>310725.34509478271</v>
      </c>
      <c r="U86" s="144">
        <f t="shared" si="48"/>
        <v>311532.24647516187</v>
      </c>
      <c r="V86" s="144">
        <f t="shared" si="48"/>
        <v>312342.37546106247</v>
      </c>
      <c r="W86" s="144">
        <f t="shared" si="48"/>
        <v>313155.7449629067</v>
      </c>
      <c r="X86" s="144">
        <f t="shared" si="48"/>
        <v>263972.36794275837</v>
      </c>
      <c r="Y86" s="144">
        <f t="shared" si="48"/>
        <v>264792.25741452933</v>
      </c>
      <c r="Z86" s="144">
        <f t="shared" si="48"/>
        <v>265615.42644418747</v>
      </c>
      <c r="AA86" s="44"/>
      <c r="AB86" s="44"/>
      <c r="AC86" s="44"/>
      <c r="AD86" s="44"/>
      <c r="AE86" s="44"/>
      <c r="AF86" s="44"/>
      <c r="AG86" s="44"/>
      <c r="AM86" s="233"/>
    </row>
    <row r="87" spans="1:39" s="35" customFormat="1" x14ac:dyDescent="0.35">
      <c r="F87" s="197"/>
      <c r="G87" s="197"/>
      <c r="H87" s="197"/>
      <c r="I87" s="197"/>
      <c r="J87" s="197"/>
      <c r="K87" s="197"/>
      <c r="L87" s="203"/>
      <c r="M87" s="301"/>
      <c r="N87" s="310"/>
      <c r="O87" s="135"/>
      <c r="P87" s="135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M87" s="233"/>
    </row>
    <row r="88" spans="1:39" s="35" customFormat="1" x14ac:dyDescent="0.35">
      <c r="A88" s="35" t="s">
        <v>17</v>
      </c>
      <c r="B88" s="35" t="s">
        <v>280</v>
      </c>
      <c r="C88" t="s">
        <v>314</v>
      </c>
      <c r="D88"/>
      <c r="F88" s="206">
        <v>1241.5999999999999</v>
      </c>
      <c r="G88" s="206">
        <v>1245.8</v>
      </c>
      <c r="H88" s="206">
        <v>1473.6</v>
      </c>
      <c r="I88" s="206">
        <v>1288.5</v>
      </c>
      <c r="J88" s="206">
        <v>1301.0999999999999</v>
      </c>
      <c r="K88" s="206">
        <v>1306.0999999999999</v>
      </c>
      <c r="L88" s="206">
        <v>1360.1</v>
      </c>
      <c r="M88" s="301">
        <v>1335.133</v>
      </c>
      <c r="N88" s="308">
        <f>VLOOKUP($C$88,'Haver NA'!$A$1:$J$34,10,0)/1000</f>
        <v>1333.307</v>
      </c>
      <c r="O88" s="116"/>
      <c r="P88" s="116"/>
      <c r="Q88" s="116"/>
      <c r="R88" s="116"/>
      <c r="S88" s="116"/>
      <c r="T88" s="116"/>
      <c r="U88" s="116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I88" s="44"/>
      <c r="AJ88" s="44"/>
      <c r="AK88" s="44"/>
      <c r="AL88" s="44"/>
      <c r="AM88" s="235"/>
    </row>
    <row r="89" spans="1:39" s="35" customFormat="1" x14ac:dyDescent="0.35">
      <c r="A89" s="114" t="s">
        <v>203</v>
      </c>
      <c r="B89" s="35" t="s">
        <v>280</v>
      </c>
      <c r="C89" t="s">
        <v>315</v>
      </c>
      <c r="D89"/>
      <c r="F89" s="197"/>
      <c r="G89" s="197"/>
      <c r="H89" s="197"/>
      <c r="I89" s="197"/>
      <c r="J89" s="197">
        <v>1447.9</v>
      </c>
      <c r="K89" s="197">
        <v>1452.6</v>
      </c>
      <c r="L89" s="197">
        <v>1504.8</v>
      </c>
      <c r="M89" s="301">
        <v>1487.0350000000001</v>
      </c>
      <c r="N89" s="301">
        <f>VLOOKUP($C$89,'Haver NA'!$A$1:$J$34,10,0)/1000</f>
        <v>1493.5530000000001</v>
      </c>
      <c r="O89">
        <v>1504.3514552807801</v>
      </c>
      <c r="P89">
        <v>1511.252602267454</v>
      </c>
      <c r="Q89">
        <v>1519.3368030232709</v>
      </c>
      <c r="R89">
        <v>1530.997960524671</v>
      </c>
      <c r="S89">
        <v>1544.2799915439159</v>
      </c>
      <c r="T89">
        <v>1557.72908484966</v>
      </c>
      <c r="U89">
        <v>1572.6694039177321</v>
      </c>
      <c r="V89">
        <v>1586.4153149483291</v>
      </c>
      <c r="W89">
        <v>1601.682526026475</v>
      </c>
      <c r="X89">
        <v>1615.690158481731</v>
      </c>
      <c r="Y89">
        <v>1631.2333657547081</v>
      </c>
      <c r="Z89">
        <v>1646.9554971985581</v>
      </c>
      <c r="AA89"/>
      <c r="AB89"/>
      <c r="AE89" s="44"/>
      <c r="AF89" s="44"/>
      <c r="AG89" s="44"/>
      <c r="AI89" s="44"/>
      <c r="AJ89" s="44"/>
      <c r="AK89" s="44"/>
      <c r="AL89" s="44"/>
      <c r="AM89" s="235"/>
    </row>
    <row r="90" spans="1:39" s="35" customFormat="1" x14ac:dyDescent="0.35">
      <c r="A90" s="114" t="s">
        <v>380</v>
      </c>
      <c r="C90"/>
      <c r="D90"/>
      <c r="F90" s="197"/>
      <c r="G90" s="197"/>
      <c r="H90" s="197"/>
      <c r="I90" s="197"/>
      <c r="J90" s="197"/>
      <c r="K90" s="197"/>
      <c r="L90" s="197"/>
      <c r="M90" s="302">
        <v>-1.1805555555555514E-2</v>
      </c>
      <c r="N90" s="311">
        <f>N88/M88-1</f>
        <v>-1.3676540090014067E-3</v>
      </c>
      <c r="O90" s="196">
        <v>4.0000000000000001E-3</v>
      </c>
      <c r="P90" s="196">
        <v>4.0000000000000001E-3</v>
      </c>
      <c r="Q90" s="196">
        <v>4.0000000000000001E-3</v>
      </c>
      <c r="R90" s="196">
        <v>4.0000000000000001E-3</v>
      </c>
      <c r="S90" s="196">
        <v>4.0000000000000001E-3</v>
      </c>
      <c r="T90" s="196">
        <v>4.0000000000000001E-3</v>
      </c>
      <c r="U90" s="196">
        <v>4.0000000000000001E-3</v>
      </c>
      <c r="V90" s="196">
        <v>4.0000000000000001E-3</v>
      </c>
      <c r="W90" s="196">
        <v>4.0000000000000001E-3</v>
      </c>
      <c r="X90" s="196">
        <v>4.0000000000000001E-3</v>
      </c>
      <c r="Y90" s="196">
        <v>4.0000000000000001E-3</v>
      </c>
      <c r="Z90" s="196">
        <v>4.0000000000000001E-3</v>
      </c>
      <c r="AA90"/>
      <c r="AB90"/>
      <c r="AE90" s="44"/>
      <c r="AF90" s="44"/>
      <c r="AG90" s="44"/>
      <c r="AI90" s="44"/>
      <c r="AJ90" s="44"/>
      <c r="AK90" s="44"/>
      <c r="AL90" s="44"/>
      <c r="AM90" s="235"/>
    </row>
    <row r="91" spans="1:39" s="185" customFormat="1" ht="12" x14ac:dyDescent="0.3">
      <c r="A91" s="169" t="s">
        <v>202</v>
      </c>
      <c r="F91" s="207"/>
      <c r="G91" s="207"/>
      <c r="H91" s="207"/>
      <c r="I91" s="207"/>
      <c r="J91" s="207"/>
      <c r="K91" s="207"/>
      <c r="L91" s="207"/>
      <c r="M91" s="302">
        <v>-1.1805555555555514E-2</v>
      </c>
      <c r="N91" s="311">
        <f>N89/M89-1</f>
        <v>4.3832189558417056E-3</v>
      </c>
      <c r="O91" s="196">
        <v>5.3394154743755307E-2</v>
      </c>
      <c r="P91" s="196">
        <v>-1.9703807284052632E-2</v>
      </c>
      <c r="Q91" s="196">
        <v>-4.084808403034379E-3</v>
      </c>
      <c r="R91" s="196">
        <v>0</v>
      </c>
      <c r="S91" s="196">
        <v>2.4739583333333037E-3</v>
      </c>
      <c r="T91" s="196">
        <v>1.6235874788934623E-3</v>
      </c>
      <c r="U91" s="196">
        <v>3.9551319457953316E-3</v>
      </c>
      <c r="V91" s="196">
        <v>3.8749677086025169E-3</v>
      </c>
      <c r="W91" s="196">
        <v>3.9243437982501295E-3</v>
      </c>
      <c r="X91" s="196">
        <v>3.0118551746236566E-3</v>
      </c>
      <c r="Y91" s="196">
        <v>3.9611551239457921E-3</v>
      </c>
      <c r="Z91" s="196">
        <v>5.027364133893153E-3</v>
      </c>
      <c r="AA91" s="186"/>
      <c r="AB91" s="186"/>
      <c r="AE91" s="187"/>
      <c r="AF91" s="187"/>
      <c r="AG91" s="187"/>
      <c r="AI91" s="187"/>
      <c r="AJ91" s="187"/>
      <c r="AK91" s="187"/>
      <c r="AL91" s="187"/>
      <c r="AM91" s="237"/>
    </row>
    <row r="92" spans="1:39" s="185" customFormat="1" x14ac:dyDescent="0.35">
      <c r="A92" s="114" t="s">
        <v>356</v>
      </c>
      <c r="F92" s="207"/>
      <c r="G92" s="207"/>
      <c r="H92" s="207"/>
      <c r="I92" s="207"/>
      <c r="J92" s="207"/>
      <c r="K92" s="207"/>
      <c r="L92" s="207"/>
      <c r="M92" s="302"/>
      <c r="N92" s="311"/>
      <c r="O92" s="102">
        <f>SUM(O93:O95)</f>
        <v>71400</v>
      </c>
      <c r="P92" s="102">
        <f t="shared" ref="P92:R92" si="49">SUM(P93:P95)</f>
        <v>71400</v>
      </c>
      <c r="Q92" s="102">
        <f t="shared" si="49"/>
        <v>30600</v>
      </c>
      <c r="R92" s="102">
        <f t="shared" si="49"/>
        <v>30600</v>
      </c>
      <c r="S92" s="186"/>
      <c r="T92" s="186"/>
      <c r="U92" s="186"/>
      <c r="V92" s="186"/>
      <c r="W92" s="186"/>
      <c r="X92" s="186"/>
      <c r="Y92" s="186"/>
      <c r="Z92" s="186"/>
      <c r="AA92" s="186"/>
      <c r="AB92" s="186"/>
      <c r="AE92" s="187"/>
      <c r="AF92" s="187"/>
      <c r="AG92" s="187"/>
      <c r="AI92" s="187"/>
      <c r="AJ92" s="187"/>
      <c r="AK92" s="187"/>
      <c r="AL92" s="187"/>
      <c r="AM92" s="237"/>
    </row>
    <row r="93" spans="1:39" s="285" customFormat="1" x14ac:dyDescent="0.35">
      <c r="A93" s="284" t="s">
        <v>352</v>
      </c>
      <c r="F93" s="300"/>
      <c r="G93" s="300"/>
      <c r="H93" s="300"/>
      <c r="I93" s="300"/>
      <c r="J93" s="300"/>
      <c r="K93" s="300"/>
      <c r="L93" s="300"/>
      <c r="M93" s="305"/>
      <c r="N93" s="312"/>
      <c r="O93" s="279">
        <f>('Stimulus Round 2'!$C7*0.7*4)/2</f>
        <v>30799.999999999996</v>
      </c>
      <c r="P93" s="279">
        <f>('Stimulus Round 2'!$C7*0.7*4)/2</f>
        <v>30799.999999999996</v>
      </c>
      <c r="Q93" s="279">
        <f>('Stimulus Round 2'!$C7*0.3*4)/2</f>
        <v>13200</v>
      </c>
      <c r="R93" s="279">
        <f>('Stimulus Round 2'!$C7*0.3*4)/2</f>
        <v>13200</v>
      </c>
      <c r="S93" s="286"/>
      <c r="T93" s="286"/>
      <c r="U93" s="286"/>
      <c r="V93" s="286"/>
      <c r="W93" s="286"/>
      <c r="X93" s="286"/>
      <c r="Y93" s="286"/>
      <c r="Z93" s="286"/>
      <c r="AA93" s="286"/>
      <c r="AB93" s="286"/>
      <c r="AE93" s="287"/>
      <c r="AF93" s="287"/>
      <c r="AG93" s="287"/>
      <c r="AI93" s="287"/>
      <c r="AJ93" s="287"/>
      <c r="AK93" s="287"/>
      <c r="AL93" s="287"/>
      <c r="AM93" s="288"/>
    </row>
    <row r="94" spans="1:39" s="285" customFormat="1" x14ac:dyDescent="0.35">
      <c r="A94" s="284" t="s">
        <v>353</v>
      </c>
      <c r="F94" s="300"/>
      <c r="G94" s="300"/>
      <c r="H94" s="300"/>
      <c r="I94" s="300"/>
      <c r="J94" s="300"/>
      <c r="K94" s="300"/>
      <c r="L94" s="300"/>
      <c r="M94" s="305"/>
      <c r="N94" s="312"/>
      <c r="O94" s="279">
        <f>('Stimulus Round 2'!$C8*0.7*4)/2</f>
        <v>28000</v>
      </c>
      <c r="P94" s="279">
        <f>('Stimulus Round 2'!$C8*0.7*4)/2</f>
        <v>28000</v>
      </c>
      <c r="Q94" s="279">
        <f>('Stimulus Round 2'!$C8*0.3*4)/2</f>
        <v>12000</v>
      </c>
      <c r="R94" s="279">
        <f>('Stimulus Round 2'!$C8*0.3*4)/2</f>
        <v>12000</v>
      </c>
      <c r="S94" s="286"/>
      <c r="T94" s="286"/>
      <c r="U94" s="286"/>
      <c r="V94" s="286"/>
      <c r="W94" s="286"/>
      <c r="X94" s="286"/>
      <c r="Y94" s="286"/>
      <c r="Z94" s="286"/>
      <c r="AA94" s="286"/>
      <c r="AB94" s="286"/>
      <c r="AE94" s="287"/>
      <c r="AF94" s="287"/>
      <c r="AG94" s="287"/>
      <c r="AI94" s="287"/>
      <c r="AJ94" s="287"/>
      <c r="AK94" s="287"/>
      <c r="AL94" s="287"/>
      <c r="AM94" s="288"/>
    </row>
    <row r="95" spans="1:39" s="285" customFormat="1" x14ac:dyDescent="0.35">
      <c r="A95" s="284" t="s">
        <v>354</v>
      </c>
      <c r="F95" s="300"/>
      <c r="G95" s="300"/>
      <c r="H95" s="300"/>
      <c r="I95" s="300"/>
      <c r="J95" s="300"/>
      <c r="K95" s="300"/>
      <c r="L95" s="300"/>
      <c r="M95" s="305"/>
      <c r="N95" s="312"/>
      <c r="O95" s="279">
        <f>('Stimulus Round 2'!$C9*0.7*4)/2</f>
        <v>12600</v>
      </c>
      <c r="P95" s="279">
        <f>('Stimulus Round 2'!$C9*0.7*4)/2</f>
        <v>12600</v>
      </c>
      <c r="Q95" s="279">
        <f>('Stimulus Round 2'!$C9*0.3*4)/2</f>
        <v>5400</v>
      </c>
      <c r="R95" s="279">
        <f>('Stimulus Round 2'!$C9*0.3*4)/2</f>
        <v>5400</v>
      </c>
      <c r="S95" s="286"/>
      <c r="T95" s="286"/>
      <c r="U95" s="286"/>
      <c r="V95" s="286"/>
      <c r="W95" s="286"/>
      <c r="X95" s="286"/>
      <c r="Y95" s="286"/>
      <c r="Z95" s="286"/>
      <c r="AA95" s="286"/>
      <c r="AB95" s="286"/>
      <c r="AE95" s="287"/>
      <c r="AF95" s="287"/>
      <c r="AG95" s="287"/>
      <c r="AI95" s="287"/>
      <c r="AJ95" s="287"/>
      <c r="AK95" s="287"/>
      <c r="AL95" s="287"/>
      <c r="AM95" s="288"/>
    </row>
    <row r="96" spans="1:39" s="35" customFormat="1" x14ac:dyDescent="0.35">
      <c r="A96" s="35" t="s">
        <v>204</v>
      </c>
      <c r="B96" s="35" t="s">
        <v>280</v>
      </c>
      <c r="C96" t="s">
        <v>316</v>
      </c>
      <c r="D96"/>
      <c r="F96" s="206">
        <v>389624</v>
      </c>
      <c r="G96" s="206">
        <v>404529</v>
      </c>
      <c r="H96" s="206">
        <v>419672</v>
      </c>
      <c r="I96" s="206">
        <v>418824</v>
      </c>
      <c r="J96" s="206">
        <v>411409</v>
      </c>
      <c r="K96" s="206">
        <v>423429</v>
      </c>
      <c r="L96" s="206">
        <v>512640</v>
      </c>
      <c r="M96" s="301">
        <v>486072</v>
      </c>
      <c r="N96" s="308">
        <f>VLOOKUP($C$96,'Haver NA'!$A$1:$J$34,10,0)</f>
        <v>512193</v>
      </c>
      <c r="O96" s="116">
        <f t="shared" ref="O96:S96" si="50">O103*0.74</f>
        <v>507477.24811825115</v>
      </c>
      <c r="P96" s="116">
        <f t="shared" si="50"/>
        <v>512541.31638321205</v>
      </c>
      <c r="Q96" s="116">
        <f t="shared" si="50"/>
        <v>512541.31638321205</v>
      </c>
      <c r="R96" s="116">
        <f t="shared" si="50"/>
        <v>512541.31638321205</v>
      </c>
      <c r="S96" s="116">
        <f t="shared" si="50"/>
        <v>512541.31638321205</v>
      </c>
      <c r="T96" s="116">
        <f>T103*0.68</f>
        <v>470983.91235214088</v>
      </c>
      <c r="U96" s="116">
        <f>U103*0.68</f>
        <v>470983.91235214088</v>
      </c>
      <c r="V96" s="116">
        <f>V103*0.68</f>
        <v>470983.91235214088</v>
      </c>
      <c r="W96" s="116"/>
      <c r="X96" s="116"/>
      <c r="Y96" s="116"/>
      <c r="Z96" s="116"/>
      <c r="AA96" s="116"/>
      <c r="AB96" s="116"/>
      <c r="AC96" s="44">
        <f>AVERAGE(F96:I96)/1000</f>
        <v>408.16224999999997</v>
      </c>
      <c r="AD96" s="45">
        <f>AVERAGE(J96:M96)</f>
        <v>458387.5</v>
      </c>
      <c r="AE96" s="45">
        <f>AVERAGE(N96:Q96)</f>
        <v>511188.22022116883</v>
      </c>
      <c r="AF96" s="45">
        <f>AVERAGE(R96:U96)</f>
        <v>491762.61436767643</v>
      </c>
      <c r="AH96" s="35">
        <v>409.42</v>
      </c>
      <c r="AI96" s="84">
        <f>'figuring out Medicaid'!G11</f>
        <v>466.24400000000003</v>
      </c>
      <c r="AJ96" s="84">
        <f>'figuring out Medicaid'!H11</f>
        <v>537.41499999999996</v>
      </c>
      <c r="AK96" s="84">
        <f>'figuring out Medicaid'!I11</f>
        <v>516.01800000000003</v>
      </c>
      <c r="AL96" s="84"/>
      <c r="AM96" s="233"/>
    </row>
    <row r="97" spans="1:39" s="35" customFormat="1" x14ac:dyDescent="0.35">
      <c r="A97" s="141" t="s">
        <v>161</v>
      </c>
      <c r="B97" s="141"/>
      <c r="E97" s="141"/>
      <c r="F97" s="201">
        <f>F51+F47+F36+F42</f>
        <v>1440187</v>
      </c>
      <c r="G97" s="201">
        <f>G51+G47+G36+G42</f>
        <v>1503410</v>
      </c>
      <c r="H97" s="201">
        <f>H51+H47+H36+H42</f>
        <v>1508652</v>
      </c>
      <c r="I97" s="201">
        <f>I51+I47+I36+I42</f>
        <v>1513957</v>
      </c>
      <c r="J97" s="201">
        <f>J51+J47+J36+J42</f>
        <v>1521941</v>
      </c>
      <c r="K97" s="201">
        <f>K51+K47+K36+K42</f>
        <v>1574462</v>
      </c>
      <c r="L97" s="201">
        <f>L51+L47+L36+L42</f>
        <v>3729557.333333333</v>
      </c>
      <c r="M97" s="301">
        <v>2466001</v>
      </c>
      <c r="N97" s="306">
        <f>N51+N47+N36+N42+N37</f>
        <v>2027793</v>
      </c>
      <c r="O97" s="142">
        <f>O51+O47+O36+O42+O37+O38+O39</f>
        <v>3118501.3980484894</v>
      </c>
      <c r="P97" s="142">
        <f>P51+P47+P36+P42+P37+P38+P39</f>
        <v>1874848.87398125</v>
      </c>
      <c r="Q97" s="142">
        <f>Q51+Q47+Q36+Q42+Q37+Q38+Q39</f>
        <v>1686467.5074263907</v>
      </c>
      <c r="R97" s="142">
        <f>R51+R47+R36+R42+R37+R38+R39</f>
        <v>1683044.5200377863</v>
      </c>
      <c r="S97" s="142">
        <f>S51+S47+S36+S42+S37+S38+S39</f>
        <v>1687990.187838353</v>
      </c>
      <c r="T97" s="142">
        <f>T51+T47+T36+T42+T37+T38+T39</f>
        <v>1713310.0406559282</v>
      </c>
      <c r="U97" s="142">
        <f>U51+U47+U36+U42+U37+U38+U39</f>
        <v>1739009.691265767</v>
      </c>
      <c r="V97" s="142">
        <f>V51+V47+V36+V42+V37+V38+V39</f>
        <v>1756399.7881784246</v>
      </c>
      <c r="W97" s="142">
        <f>W51+W47+W36+W42+W37+W38+W39</f>
        <v>0</v>
      </c>
      <c r="X97" s="142">
        <f>X51+X47+X36+X42+X37+X38+X39</f>
        <v>0</v>
      </c>
      <c r="Y97" s="142">
        <f>Y51+Y47+Y36+Y42+Y37+Y38+Y39</f>
        <v>0</v>
      </c>
      <c r="Z97" s="142">
        <f>Z51+Z47+Z36+Z42+Z37+Z38+Z39</f>
        <v>0</v>
      </c>
      <c r="AM97" s="233"/>
    </row>
    <row r="98" spans="1:39" s="35" customFormat="1" x14ac:dyDescent="0.35">
      <c r="A98" s="141" t="s">
        <v>213</v>
      </c>
      <c r="B98" s="141"/>
      <c r="E98" s="141"/>
      <c r="F98" s="197"/>
      <c r="G98" s="197"/>
      <c r="H98" s="197"/>
      <c r="I98" s="197"/>
      <c r="J98" s="197"/>
      <c r="K98" s="197"/>
      <c r="L98" s="203">
        <f>L96+L35</f>
        <v>1336698</v>
      </c>
      <c r="M98" s="301">
        <v>1328805</v>
      </c>
      <c r="N98" s="310">
        <f>N96+N35</f>
        <v>1372787</v>
      </c>
      <c r="O98" s="143">
        <f>O96+O35</f>
        <v>1390610.1625906522</v>
      </c>
      <c r="P98" s="143">
        <f>P96+P35</f>
        <v>1418489.158978964</v>
      </c>
      <c r="Q98" s="143">
        <f>Q96+Q35</f>
        <v>1441583.4808422038</v>
      </c>
      <c r="R98" s="143">
        <f>R96+R35</f>
        <v>1483962.7404801806</v>
      </c>
      <c r="S98" s="143">
        <f>S96+S35</f>
        <v>1515727.7827888038</v>
      </c>
      <c r="T98" s="143">
        <f>T96+T35</f>
        <v>1506974.123618965</v>
      </c>
      <c r="U98" s="143">
        <f>U96+U35</f>
        <v>1540850.5361376633</v>
      </c>
      <c r="V98" s="143">
        <f>V96+V35</f>
        <v>1551631.6801380017</v>
      </c>
      <c r="W98" s="143">
        <f>W96+W35</f>
        <v>1091537.5543621723</v>
      </c>
      <c r="X98" s="143">
        <f>X96+X35</f>
        <v>1102537.0783156503</v>
      </c>
      <c r="Y98" s="143">
        <f>Y96+Y35</f>
        <v>1113647.4454798999</v>
      </c>
      <c r="Z98" s="143">
        <f>Z96+Z35</f>
        <v>0</v>
      </c>
      <c r="AM98" s="233"/>
    </row>
    <row r="99" spans="1:39" s="35" customFormat="1" x14ac:dyDescent="0.35">
      <c r="F99" s="197"/>
      <c r="G99" s="197"/>
      <c r="H99" s="197"/>
      <c r="I99" s="197"/>
      <c r="J99" s="197"/>
      <c r="K99" s="197"/>
      <c r="L99" s="197"/>
      <c r="M99" s="301"/>
      <c r="N99" s="301"/>
      <c r="AM99" s="233"/>
    </row>
    <row r="100" spans="1:39" s="35" customFormat="1" x14ac:dyDescent="0.35">
      <c r="A100" s="35" t="s">
        <v>15</v>
      </c>
      <c r="B100" s="35" t="s">
        <v>280</v>
      </c>
      <c r="C100" t="s">
        <v>317</v>
      </c>
      <c r="D100"/>
      <c r="F100" s="197">
        <v>728844</v>
      </c>
      <c r="G100" s="197">
        <v>738714</v>
      </c>
      <c r="H100" s="197">
        <v>755204</v>
      </c>
      <c r="I100" s="197">
        <v>763370</v>
      </c>
      <c r="J100" s="197">
        <v>760967</v>
      </c>
      <c r="K100" s="197">
        <v>767087</v>
      </c>
      <c r="L100" s="197">
        <v>812158</v>
      </c>
      <c r="M100" s="301">
        <v>828480</v>
      </c>
      <c r="N100" s="303">
        <f>VLOOKUP($C$100,'Haver NA'!$A$1:$J$34,10,0)</f>
        <v>818740</v>
      </c>
      <c r="O100" s="133">
        <f t="shared" ref="O100:U100" si="51">O101+O103</f>
        <v>831250.83502466371</v>
      </c>
      <c r="P100" s="133">
        <f t="shared" si="51"/>
        <v>838457.84744285408</v>
      </c>
      <c r="Q100" s="133">
        <f t="shared" si="51"/>
        <v>839187.01967747905</v>
      </c>
      <c r="R100" s="133">
        <f t="shared" si="51"/>
        <v>840286.24682117626</v>
      </c>
      <c r="S100" s="133">
        <f t="shared" si="51"/>
        <v>841762.8752842095</v>
      </c>
      <c r="T100" s="133">
        <f t="shared" si="51"/>
        <v>843107.97501111636</v>
      </c>
      <c r="U100" s="133">
        <f t="shared" si="51"/>
        <v>844539.45728929248</v>
      </c>
      <c r="V100" s="133">
        <f t="shared" ref="V100" si="52">V101+V103</f>
        <v>846032.64138980373</v>
      </c>
      <c r="AM100" s="233"/>
    </row>
    <row r="101" spans="1:39" s="35" customFormat="1" x14ac:dyDescent="0.35">
      <c r="A101" s="35" t="s">
        <v>229</v>
      </c>
      <c r="F101" s="203">
        <f t="shared" ref="F101:K101" si="53">F100-F103</f>
        <v>139025</v>
      </c>
      <c r="G101" s="203">
        <f t="shared" si="53"/>
        <v>139342</v>
      </c>
      <c r="H101" s="203">
        <f t="shared" si="53"/>
        <v>140228</v>
      </c>
      <c r="I101" s="203">
        <f t="shared" si="53"/>
        <v>141105</v>
      </c>
      <c r="J101" s="203">
        <f t="shared" si="53"/>
        <v>141335</v>
      </c>
      <c r="K101" s="203">
        <f t="shared" si="53"/>
        <v>142991</v>
      </c>
      <c r="L101" s="203">
        <f>L100-L103</f>
        <v>143335</v>
      </c>
      <c r="M101" s="301">
        <v>144777</v>
      </c>
      <c r="N101" s="303">
        <f>N100-N103</f>
        <v>145108</v>
      </c>
      <c r="O101" s="133">
        <f>N101*(1+O113)</f>
        <v>145470.76999999999</v>
      </c>
      <c r="P101" s="133">
        <f t="shared" ref="P101:S101" si="54">O101*(1+P113)</f>
        <v>145834.44692499997</v>
      </c>
      <c r="Q101" s="133">
        <f t="shared" si="54"/>
        <v>146563.61915962494</v>
      </c>
      <c r="R101" s="133">
        <f t="shared" si="54"/>
        <v>147662.84630332215</v>
      </c>
      <c r="S101" s="133">
        <f t="shared" si="54"/>
        <v>149139.47476635536</v>
      </c>
      <c r="T101" s="133">
        <f t="shared" ref="T101:V101" si="55">S101*(1+T112)</f>
        <v>150484.57449326222</v>
      </c>
      <c r="U101" s="133">
        <f t="shared" si="55"/>
        <v>151916.05677143831</v>
      </c>
      <c r="V101" s="133">
        <f t="shared" si="55"/>
        <v>153409.24087194959</v>
      </c>
      <c r="AM101" s="233"/>
    </row>
    <row r="102" spans="1:39" s="35" customFormat="1" x14ac:dyDescent="0.35">
      <c r="F102" s="203"/>
      <c r="G102" s="197"/>
      <c r="H102" s="197"/>
      <c r="I102" s="197"/>
      <c r="J102" s="197"/>
      <c r="K102" s="197"/>
      <c r="L102" s="197"/>
      <c r="M102" s="301"/>
      <c r="N102" s="301"/>
      <c r="AM102" s="233"/>
    </row>
    <row r="103" spans="1:39" s="35" customFormat="1" x14ac:dyDescent="0.35">
      <c r="A103" s="35" t="s">
        <v>226</v>
      </c>
      <c r="B103" s="35" t="s">
        <v>280</v>
      </c>
      <c r="C103" t="s">
        <v>318</v>
      </c>
      <c r="D103"/>
      <c r="F103" s="197">
        <v>589819</v>
      </c>
      <c r="G103" s="197">
        <v>599372</v>
      </c>
      <c r="H103" s="197">
        <v>614976</v>
      </c>
      <c r="I103" s="197">
        <v>622265</v>
      </c>
      <c r="J103" s="197">
        <v>619632</v>
      </c>
      <c r="K103" s="197">
        <v>624096</v>
      </c>
      <c r="L103" s="197">
        <v>668823</v>
      </c>
      <c r="M103" s="301">
        <v>683703</v>
      </c>
      <c r="N103" s="310">
        <f>VLOOKUP($C$103,'Haver NA'!$A$1:$J$34,10,0)</f>
        <v>673632</v>
      </c>
      <c r="O103" s="135">
        <f>N103*(($AJ$103/$AI$103)^0.18)</f>
        <v>685780.06502466369</v>
      </c>
      <c r="P103" s="135">
        <f>O103*(($AJ$103/$AI$103)^0.1)</f>
        <v>692623.40051785414</v>
      </c>
      <c r="Q103" s="135">
        <f>P103*(1+Q104)</f>
        <v>692623.40051785414</v>
      </c>
      <c r="R103" s="135">
        <f t="shared" ref="R103:V103" si="56">Q103*(1+R104)</f>
        <v>692623.40051785414</v>
      </c>
      <c r="S103" s="135">
        <f t="shared" si="56"/>
        <v>692623.40051785414</v>
      </c>
      <c r="T103" s="135">
        <f t="shared" si="56"/>
        <v>692623.40051785414</v>
      </c>
      <c r="U103" s="135">
        <f t="shared" si="56"/>
        <v>692623.40051785414</v>
      </c>
      <c r="V103" s="135">
        <f t="shared" si="56"/>
        <v>692623.40051785414</v>
      </c>
      <c r="AD103" s="45">
        <f>AVERAGE(J103:M103)/1000</f>
        <v>649.06349999999998</v>
      </c>
      <c r="AE103" s="45">
        <f>AVERAGE(N103:Q103)/1000</f>
        <v>686.16471651509301</v>
      </c>
      <c r="AF103" s="45">
        <f>AVERAGE(R103:U103)/1000</f>
        <v>692.62340051785418</v>
      </c>
      <c r="AH103" s="84"/>
      <c r="AI103" s="84">
        <f>'figuring out Medicaid'!G13</f>
        <v>657.17435271149407</v>
      </c>
      <c r="AJ103" s="84">
        <f>'figuring out Medicaid'!H13</f>
        <v>725.7777402928042</v>
      </c>
      <c r="AK103" s="84">
        <f>'figuring out Medicaid'!I13</f>
        <v>727.33117238501666</v>
      </c>
      <c r="AL103" s="84"/>
      <c r="AM103" s="233"/>
    </row>
    <row r="104" spans="1:39" s="185" customFormat="1" x14ac:dyDescent="0.35">
      <c r="A104" s="169" t="s">
        <v>268</v>
      </c>
      <c r="F104" s="207"/>
      <c r="G104" s="207"/>
      <c r="H104" s="207"/>
      <c r="I104" s="207"/>
      <c r="J104" s="200"/>
      <c r="K104" s="200"/>
      <c r="L104" s="200"/>
      <c r="M104" s="301"/>
      <c r="N104" s="302"/>
      <c r="O104" s="175"/>
      <c r="P104" s="175"/>
      <c r="Q104" s="175">
        <v>0</v>
      </c>
      <c r="R104" s="175">
        <v>0</v>
      </c>
      <c r="S104" s="175">
        <v>0</v>
      </c>
      <c r="T104" s="175">
        <v>0</v>
      </c>
      <c r="U104" s="175">
        <v>0</v>
      </c>
      <c r="V104" s="175">
        <v>0</v>
      </c>
      <c r="W104" s="175"/>
      <c r="AM104" s="234"/>
    </row>
    <row r="105" spans="1:39" s="153" customFormat="1" ht="12" x14ac:dyDescent="0.3">
      <c r="A105" s="153" t="s">
        <v>221</v>
      </c>
      <c r="F105" s="208">
        <f t="shared" ref="F105:L105" si="57">F96/F103</f>
        <v>0.66058231423538405</v>
      </c>
      <c r="G105" s="208">
        <f t="shared" si="57"/>
        <v>0.6749214177505789</v>
      </c>
      <c r="H105" s="208">
        <f t="shared" si="57"/>
        <v>0.68242012696430432</v>
      </c>
      <c r="I105" s="208">
        <f t="shared" si="57"/>
        <v>0.6730637268687778</v>
      </c>
      <c r="J105" s="208">
        <f t="shared" si="57"/>
        <v>0.66395699382859508</v>
      </c>
      <c r="K105" s="208">
        <f t="shared" si="57"/>
        <v>0.67846773573296415</v>
      </c>
      <c r="L105" s="208">
        <f t="shared" si="57"/>
        <v>0.76648081779484256</v>
      </c>
      <c r="M105" s="208">
        <v>0.71094027669909299</v>
      </c>
      <c r="N105" s="208">
        <f t="shared" ref="N105" si="58">N96/N103</f>
        <v>0.76034541114436371</v>
      </c>
      <c r="AD105" s="154"/>
      <c r="AE105" s="154"/>
      <c r="AF105" s="154"/>
      <c r="AH105" s="155"/>
      <c r="AI105" s="155"/>
      <c r="AJ105" s="155"/>
      <c r="AM105" s="238"/>
    </row>
    <row r="106" spans="1:39" s="35" customFormat="1" x14ac:dyDescent="0.35">
      <c r="A106" s="35" t="s">
        <v>18</v>
      </c>
      <c r="B106" s="35" t="s">
        <v>280</v>
      </c>
      <c r="C106" t="s">
        <v>319</v>
      </c>
      <c r="D106"/>
      <c r="F106" s="197">
        <v>1997.1</v>
      </c>
      <c r="G106" s="197">
        <v>2012.7</v>
      </c>
      <c r="H106" s="197">
        <v>2025.5</v>
      </c>
      <c r="I106" s="197">
        <v>2028.3</v>
      </c>
      <c r="J106" s="197">
        <v>2035.6</v>
      </c>
      <c r="K106" s="197">
        <v>2041</v>
      </c>
      <c r="L106" s="197">
        <v>2013.1</v>
      </c>
      <c r="M106" s="301">
        <v>1993.0509999999999</v>
      </c>
      <c r="N106" s="301">
        <f>VLOOKUP($C$106,'Haver NA'!$A$1:$J$34,10,0)/1000</f>
        <v>1984.547</v>
      </c>
      <c r="O106" s="35">
        <f>N106*(1+O108)</f>
        <v>2009.5840333646127</v>
      </c>
      <c r="P106" s="35">
        <f t="shared" ref="P106:V106" si="59">O106*(1+P108)</f>
        <v>2031.5173022625379</v>
      </c>
      <c r="Q106" s="35">
        <f t="shared" si="59"/>
        <v>2046.001536440413</v>
      </c>
      <c r="R106" s="35">
        <f t="shared" si="59"/>
        <v>2056.0370415493694</v>
      </c>
      <c r="S106" s="35">
        <f t="shared" si="59"/>
        <v>2065.9690878427696</v>
      </c>
      <c r="T106" s="35">
        <f t="shared" si="59"/>
        <v>2073.2112049317075</v>
      </c>
      <c r="U106" s="35">
        <f t="shared" si="59"/>
        <v>2077.6599340006264</v>
      </c>
      <c r="V106" s="35">
        <f t="shared" si="59"/>
        <v>2079.3152750495265</v>
      </c>
      <c r="AM106" s="233"/>
    </row>
    <row r="107" spans="1:39" s="185" customFormat="1" x14ac:dyDescent="0.35">
      <c r="A107" s="169" t="s">
        <v>284</v>
      </c>
      <c r="B107" s="35"/>
      <c r="C107" s="35"/>
      <c r="D107" s="35"/>
      <c r="F107" s="200"/>
      <c r="G107" s="200">
        <f t="shared" ref="G107:L107" si="60">(G106/F106)-1</f>
        <v>7.8113264233139468E-3</v>
      </c>
      <c r="H107" s="200">
        <f t="shared" si="60"/>
        <v>6.3596164356336526E-3</v>
      </c>
      <c r="I107" s="200">
        <f t="shared" si="60"/>
        <v>1.3823747222907468E-3</v>
      </c>
      <c r="J107" s="200">
        <f t="shared" si="60"/>
        <v>3.5990731154167399E-3</v>
      </c>
      <c r="K107" s="200">
        <f t="shared" si="60"/>
        <v>2.6527805069758159E-3</v>
      </c>
      <c r="L107" s="200">
        <f t="shared" si="60"/>
        <v>-1.36697697207252E-2</v>
      </c>
      <c r="M107" s="302">
        <v>-9.9592668024439668E-3</v>
      </c>
      <c r="N107" s="323">
        <f>(N106/M106)-1</f>
        <v>-4.2668250837534227E-3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35">
      <c r="A108" s="169" t="s">
        <v>285</v>
      </c>
      <c r="B108" s="35" t="s">
        <v>280</v>
      </c>
      <c r="C108" s="35"/>
      <c r="D108" s="35"/>
      <c r="F108" s="207"/>
      <c r="G108" s="207"/>
      <c r="H108" s="207"/>
      <c r="I108" s="207"/>
      <c r="J108" s="200"/>
      <c r="K108" s="200"/>
      <c r="L108" s="200"/>
      <c r="M108" s="301"/>
      <c r="N108" s="302"/>
      <c r="O108" s="196">
        <v>1.26159941611927E-2</v>
      </c>
      <c r="P108" s="196">
        <v>1.0914332784184499E-2</v>
      </c>
      <c r="Q108" s="196">
        <v>7.1297616622529904E-3</v>
      </c>
      <c r="R108" s="196">
        <v>4.9049352750809598E-3</v>
      </c>
      <c r="S108" s="196">
        <v>4.8306747848840797E-3</v>
      </c>
      <c r="T108" s="196">
        <v>3.5054334218038701E-3</v>
      </c>
      <c r="U108" s="196">
        <v>2.14581565946403E-3</v>
      </c>
      <c r="V108" s="196">
        <v>7.9673339308827796E-4</v>
      </c>
      <c r="W108" s="196">
        <v>3.9804955716982198E-4</v>
      </c>
      <c r="X108" s="196">
        <v>1.1439371331942701E-3</v>
      </c>
      <c r="Y108" s="196">
        <v>8.9423220229512001E-4</v>
      </c>
      <c r="Z108" s="185">
        <v>8.4379808408208102E-4</v>
      </c>
      <c r="AM108" s="234"/>
    </row>
    <row r="109" spans="1:39" s="35" customFormat="1" x14ac:dyDescent="0.35">
      <c r="A109" s="35" t="s">
        <v>215</v>
      </c>
      <c r="B109" s="35" t="s">
        <v>280</v>
      </c>
      <c r="C109" t="s">
        <v>320</v>
      </c>
      <c r="D109"/>
      <c r="F109" s="197"/>
      <c r="G109" s="197"/>
      <c r="H109" s="197"/>
      <c r="I109" s="197"/>
      <c r="J109" s="197">
        <v>2357.4</v>
      </c>
      <c r="K109" s="197">
        <v>2381.6</v>
      </c>
      <c r="L109" s="197">
        <v>2334.5</v>
      </c>
      <c r="M109" s="301">
        <v>2329.605</v>
      </c>
      <c r="N109" s="301">
        <f>VLOOKUP($C$109,'Haver NA'!$A$1:$J$34,10,0)/1000</f>
        <v>2337.201</v>
      </c>
      <c r="O109">
        <v>2469.9411956560398</v>
      </c>
      <c r="P109">
        <v>2511.3882460388099</v>
      </c>
      <c r="Q109">
        <v>2543.4204311910298</v>
      </c>
      <c r="R109">
        <v>2569.93355741499</v>
      </c>
      <c r="S109">
        <v>2599.1521046822099</v>
      </c>
      <c r="T109">
        <v>2626.53096564002</v>
      </c>
      <c r="U109">
        <v>2651.2044055545698</v>
      </c>
      <c r="V109">
        <v>2672.95599074239</v>
      </c>
      <c r="W109">
        <v>2693.9500580381</v>
      </c>
      <c r="X109">
        <v>2717.3248958518798</v>
      </c>
      <c r="Y109">
        <v>2740.4832999822002</v>
      </c>
      <c r="AM109" s="233"/>
    </row>
    <row r="110" spans="1:39" s="35" customFormat="1" x14ac:dyDescent="0.35">
      <c r="F110" s="197"/>
      <c r="G110" s="197"/>
      <c r="H110" s="197"/>
      <c r="I110" s="197"/>
      <c r="J110" s="197"/>
      <c r="K110" s="197"/>
      <c r="L110" s="197"/>
      <c r="M110" s="301"/>
      <c r="N110" s="301"/>
      <c r="O110">
        <f>N110*(1+O113)</f>
        <v>0</v>
      </c>
      <c r="P110">
        <f t="shared" ref="P110:S110" si="61">O110*(1+P113)</f>
        <v>0</v>
      </c>
      <c r="Q110">
        <f t="shared" si="61"/>
        <v>0</v>
      </c>
      <c r="R110">
        <f t="shared" si="61"/>
        <v>0</v>
      </c>
      <c r="S110">
        <f t="shared" si="61"/>
        <v>0</v>
      </c>
      <c r="T110">
        <f>S110*(1+T112)</f>
        <v>0</v>
      </c>
      <c r="U110">
        <f t="shared" ref="U110:V110" si="62">T110*(1+U112)</f>
        <v>0</v>
      </c>
      <c r="V110">
        <f t="shared" si="62"/>
        <v>0</v>
      </c>
      <c r="W110"/>
      <c r="X110"/>
      <c r="Y110"/>
      <c r="AM110" s="233"/>
    </row>
    <row r="111" spans="1:39" s="185" customFormat="1" x14ac:dyDescent="0.35">
      <c r="A111" s="169" t="s">
        <v>284</v>
      </c>
      <c r="B111" s="35"/>
      <c r="C111" s="35"/>
      <c r="D111" s="35"/>
      <c r="F111" s="200"/>
      <c r="G111" s="200"/>
      <c r="H111" s="200"/>
      <c r="I111" s="200"/>
      <c r="J111" s="200"/>
      <c r="K111" s="200">
        <f t="shared" ref="K111" si="63">(K109/J109)-1</f>
        <v>1.0265546788835067E-2</v>
      </c>
      <c r="L111" s="200">
        <f t="shared" ref="L111" si="64">(L109/K109)-1</f>
        <v>-1.9776620759153429E-2</v>
      </c>
      <c r="M111" s="302">
        <v>-8.3608921686818549E-3</v>
      </c>
      <c r="N111" s="323">
        <f>(((N109/M109))^4)-1</f>
        <v>1.3106483787577172E-2</v>
      </c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AM111" s="234"/>
    </row>
    <row r="112" spans="1:39" s="185" customFormat="1" x14ac:dyDescent="0.35">
      <c r="A112" s="169" t="s">
        <v>285</v>
      </c>
      <c r="F112" s="207"/>
      <c r="G112" s="207"/>
      <c r="H112" s="207"/>
      <c r="I112" s="207"/>
      <c r="J112" s="207"/>
      <c r="K112" s="200"/>
      <c r="L112" s="200"/>
      <c r="M112" s="301"/>
      <c r="N112" s="302"/>
      <c r="O112" s="175">
        <v>9.408690138332787E-4</v>
      </c>
      <c r="P112" s="175">
        <v>9.1903906984696082E-3</v>
      </c>
      <c r="Q112" s="175">
        <v>7.4547841924690328E-3</v>
      </c>
      <c r="R112" s="175">
        <v>7.6518814378809807E-3</v>
      </c>
      <c r="S112" s="175">
        <v>8.511703592439579E-3</v>
      </c>
      <c r="T112" s="175">
        <v>9.0190724421828072E-3</v>
      </c>
      <c r="U112" s="175">
        <v>9.512485136741855E-3</v>
      </c>
      <c r="V112" s="175">
        <v>9.8290077576053125E-3</v>
      </c>
      <c r="W112" s="175">
        <v>1.0779069299762689E-2</v>
      </c>
      <c r="X112" s="175">
        <v>1.1818073295929432E-2</v>
      </c>
      <c r="Y112" s="175">
        <v>1.2112631744533475E-2</v>
      </c>
      <c r="Z112" s="175">
        <v>1.2395088591855785E-2</v>
      </c>
      <c r="AM112" s="234"/>
    </row>
    <row r="113" spans="1:39" s="185" customFormat="1" x14ac:dyDescent="0.35">
      <c r="A113" s="169" t="s">
        <v>372</v>
      </c>
      <c r="F113" s="207"/>
      <c r="G113" s="207"/>
      <c r="H113" s="207"/>
      <c r="I113" s="207"/>
      <c r="J113" s="207"/>
      <c r="K113" s="200"/>
      <c r="L113" s="200"/>
      <c r="M113" s="301"/>
      <c r="N113" s="302"/>
      <c r="O113" s="175">
        <v>2.5000000000000001E-3</v>
      </c>
      <c r="P113" s="175">
        <v>2.5000000000000001E-3</v>
      </c>
      <c r="Q113" s="175">
        <v>5.0000000000000001E-3</v>
      </c>
      <c r="R113" s="175">
        <v>7.4999999999999997E-3</v>
      </c>
      <c r="S113" s="175">
        <v>0.01</v>
      </c>
      <c r="T113" s="175"/>
      <c r="U113" s="175"/>
      <c r="V113" s="175"/>
      <c r="AM113" s="234"/>
    </row>
    <row r="114" spans="1:39" s="35" customFormat="1" x14ac:dyDescent="0.35">
      <c r="A114" s="35" t="s">
        <v>163</v>
      </c>
      <c r="F114" s="201">
        <f>F100+F46-F96</f>
        <v>339220</v>
      </c>
      <c r="G114" s="201">
        <f>G100+G46-G96</f>
        <v>334185</v>
      </c>
      <c r="H114" s="201">
        <f>H100+H46-H96</f>
        <v>335532</v>
      </c>
      <c r="I114" s="201">
        <f>I100+I46-I96</f>
        <v>344546</v>
      </c>
      <c r="J114" s="201">
        <f>J100+J46-J96</f>
        <v>349558</v>
      </c>
      <c r="K114" s="201">
        <f>K100+K46-K96</f>
        <v>343658</v>
      </c>
      <c r="L114" s="201">
        <f>L100+L46-L96</f>
        <v>560584.66666666674</v>
      </c>
      <c r="M114" s="301">
        <v>528408</v>
      </c>
      <c r="N114" s="306">
        <f>N100+N46-N96</f>
        <v>343247</v>
      </c>
      <c r="O114" s="215">
        <f>O100+O46-O96</f>
        <v>383773.58690641256</v>
      </c>
      <c r="P114" s="215">
        <f>P100+P46-P96</f>
        <v>369916.53105964203</v>
      </c>
      <c r="Q114" s="215">
        <f>Q100+Q46-Q96</f>
        <v>370645.703294267</v>
      </c>
      <c r="R114" s="215">
        <f>R100+R46-R96</f>
        <v>371744.93043796421</v>
      </c>
      <c r="S114" s="215">
        <f>S100+S46-S96</f>
        <v>373221.55890099745</v>
      </c>
      <c r="T114" s="215">
        <f>T100+T46-T96</f>
        <v>416124.06265897548</v>
      </c>
      <c r="U114" s="215">
        <f>U100+U46-U96</f>
        <v>417555.5449371516</v>
      </c>
      <c r="V114" s="215">
        <f>V100+V46-V96</f>
        <v>419048.72903766285</v>
      </c>
      <c r="W114" s="215">
        <f>W100+W46-W96</f>
        <v>0</v>
      </c>
      <c r="X114" s="215">
        <f>X100+X46-X96</f>
        <v>0</v>
      </c>
      <c r="Y114" s="215">
        <f>Y100+Y46-Y96</f>
        <v>0</v>
      </c>
      <c r="AM114" s="233"/>
    </row>
    <row r="115" spans="1:39" s="35" customFormat="1" x14ac:dyDescent="0.35">
      <c r="A115" s="141" t="s">
        <v>212</v>
      </c>
      <c r="B115" s="141"/>
      <c r="E115" s="141"/>
      <c r="F115" s="201">
        <f t="shared" ref="F115:L115" si="65">F103-F96</f>
        <v>200195</v>
      </c>
      <c r="G115" s="201">
        <f t="shared" si="65"/>
        <v>194843</v>
      </c>
      <c r="H115" s="201">
        <f t="shared" si="65"/>
        <v>195304</v>
      </c>
      <c r="I115" s="201">
        <f t="shared" si="65"/>
        <v>203441</v>
      </c>
      <c r="J115" s="201">
        <f t="shared" si="65"/>
        <v>208223</v>
      </c>
      <c r="K115" s="201">
        <f t="shared" si="65"/>
        <v>200667</v>
      </c>
      <c r="L115" s="201">
        <f t="shared" si="65"/>
        <v>156183</v>
      </c>
      <c r="M115" s="301">
        <v>197631</v>
      </c>
      <c r="N115" s="306">
        <f>N103-N96</f>
        <v>161439</v>
      </c>
      <c r="O115" s="142">
        <f t="shared" ref="O115:Y115" si="66">O103-O96</f>
        <v>178302.81690641254</v>
      </c>
      <c r="P115" s="142">
        <f t="shared" si="66"/>
        <v>180082.08413464209</v>
      </c>
      <c r="Q115" s="142">
        <f t="shared" si="66"/>
        <v>180082.08413464209</v>
      </c>
      <c r="R115" s="142">
        <f t="shared" si="66"/>
        <v>180082.08413464209</v>
      </c>
      <c r="S115" s="142">
        <f t="shared" si="66"/>
        <v>180082.08413464209</v>
      </c>
      <c r="T115" s="142">
        <f t="shared" si="66"/>
        <v>221639.48816571326</v>
      </c>
      <c r="U115" s="142">
        <f t="shared" si="66"/>
        <v>221639.48816571326</v>
      </c>
      <c r="V115" s="142">
        <f t="shared" si="66"/>
        <v>221639.48816571326</v>
      </c>
      <c r="W115" s="142">
        <f t="shared" si="66"/>
        <v>0</v>
      </c>
      <c r="X115" s="142">
        <f t="shared" si="66"/>
        <v>0</v>
      </c>
      <c r="Y115" s="142">
        <f t="shared" si="66"/>
        <v>0</v>
      </c>
      <c r="AM115" s="233"/>
    </row>
    <row r="116" spans="1:39" s="141" customFormat="1" x14ac:dyDescent="0.35">
      <c r="A116" s="141" t="s">
        <v>230</v>
      </c>
      <c r="C116" s="35"/>
      <c r="D116" s="35"/>
      <c r="F116" s="201">
        <f t="shared" ref="F116:K116" si="67">F114-F115</f>
        <v>139025</v>
      </c>
      <c r="G116" s="201">
        <f t="shared" si="67"/>
        <v>139342</v>
      </c>
      <c r="H116" s="201">
        <f t="shared" si="67"/>
        <v>140228</v>
      </c>
      <c r="I116" s="201">
        <f t="shared" si="67"/>
        <v>141105</v>
      </c>
      <c r="J116" s="201">
        <f t="shared" si="67"/>
        <v>141335</v>
      </c>
      <c r="K116" s="201">
        <f t="shared" si="67"/>
        <v>142991</v>
      </c>
      <c r="L116" s="201">
        <f>L114-L115</f>
        <v>404401.66666666674</v>
      </c>
      <c r="M116" s="306">
        <v>330777</v>
      </c>
      <c r="N116" s="306">
        <f>N114-N115</f>
        <v>181808</v>
      </c>
      <c r="O116" s="142">
        <f t="shared" ref="O116:Y116" si="68">O114-O115</f>
        <v>205470.77000000002</v>
      </c>
      <c r="P116" s="142">
        <f t="shared" si="68"/>
        <v>189834.44692499994</v>
      </c>
      <c r="Q116" s="142">
        <f t="shared" si="68"/>
        <v>190563.61915962491</v>
      </c>
      <c r="R116" s="142">
        <f t="shared" si="68"/>
        <v>191662.84630332212</v>
      </c>
      <c r="S116" s="142">
        <f t="shared" si="68"/>
        <v>193139.47476635536</v>
      </c>
      <c r="T116" s="142">
        <f t="shared" si="68"/>
        <v>194484.57449326222</v>
      </c>
      <c r="U116" s="142">
        <f t="shared" si="68"/>
        <v>195916.05677143834</v>
      </c>
      <c r="V116" s="142">
        <f t="shared" si="68"/>
        <v>197409.24087194959</v>
      </c>
      <c r="W116" s="142">
        <f t="shared" si="68"/>
        <v>0</v>
      </c>
      <c r="X116" s="142">
        <f t="shared" si="68"/>
        <v>0</v>
      </c>
      <c r="Y116" s="142">
        <f t="shared" si="68"/>
        <v>0</v>
      </c>
      <c r="AM116" s="256"/>
    </row>
    <row r="117" spans="1:39" s="35" customFormat="1" x14ac:dyDescent="0.35">
      <c r="A117"/>
      <c r="F117" s="213"/>
      <c r="G117" s="213"/>
      <c r="H117" s="213"/>
      <c r="I117" s="213"/>
      <c r="J117" s="213"/>
      <c r="K117" s="213"/>
      <c r="L117" s="135"/>
      <c r="M117" s="135"/>
      <c r="N117" s="94"/>
      <c r="O117" s="94"/>
      <c r="P117" s="94"/>
      <c r="Q117" s="94"/>
      <c r="R117" s="94"/>
      <c r="S117" s="94"/>
      <c r="T117" s="94"/>
      <c r="U117" s="94"/>
      <c r="V117"/>
      <c r="AM117" s="233"/>
    </row>
    <row r="118" spans="1:39" s="185" customFormat="1" x14ac:dyDescent="0.35">
      <c r="A118" s="169"/>
      <c r="F118" s="193"/>
      <c r="G118" s="193"/>
      <c r="H118" s="193"/>
      <c r="I118" s="193"/>
      <c r="J118" s="193"/>
      <c r="K118" s="193"/>
      <c r="L118" s="193"/>
      <c r="M118" s="214"/>
      <c r="N118" s="193"/>
      <c r="O118" s="193"/>
      <c r="P118" s="193"/>
      <c r="Q118" s="193"/>
      <c r="R118" s="193"/>
      <c r="S118" s="193"/>
      <c r="T118" s="193"/>
      <c r="U118" s="193"/>
      <c r="AM118" s="234"/>
    </row>
    <row r="119" spans="1:39" x14ac:dyDescent="0.35">
      <c r="A119" t="s">
        <v>158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35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35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22" spans="1:39" x14ac:dyDescent="0.35"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</row>
    <row r="123" spans="1:39" x14ac:dyDescent="0.35"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</row>
    <row r="124" spans="1:39" x14ac:dyDescent="0.35"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defaultColWidth="8.81640625" defaultRowHeight="14.5" x14ac:dyDescent="0.35"/>
  <cols>
    <col min="1" max="1" width="25.453125" bestFit="1" customWidth="1"/>
    <col min="2" max="2" width="8" bestFit="1" customWidth="1"/>
    <col min="3" max="3" width="11.1796875" bestFit="1" customWidth="1"/>
  </cols>
  <sheetData>
    <row r="1" spans="1:3" x14ac:dyDescent="0.35">
      <c r="A1" s="97" t="s">
        <v>355</v>
      </c>
      <c r="B1" s="97" t="s">
        <v>357</v>
      </c>
      <c r="C1" s="97" t="s">
        <v>358</v>
      </c>
    </row>
    <row r="2" spans="1:3" x14ac:dyDescent="0.35">
      <c r="A2" s="289" t="s">
        <v>360</v>
      </c>
      <c r="B2" s="289">
        <v>325</v>
      </c>
      <c r="C2" s="290">
        <f>B2*1000</f>
        <v>325000</v>
      </c>
    </row>
    <row r="3" spans="1:3" x14ac:dyDescent="0.35">
      <c r="A3" s="289" t="s">
        <v>361</v>
      </c>
      <c r="B3" s="289">
        <v>120</v>
      </c>
      <c r="C3" s="290">
        <f t="shared" ref="C3:C20" si="0">B3*1000</f>
        <v>120000</v>
      </c>
    </row>
    <row r="4" spans="1:3" x14ac:dyDescent="0.35">
      <c r="A4" s="289" t="s">
        <v>20</v>
      </c>
      <c r="B4" s="289">
        <v>166</v>
      </c>
      <c r="C4" s="290">
        <f t="shared" si="0"/>
        <v>166000</v>
      </c>
    </row>
    <row r="5" spans="1:3" x14ac:dyDescent="0.35">
      <c r="A5" s="289" t="s">
        <v>198</v>
      </c>
      <c r="B5" s="289">
        <v>82</v>
      </c>
      <c r="C5" s="290">
        <f t="shared" si="0"/>
        <v>82000</v>
      </c>
    </row>
    <row r="6" spans="1:3" x14ac:dyDescent="0.35">
      <c r="A6" s="289" t="s">
        <v>362</v>
      </c>
      <c r="B6" s="289">
        <v>63</v>
      </c>
      <c r="C6" s="290">
        <f t="shared" si="0"/>
        <v>63000</v>
      </c>
    </row>
    <row r="7" spans="1:3" x14ac:dyDescent="0.35">
      <c r="A7" s="291" t="s">
        <v>352</v>
      </c>
      <c r="B7">
        <v>22</v>
      </c>
      <c r="C7" s="290">
        <f>B7*1000</f>
        <v>22000</v>
      </c>
    </row>
    <row r="8" spans="1:3" x14ac:dyDescent="0.35">
      <c r="A8" s="176" t="s">
        <v>353</v>
      </c>
      <c r="B8">
        <v>20</v>
      </c>
      <c r="C8" s="290">
        <f>B8*1000</f>
        <v>20000</v>
      </c>
    </row>
    <row r="9" spans="1:3" x14ac:dyDescent="0.35">
      <c r="A9" s="176" t="s">
        <v>354</v>
      </c>
      <c r="B9">
        <v>9</v>
      </c>
      <c r="C9" s="290">
        <f>B9*1000</f>
        <v>9000</v>
      </c>
    </row>
    <row r="10" spans="1:3" x14ac:dyDescent="0.35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35">
      <c r="A11" s="292" t="s">
        <v>363</v>
      </c>
      <c r="B11" s="289">
        <v>45</v>
      </c>
      <c r="C11" s="290">
        <f t="shared" si="0"/>
        <v>45000</v>
      </c>
    </row>
    <row r="12" spans="1:3" x14ac:dyDescent="0.35">
      <c r="A12" s="291" t="s">
        <v>364</v>
      </c>
      <c r="B12" s="289">
        <v>16</v>
      </c>
      <c r="C12" s="290">
        <f t="shared" si="0"/>
        <v>16000</v>
      </c>
    </row>
    <row r="13" spans="1:3" x14ac:dyDescent="0.35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35">
      <c r="A14" s="292" t="s">
        <v>365</v>
      </c>
      <c r="B14" s="289">
        <v>80</v>
      </c>
      <c r="C14" s="290">
        <f t="shared" si="0"/>
        <v>80000</v>
      </c>
    </row>
    <row r="15" spans="1:3" x14ac:dyDescent="0.35">
      <c r="A15" s="291" t="s">
        <v>346</v>
      </c>
      <c r="B15" s="289">
        <v>26</v>
      </c>
      <c r="C15" s="290">
        <f t="shared" si="0"/>
        <v>26000</v>
      </c>
    </row>
    <row r="16" spans="1:3" x14ac:dyDescent="0.35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35">
      <c r="A17" s="292" t="s">
        <v>366</v>
      </c>
      <c r="B17">
        <v>30</v>
      </c>
      <c r="C17" s="290">
        <f t="shared" si="0"/>
        <v>30000</v>
      </c>
    </row>
    <row r="18" spans="1:3" x14ac:dyDescent="0.35">
      <c r="A18" s="291" t="s">
        <v>367</v>
      </c>
      <c r="B18">
        <v>20</v>
      </c>
      <c r="C18" s="290">
        <f t="shared" si="0"/>
        <v>20000</v>
      </c>
    </row>
    <row r="19" spans="1:3" x14ac:dyDescent="0.35">
      <c r="A19" s="291" t="s">
        <v>368</v>
      </c>
      <c r="B19">
        <v>5</v>
      </c>
      <c r="C19" s="290">
        <f t="shared" si="0"/>
        <v>5000</v>
      </c>
    </row>
    <row r="20" spans="1:3" ht="15" thickBot="1" x14ac:dyDescent="0.4">
      <c r="A20" s="293" t="s">
        <v>369</v>
      </c>
      <c r="B20" s="294">
        <v>5</v>
      </c>
      <c r="C20" s="295">
        <f t="shared" si="0"/>
        <v>5000</v>
      </c>
    </row>
    <row r="21" spans="1:3" x14ac:dyDescent="0.35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30" zoomScaleNormal="130" workbookViewId="0">
      <pane xSplit="2" ySplit="8" topLeftCell="C51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defaultColWidth="8.81640625" defaultRowHeight="14.5" x14ac:dyDescent="0.35"/>
  <cols>
    <col min="2" max="2" width="23.6328125" customWidth="1"/>
    <col min="4" max="4" width="10.36328125" bestFit="1" customWidth="1"/>
    <col min="5" max="6" width="9.36328125" bestFit="1" customWidth="1"/>
    <col min="7" max="7" width="9.1796875" style="146" customWidth="1"/>
    <col min="8" max="10" width="9.36328125" style="95" bestFit="1" customWidth="1"/>
    <col min="11" max="11" width="9.36328125" style="146" bestFit="1" customWidth="1"/>
    <col min="13" max="14" width="8.6328125" customWidth="1"/>
    <col min="15" max="15" width="8.6328125" style="146"/>
    <col min="19" max="19" width="8.6328125" style="146"/>
    <col min="23" max="23" width="8.6328125" style="146"/>
    <col min="27" max="27" width="8.6328125" style="146"/>
  </cols>
  <sheetData>
    <row r="1" spans="1:50" ht="18.5" x14ac:dyDescent="0.45">
      <c r="A1" s="334" t="s">
        <v>206</v>
      </c>
      <c r="B1" s="335"/>
      <c r="C1" s="35"/>
      <c r="H1"/>
      <c r="I1" s="240"/>
      <c r="J1" s="342" t="s">
        <v>279</v>
      </c>
      <c r="V1" s="326"/>
      <c r="W1" s="326"/>
      <c r="X1" s="326"/>
      <c r="Y1" s="326"/>
    </row>
    <row r="2" spans="1:50" x14ac:dyDescent="0.35">
      <c r="A2" s="336" t="s">
        <v>191</v>
      </c>
      <c r="B2" s="126"/>
      <c r="C2" t="s">
        <v>192</v>
      </c>
      <c r="I2" s="241"/>
      <c r="J2" s="342"/>
    </row>
    <row r="3" spans="1:50" x14ac:dyDescent="0.35">
      <c r="A3" s="337"/>
      <c r="B3" s="127"/>
      <c r="C3" t="s">
        <v>193</v>
      </c>
      <c r="I3" s="241"/>
      <c r="J3" s="342"/>
    </row>
    <row r="4" spans="1:50" x14ac:dyDescent="0.35">
      <c r="A4" s="337"/>
      <c r="B4" s="128"/>
      <c r="C4" t="s">
        <v>194</v>
      </c>
    </row>
    <row r="5" spans="1:50" x14ac:dyDescent="0.35">
      <c r="A5" s="338"/>
      <c r="B5" s="129"/>
      <c r="C5" t="s">
        <v>181</v>
      </c>
    </row>
    <row r="7" spans="1:50" x14ac:dyDescent="0.35">
      <c r="C7" s="339" t="s">
        <v>160</v>
      </c>
      <c r="D7" s="340"/>
      <c r="E7" s="340"/>
      <c r="F7" s="341"/>
      <c r="G7" s="339" t="s">
        <v>165</v>
      </c>
      <c r="H7" s="340"/>
      <c r="I7" s="340"/>
      <c r="J7" s="341"/>
      <c r="K7" s="339" t="s">
        <v>176</v>
      </c>
      <c r="L7" s="340"/>
      <c r="M7" s="340"/>
      <c r="N7" s="340"/>
      <c r="O7" s="339" t="s">
        <v>269</v>
      </c>
      <c r="P7" s="340"/>
      <c r="Q7" s="340"/>
      <c r="R7" s="340"/>
      <c r="S7" s="339" t="s">
        <v>273</v>
      </c>
      <c r="T7" s="340"/>
      <c r="U7" s="340"/>
      <c r="V7" s="340"/>
      <c r="W7" s="339" t="s">
        <v>274</v>
      </c>
      <c r="X7" s="340"/>
      <c r="Y7" s="340"/>
      <c r="Z7" s="340"/>
      <c r="AA7" s="222" t="s">
        <v>275</v>
      </c>
    </row>
    <row r="8" spans="1:50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x14ac:dyDescent="0.35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x14ac:dyDescent="0.35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x14ac:dyDescent="0.35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x14ac:dyDescent="0.35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x14ac:dyDescent="0.35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x14ac:dyDescent="0.35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x14ac:dyDescent="0.35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35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35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8.5" x14ac:dyDescent="0.4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35">
      <c r="B21" t="s">
        <v>184</v>
      </c>
      <c r="D21" s="102">
        <f>main!L115/1000</f>
        <v>156.18299999999999</v>
      </c>
      <c r="E21" s="104">
        <f>main!M115/1000</f>
        <v>197.631</v>
      </c>
      <c r="F21" s="104">
        <f>main!N115/1000</f>
        <v>161.43899999999999</v>
      </c>
      <c r="G21" s="149">
        <f>main!O115/1000</f>
        <v>178.30281690641254</v>
      </c>
      <c r="H21" s="104">
        <f>main!P115/1000</f>
        <v>180.08208413464209</v>
      </c>
      <c r="I21" s="104">
        <f>main!Q115/1000</f>
        <v>180.08208413464209</v>
      </c>
      <c r="J21" s="104">
        <f>main!R115/1000</f>
        <v>180.08208413464209</v>
      </c>
      <c r="K21" s="149">
        <f>main!S115/1000</f>
        <v>180.08208413464209</v>
      </c>
      <c r="L21" s="104">
        <f>main!T115/1000</f>
        <v>221.63948816571326</v>
      </c>
      <c r="M21" s="223">
        <f>main!U115/1000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35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3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35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35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35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8.5" x14ac:dyDescent="0.4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35">
      <c r="B28" t="s">
        <v>187</v>
      </c>
      <c r="D28" s="102"/>
      <c r="E28" s="104">
        <f>main!L116/1000</f>
        <v>404.40166666666676</v>
      </c>
      <c r="F28" s="104">
        <f>main!M116/1000</f>
        <v>330.77699999999999</v>
      </c>
      <c r="G28" s="104">
        <f>main!N116/1000</f>
        <v>181.80799999999999</v>
      </c>
      <c r="H28" s="104">
        <f>main!O116/1000</f>
        <v>205.47077000000002</v>
      </c>
      <c r="I28" s="104">
        <f>main!P116/1000</f>
        <v>189.83444692499995</v>
      </c>
      <c r="J28" s="104">
        <f>main!Q116/1000</f>
        <v>190.56361915962492</v>
      </c>
      <c r="K28" s="104">
        <f>main!R116/1000</f>
        <v>191.66284630332211</v>
      </c>
      <c r="L28" s="104">
        <f>main!S116/1000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35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3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35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35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35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8.5" x14ac:dyDescent="0.4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35">
      <c r="B35" t="s">
        <v>270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35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35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35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35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8.5" x14ac:dyDescent="0.4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35">
      <c r="B41" t="s">
        <v>270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35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35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35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8.5" x14ac:dyDescent="0.4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35">
      <c r="B47" t="s">
        <v>188</v>
      </c>
      <c r="D47" s="102"/>
      <c r="E47" s="104">
        <f>main!L98/1000</f>
        <v>1336.6980000000001</v>
      </c>
      <c r="F47" s="104">
        <f>main!M98/1000</f>
        <v>1328.8050000000001</v>
      </c>
      <c r="G47" s="149">
        <f>main!N98/1000</f>
        <v>1372.787</v>
      </c>
      <c r="H47" s="104">
        <f>main!O98/1000</f>
        <v>1390.6101625906522</v>
      </c>
      <c r="I47" s="104">
        <f>main!P98/1000</f>
        <v>1418.489158978964</v>
      </c>
      <c r="J47" s="223">
        <f>main!Q98/1000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35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3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35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35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35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8.5" x14ac:dyDescent="0.4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x14ac:dyDescent="0.35">
      <c r="B54" s="86" t="s">
        <v>189</v>
      </c>
      <c r="D54" s="102">
        <f>main!K97/1000</f>
        <v>1574.462</v>
      </c>
      <c r="E54" s="104">
        <f>main!L97/1000</f>
        <v>3729.5573333333332</v>
      </c>
      <c r="F54" s="104">
        <f>main!M97/1000</f>
        <v>2466.0010000000002</v>
      </c>
      <c r="G54" s="149">
        <f>main!N97/1000</f>
        <v>2027.7929999999999</v>
      </c>
      <c r="H54" s="104">
        <f>main!O97/1000</f>
        <v>3118.5013980484891</v>
      </c>
      <c r="I54" s="104">
        <f>main!P97/1000</f>
        <v>1874.8488739812499</v>
      </c>
      <c r="J54" s="104">
        <f>main!Q97/1000</f>
        <v>1686.4675074263907</v>
      </c>
      <c r="K54" s="263">
        <f>main!R97/1000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35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3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35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1298.6874972143792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35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35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8.5" x14ac:dyDescent="0.4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35">
      <c r="B61" t="s">
        <v>210</v>
      </c>
      <c r="D61" s="100"/>
      <c r="E61" s="104">
        <f>main!L55/1000</f>
        <v>1086.548</v>
      </c>
      <c r="F61" s="104">
        <f>main!M55/1000</f>
        <v>1213.48</v>
      </c>
      <c r="G61" s="149">
        <f>main!N55/1000</f>
        <v>610.53599999999994</v>
      </c>
      <c r="H61" s="104">
        <f>main!O55/1000</f>
        <v>794.08358333333342</v>
      </c>
      <c r="I61" s="104">
        <f>main!P55/1000</f>
        <v>794.08358333333342</v>
      </c>
      <c r="J61" s="104">
        <f>main!Q55/1000</f>
        <v>144.08358333333331</v>
      </c>
      <c r="K61" s="149">
        <f>main!R55/1000</f>
        <v>122.75024999999999</v>
      </c>
      <c r="L61" s="223">
        <f>main!S55/1000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35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3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35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35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35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8.5" x14ac:dyDescent="0.4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35">
      <c r="B68" t="s">
        <v>207</v>
      </c>
      <c r="D68" s="100"/>
      <c r="E68" s="218">
        <f>main!L86/1000</f>
        <v>321.35000000000002</v>
      </c>
      <c r="F68" s="218">
        <f>main!M86/1000</f>
        <v>291.39999999999998</v>
      </c>
      <c r="G68" s="151">
        <f>main!N86/1000</f>
        <v>284.15100000000001</v>
      </c>
      <c r="H68" s="218">
        <f>main!O86/1000</f>
        <v>375.63880399999999</v>
      </c>
      <c r="I68" s="218">
        <f>main!P86/1000</f>
        <v>319.529759216</v>
      </c>
      <c r="J68" s="218">
        <f>main!Q86/1000</f>
        <v>320.32387825286401</v>
      </c>
      <c r="K68" s="151">
        <f>main!R86/1000</f>
        <v>315.12117376587548</v>
      </c>
      <c r="L68" s="218">
        <f>main!S86/1000</f>
        <v>309.92165846093894</v>
      </c>
      <c r="M68" s="218">
        <f>main!T86/1000</f>
        <v>310.72534509478271</v>
      </c>
      <c r="N68" s="218">
        <f>main!U86/1000</f>
        <v>311.53224647516186</v>
      </c>
      <c r="O68" s="151">
        <f>main!V86/1000</f>
        <v>312.34237546106249</v>
      </c>
      <c r="P68" s="248">
        <f>main!W86/1000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35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3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35">
      <c r="B71" s="99" t="s">
        <v>178</v>
      </c>
      <c r="D71" s="103"/>
      <c r="E71" s="217"/>
      <c r="F71" s="217">
        <f>F68-F69</f>
        <v>-9.2000000000000455</v>
      </c>
      <c r="G71" s="150">
        <f t="shared" ref="G71:K71" si="118">G68-G69</f>
        <v>-19.800000000000011</v>
      </c>
      <c r="H71" s="217">
        <f t="shared" si="118"/>
        <v>118.48521772294498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35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35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topLeftCell="A2" zoomScale="120" zoomScaleNormal="120" workbookViewId="0">
      <pane xSplit="1" topLeftCell="I1" activePane="topRight" state="frozen"/>
      <selection pane="topRight" activeCell="M5" sqref="M5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255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286</v>
      </c>
      <c r="J1" t="s">
        <v>272</v>
      </c>
      <c r="K1" t="s">
        <v>288</v>
      </c>
      <c r="L1" t="s">
        <v>289</v>
      </c>
      <c r="M1" t="s">
        <v>290</v>
      </c>
      <c r="N1" t="s">
        <v>345</v>
      </c>
      <c r="O1" t="s">
        <v>359</v>
      </c>
      <c r="P1" t="s">
        <v>370</v>
      </c>
    </row>
    <row r="2" spans="1:16" x14ac:dyDescent="0.35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321.35000000000002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-9.2000000000000455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-19.800000000000011</v>
      </c>
      <c r="J4" s="151">
        <f>'add-ons calculations'!G68</f>
        <v>284.15100000000001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1298.6874972143792</v>
      </c>
      <c r="H5">
        <v>181.40020106674513</v>
      </c>
      <c r="I5">
        <v>118.48521772294498</v>
      </c>
      <c r="K5" s="102">
        <v>544.4</v>
      </c>
      <c r="L5" s="102">
        <v>473.5</v>
      </c>
      <c r="M5" s="102">
        <f t="shared" si="0"/>
        <v>70.899999999999977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35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251.22365666746987</v>
      </c>
      <c r="H6">
        <v>178.52885638089663</v>
      </c>
      <c r="I6">
        <v>91.070987120173811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35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199.35773501319068</v>
      </c>
      <c r="H7">
        <v>-474.40846011939709</v>
      </c>
      <c r="I7">
        <v>108.2731768418378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35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157.47974440731628</v>
      </c>
      <c r="H8">
        <v>-498.7387987375219</v>
      </c>
      <c r="I8">
        <v>97.918975558200771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35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158.70723906824014</v>
      </c>
      <c r="H9">
        <v>-547.1903606870228</v>
      </c>
      <c r="I9">
        <v>86.862558765131354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35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158.19073805116454</v>
      </c>
      <c r="H10">
        <v>-549.83002927139501</v>
      </c>
      <c r="I10">
        <v>82.127767407325109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35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155.25936244187733</v>
      </c>
      <c r="H11">
        <v>-552.4284100259805</v>
      </c>
      <c r="I11">
        <v>77.353129721712861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35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155.33284803552056</v>
      </c>
      <c r="H12">
        <v>-555.01027564865115</v>
      </c>
      <c r="I12">
        <v>64.474970584203191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35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155.5071465700205</v>
      </c>
      <c r="H13">
        <v>-557.58663622735014</v>
      </c>
      <c r="I13">
        <v>51.59860482993048</v>
      </c>
      <c r="K13" s="102">
        <f t="shared" si="1"/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35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155.75039098680099</v>
      </c>
      <c r="H14">
        <v>-560.17125437200662</v>
      </c>
      <c r="I14">
        <v>55.115350410659346</v>
      </c>
      <c r="K14" s="102">
        <f t="shared" si="1"/>
        <v>0</v>
      </c>
      <c r="N14">
        <v>59</v>
      </c>
      <c r="O14">
        <v>0</v>
      </c>
      <c r="P14">
        <v>0</v>
      </c>
    </row>
    <row r="15" spans="1:16" x14ac:dyDescent="0.35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156.19117934771998</v>
      </c>
      <c r="H15">
        <v>-562.78064521453507</v>
      </c>
      <c r="I15">
        <v>41.140887976761235</v>
      </c>
      <c r="K15" s="102">
        <f t="shared" si="1"/>
        <v>0</v>
      </c>
      <c r="N15">
        <v>59</v>
      </c>
      <c r="O15">
        <v>0</v>
      </c>
      <c r="P15">
        <v>0</v>
      </c>
    </row>
    <row r="16" spans="1:16" x14ac:dyDescent="0.35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157.82060816439548</v>
      </c>
      <c r="H16">
        <v>-565.41480875493562</v>
      </c>
      <c r="I16">
        <v>36.20171054730281</v>
      </c>
      <c r="K16" s="102">
        <f t="shared" si="1"/>
        <v>0</v>
      </c>
      <c r="N16">
        <v>59</v>
      </c>
      <c r="O16">
        <v>0</v>
      </c>
      <c r="P16">
        <v>0</v>
      </c>
    </row>
    <row r="17" spans="1:16" x14ac:dyDescent="0.35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159.3837158227152</v>
      </c>
      <c r="H17">
        <v>-568.06548742725101</v>
      </c>
      <c r="I17">
        <v>36.828990157049986</v>
      </c>
      <c r="K17" s="102">
        <f t="shared" si="1"/>
        <v>0</v>
      </c>
      <c r="N17">
        <v>59</v>
      </c>
      <c r="O17">
        <v>0</v>
      </c>
      <c r="P17">
        <v>0</v>
      </c>
    </row>
    <row r="18" spans="1:16" x14ac:dyDescent="0.35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160.63759358658922</v>
      </c>
      <c r="H18">
        <v>-570.71066105559476</v>
      </c>
      <c r="I18">
        <v>37.463678233921371</v>
      </c>
      <c r="K18" s="102">
        <f t="shared" si="1"/>
        <v>0</v>
      </c>
      <c r="N18">
        <v>59</v>
      </c>
      <c r="O18">
        <v>0</v>
      </c>
      <c r="P18">
        <v>0</v>
      </c>
    </row>
    <row r="19" spans="1:16" x14ac:dyDescent="0.35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161.7019229101536</v>
      </c>
      <c r="H19">
        <v>-573.36409224989586</v>
      </c>
      <c r="I19">
        <v>38.110892014683543</v>
      </c>
      <c r="K19" s="102">
        <f t="shared" si="1"/>
        <v>0</v>
      </c>
      <c r="N19">
        <v>59</v>
      </c>
      <c r="O19">
        <v>0</v>
      </c>
      <c r="P19">
        <v>0</v>
      </c>
    </row>
    <row r="20" spans="1:16" x14ac:dyDescent="0.35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165.36037422478853</v>
      </c>
      <c r="H20">
        <v>-576.02302848816862</v>
      </c>
      <c r="I20">
        <v>38.157160115537408</v>
      </c>
      <c r="K20" s="102">
        <f t="shared" si="1"/>
        <v>0</v>
      </c>
      <c r="N20">
        <v>59</v>
      </c>
      <c r="O20">
        <v>0</v>
      </c>
      <c r="P20">
        <v>0</v>
      </c>
    </row>
    <row r="21" spans="1:16" x14ac:dyDescent="0.35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168.39490836958566</v>
      </c>
      <c r="H21">
        <v>-578.67921220445555</v>
      </c>
      <c r="I21">
        <v>38.208074215356021</v>
      </c>
      <c r="K21" s="102">
        <f t="shared" si="1"/>
        <v>0</v>
      </c>
      <c r="N21">
        <v>59</v>
      </c>
      <c r="O21">
        <v>0</v>
      </c>
      <c r="P21">
        <v>0</v>
      </c>
    </row>
    <row r="22" spans="1:16" x14ac:dyDescent="0.35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170.87673605644864</v>
      </c>
      <c r="H22">
        <v>-581.30236565691303</v>
      </c>
      <c r="I22">
        <v>38.264934161420854</v>
      </c>
      <c r="K22" s="102">
        <f t="shared" si="1"/>
        <v>0</v>
      </c>
      <c r="N22">
        <v>59</v>
      </c>
      <c r="O22">
        <v>0</v>
      </c>
      <c r="P22">
        <v>0</v>
      </c>
    </row>
    <row r="23" spans="1:16" x14ac:dyDescent="0.35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172.74637807665476</v>
      </c>
      <c r="H23">
        <v>-583.90625145546994</v>
      </c>
      <c r="I23">
        <v>38.326825369819289</v>
      </c>
      <c r="K23" s="102">
        <f t="shared" si="1"/>
        <v>0</v>
      </c>
      <c r="N23">
        <v>59</v>
      </c>
      <c r="O23">
        <v>0</v>
      </c>
      <c r="P23">
        <v>0</v>
      </c>
    </row>
    <row r="24" spans="1:16" x14ac:dyDescent="0.35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173.70686178614119</v>
      </c>
      <c r="H24">
        <v>-586.4908696001263</v>
      </c>
      <c r="I24">
        <v>38.401387580592541</v>
      </c>
      <c r="K24" s="102">
        <f t="shared" si="1"/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defaultColWidth="10.81640625" defaultRowHeight="14.5" x14ac:dyDescent="0.35"/>
  <cols>
    <col min="4" max="4" width="11.1796875" bestFit="1" customWidth="1"/>
    <col min="10" max="23" width="12.6328125" bestFit="1" customWidth="1"/>
  </cols>
  <sheetData>
    <row r="1" spans="1:36" x14ac:dyDescent="0.35">
      <c r="D1" s="326" t="s">
        <v>21</v>
      </c>
      <c r="E1" s="326"/>
      <c r="F1" s="326"/>
      <c r="G1" s="326"/>
      <c r="H1" s="326" t="s">
        <v>9</v>
      </c>
      <c r="I1" s="326"/>
      <c r="J1" s="326"/>
      <c r="K1" s="326"/>
      <c r="L1" s="326" t="s">
        <v>10</v>
      </c>
      <c r="M1" s="326"/>
      <c r="N1" s="326"/>
      <c r="O1" s="326"/>
      <c r="P1" s="326" t="s">
        <v>11</v>
      </c>
      <c r="Q1" s="326"/>
      <c r="R1" s="326"/>
      <c r="S1" s="326"/>
      <c r="T1" s="326" t="s">
        <v>265</v>
      </c>
      <c r="U1" s="326"/>
      <c r="V1" s="326"/>
      <c r="W1" s="326"/>
    </row>
    <row r="2" spans="1:36" x14ac:dyDescent="0.35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35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35">
      <c r="A4" s="35" t="s">
        <v>213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35">
      <c r="A5" s="35" t="s">
        <v>15</v>
      </c>
      <c r="D5" s="197">
        <f>main!F100</f>
        <v>728844</v>
      </c>
      <c r="E5" s="197">
        <f>main!G100</f>
        <v>738714</v>
      </c>
      <c r="F5" s="197">
        <f>main!H100</f>
        <v>755204</v>
      </c>
      <c r="G5" s="197">
        <f>main!I100</f>
        <v>763370</v>
      </c>
      <c r="H5" s="197">
        <f>main!J100</f>
        <v>760967</v>
      </c>
      <c r="I5" s="197">
        <f>main!K100</f>
        <v>767087</v>
      </c>
      <c r="J5" s="197">
        <f>main!L100</f>
        <v>812158</v>
      </c>
      <c r="K5" s="197">
        <f>main!M100</f>
        <v>828480</v>
      </c>
      <c r="L5" s="262">
        <f>main!N100</f>
        <v>818740</v>
      </c>
      <c r="M5" s="262">
        <f>main!O100</f>
        <v>831250.83502466371</v>
      </c>
      <c r="N5" s="262">
        <f>main!P100</f>
        <v>838457.84744285408</v>
      </c>
      <c r="O5" s="262">
        <f>main!Q100</f>
        <v>839187.01967747905</v>
      </c>
      <c r="P5" s="262">
        <f>main!R100</f>
        <v>840286.24682117626</v>
      </c>
      <c r="Q5" s="262">
        <f>main!S100</f>
        <v>841762.8752842095</v>
      </c>
      <c r="R5" s="262">
        <f>main!T100</f>
        <v>843107.97501111636</v>
      </c>
      <c r="S5" s="262">
        <f>main!U100</f>
        <v>844539.45728929248</v>
      </c>
      <c r="T5" s="262">
        <f>main!V100</f>
        <v>846032.64138980373</v>
      </c>
      <c r="U5" s="262"/>
      <c r="V5" s="262"/>
      <c r="W5" s="262"/>
      <c r="AJ5" s="258"/>
    </row>
    <row r="6" spans="1:36" s="35" customFormat="1" x14ac:dyDescent="0.35">
      <c r="A6" s="35" t="s">
        <v>212</v>
      </c>
      <c r="D6" s="197">
        <f>main!F103</f>
        <v>589819</v>
      </c>
      <c r="E6" s="197">
        <f>main!G103</f>
        <v>599372</v>
      </c>
      <c r="F6" s="197">
        <f>main!H103</f>
        <v>614976</v>
      </c>
      <c r="G6" s="197">
        <f>main!I103</f>
        <v>622265</v>
      </c>
      <c r="H6" s="197">
        <f>main!J103</f>
        <v>619632</v>
      </c>
      <c r="I6" s="197">
        <f>main!K103</f>
        <v>624096</v>
      </c>
      <c r="J6" s="197">
        <f>main!L103</f>
        <v>668823</v>
      </c>
      <c r="K6" s="197">
        <f>main!M103</f>
        <v>683703</v>
      </c>
      <c r="L6" s="35">
        <f>main!N103</f>
        <v>673632</v>
      </c>
      <c r="M6" s="35">
        <f>main!O103</f>
        <v>685780.06502466369</v>
      </c>
      <c r="N6" s="35">
        <f>main!P103</f>
        <v>692623.40051785414</v>
      </c>
      <c r="O6" s="35">
        <f>main!Q103</f>
        <v>692623.40051785414</v>
      </c>
      <c r="P6" s="35">
        <f>main!R103</f>
        <v>692623.40051785414</v>
      </c>
      <c r="Q6" s="35">
        <f>main!S103</f>
        <v>692623.40051785414</v>
      </c>
      <c r="R6" s="35">
        <f>main!T103</f>
        <v>692623.40051785414</v>
      </c>
      <c r="S6" s="35">
        <f>main!U103</f>
        <v>692623.40051785414</v>
      </c>
      <c r="T6" s="35">
        <f>main!V103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defaultColWidth="10.81640625" defaultRowHeight="14.5" x14ac:dyDescent="0.35"/>
  <cols>
    <col min="2" max="2" width="25.1796875" customWidth="1"/>
    <col min="7" max="7" width="10.81640625" style="146"/>
    <col min="11" max="11" width="10.81640625" style="146"/>
    <col min="15" max="15" width="10.81640625" style="146"/>
    <col min="19" max="19" width="10.81640625" style="146"/>
    <col min="23" max="23" width="10.81640625" style="146"/>
    <col min="27" max="27" width="12.1796875" style="146" bestFit="1" customWidth="1"/>
  </cols>
  <sheetData>
    <row r="1" spans="1:27" ht="18.5" x14ac:dyDescent="0.45">
      <c r="A1" s="334" t="s">
        <v>206</v>
      </c>
      <c r="B1" s="335"/>
      <c r="C1" s="35"/>
      <c r="I1" s="240"/>
      <c r="J1" s="342" t="s">
        <v>279</v>
      </c>
      <c r="V1" s="326"/>
      <c r="W1" s="326"/>
      <c r="X1" s="326"/>
      <c r="Y1" s="326"/>
    </row>
    <row r="2" spans="1:27" x14ac:dyDescent="0.35">
      <c r="A2" s="336" t="s">
        <v>191</v>
      </c>
      <c r="B2" s="126"/>
      <c r="C2" t="s">
        <v>192</v>
      </c>
      <c r="H2" s="95"/>
      <c r="I2" s="241"/>
      <c r="J2" s="342"/>
    </row>
    <row r="3" spans="1:27" x14ac:dyDescent="0.35">
      <c r="A3" s="337"/>
      <c r="B3" s="127"/>
      <c r="C3" t="s">
        <v>193</v>
      </c>
      <c r="H3" s="95"/>
      <c r="I3" s="241"/>
      <c r="J3" s="342"/>
    </row>
    <row r="4" spans="1:27" x14ac:dyDescent="0.35">
      <c r="A4" s="337"/>
      <c r="B4" s="128"/>
      <c r="C4" t="s">
        <v>194</v>
      </c>
      <c r="H4" s="95"/>
      <c r="I4" s="95"/>
      <c r="J4" s="95"/>
    </row>
    <row r="5" spans="1:27" x14ac:dyDescent="0.35">
      <c r="A5" s="338"/>
      <c r="B5" s="129"/>
      <c r="C5" t="s">
        <v>181</v>
      </c>
      <c r="H5" s="95"/>
      <c r="I5" s="95"/>
      <c r="J5" s="95"/>
    </row>
    <row r="6" spans="1:27" x14ac:dyDescent="0.35">
      <c r="H6" s="95"/>
      <c r="I6" s="95"/>
      <c r="J6" s="95"/>
    </row>
    <row r="7" spans="1:27" x14ac:dyDescent="0.35">
      <c r="C7" s="339" t="s">
        <v>160</v>
      </c>
      <c r="D7" s="340"/>
      <c r="E7" s="340"/>
      <c r="F7" s="341"/>
      <c r="G7" s="339" t="s">
        <v>165</v>
      </c>
      <c r="H7" s="340"/>
      <c r="I7" s="340"/>
      <c r="J7" s="341"/>
      <c r="K7" s="339" t="s">
        <v>176</v>
      </c>
      <c r="L7" s="340"/>
      <c r="M7" s="340"/>
      <c r="N7" s="340"/>
      <c r="O7" s="339" t="s">
        <v>269</v>
      </c>
      <c r="P7" s="340"/>
      <c r="Q7" s="340"/>
      <c r="R7" s="340"/>
      <c r="S7" s="339" t="s">
        <v>273</v>
      </c>
      <c r="T7" s="340"/>
      <c r="U7" s="340"/>
      <c r="V7" s="340"/>
      <c r="W7" s="339" t="s">
        <v>274</v>
      </c>
      <c r="X7" s="340"/>
      <c r="Y7" s="340"/>
      <c r="Z7" s="340"/>
      <c r="AA7" s="222" t="s">
        <v>275</v>
      </c>
    </row>
    <row r="8" spans="1:27" s="257" customFormat="1" x14ac:dyDescent="0.35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8.5" x14ac:dyDescent="0.4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x14ac:dyDescent="0.35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x14ac:dyDescent="0.35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x14ac:dyDescent="0.35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x14ac:dyDescent="0.35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x14ac:dyDescent="0.35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x14ac:dyDescent="0.35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x14ac:dyDescent="0.35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x14ac:dyDescent="0.35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x14ac:dyDescent="0.35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x14ac:dyDescent="0.35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35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35">
      <c r="H21" s="95"/>
      <c r="I21" s="95"/>
      <c r="J21" s="95"/>
    </row>
    <row r="22" spans="1:28" x14ac:dyDescent="0.35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8.5" x14ac:dyDescent="0.4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35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35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3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35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35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35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8.5" x14ac:dyDescent="0.4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35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35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3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35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35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35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8.5" x14ac:dyDescent="0.4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35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35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3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35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35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35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8.5" x14ac:dyDescent="0.4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35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35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3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35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35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35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defaultColWidth="10.81640625" defaultRowHeight="14.5" x14ac:dyDescent="0.35"/>
  <cols>
    <col min="1" max="1" width="10.453125" bestFit="1" customWidth="1"/>
    <col min="2" max="2" width="23.1796875" bestFit="1" customWidth="1"/>
    <col min="3" max="3" width="23.453125" bestFit="1" customWidth="1"/>
    <col min="4" max="4" width="23" bestFit="1" customWidth="1"/>
    <col min="5" max="5" width="24.36328125" bestFit="1" customWidth="1"/>
    <col min="6" max="6" width="25.1796875" bestFit="1" customWidth="1"/>
    <col min="7" max="7" width="25.453125" bestFit="1" customWidth="1"/>
    <col min="8" max="8" width="20.453125" bestFit="1" customWidth="1"/>
    <col min="9" max="9" width="18.36328125" customWidth="1"/>
  </cols>
  <sheetData>
    <row r="1" spans="1:9" x14ac:dyDescent="0.35">
      <c r="A1" s="259" t="s">
        <v>255</v>
      </c>
      <c r="B1" s="259" t="s">
        <v>248</v>
      </c>
      <c r="C1" s="259" t="s">
        <v>249</v>
      </c>
      <c r="D1" s="259" t="s">
        <v>250</v>
      </c>
      <c r="E1" s="259" t="s">
        <v>251</v>
      </c>
      <c r="F1" s="259" t="s">
        <v>252</v>
      </c>
      <c r="G1" s="259" t="s">
        <v>253</v>
      </c>
      <c r="H1" s="259" t="s">
        <v>254</v>
      </c>
      <c r="I1" s="259" t="s">
        <v>286</v>
      </c>
    </row>
    <row r="2" spans="1:9" x14ac:dyDescent="0.35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-9.2000000000000455</v>
      </c>
    </row>
    <row r="3" spans="1:9" x14ac:dyDescent="0.35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-19.800000000000011</v>
      </c>
    </row>
    <row r="4" spans="1:9" x14ac:dyDescent="0.35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118.48521772294498</v>
      </c>
    </row>
    <row r="5" spans="1:9" x14ac:dyDescent="0.35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91.070987120173811</v>
      </c>
    </row>
    <row r="6" spans="1:9" x14ac:dyDescent="0.35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108.2731768418378</v>
      </c>
    </row>
    <row r="7" spans="1:9" x14ac:dyDescent="0.35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97.918975558200771</v>
      </c>
    </row>
    <row r="8" spans="1:9" x14ac:dyDescent="0.35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86.862558765131354</v>
      </c>
    </row>
    <row r="9" spans="1:9" x14ac:dyDescent="0.35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82.127767407325109</v>
      </c>
    </row>
    <row r="10" spans="1:9" x14ac:dyDescent="0.35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77.353129721712861</v>
      </c>
    </row>
    <row r="11" spans="1:9" x14ac:dyDescent="0.35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64.474970584203191</v>
      </c>
    </row>
    <row r="12" spans="1:9" x14ac:dyDescent="0.35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51.59860482993048</v>
      </c>
    </row>
    <row r="13" spans="1:9" x14ac:dyDescent="0.35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35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35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35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35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35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35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35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35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35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35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defaultColWidth="8.81640625" defaultRowHeight="14.5" x14ac:dyDescent="0.35"/>
  <sheetData>
    <row r="1" spans="1:10" s="297" customFormat="1" x14ac:dyDescent="0.35">
      <c r="A1" s="297" t="s">
        <v>321</v>
      </c>
      <c r="B1" s="297" t="s">
        <v>322</v>
      </c>
      <c r="C1" s="297" t="s">
        <v>323</v>
      </c>
      <c r="D1" s="297" t="s">
        <v>324</v>
      </c>
      <c r="E1" s="297" t="s">
        <v>325</v>
      </c>
      <c r="F1" s="297" t="s">
        <v>326</v>
      </c>
      <c r="G1" s="297" t="s">
        <v>327</v>
      </c>
      <c r="H1" s="297" t="s">
        <v>328</v>
      </c>
      <c r="I1" s="297" t="s">
        <v>329</v>
      </c>
      <c r="J1" s="297" t="s">
        <v>374</v>
      </c>
    </row>
    <row r="2" spans="1:10" x14ac:dyDescent="0.35">
      <c r="A2" t="s">
        <v>291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35">
      <c r="A3" t="s">
        <v>292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35">
      <c r="A4" t="s">
        <v>293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35">
      <c r="A5" t="s">
        <v>294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35">
      <c r="A6" t="s">
        <v>295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35">
      <c r="A7" t="s">
        <v>296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35">
      <c r="A8" t="s">
        <v>297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35">
      <c r="A9" t="s">
        <v>298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35">
      <c r="A10" t="s">
        <v>330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35">
      <c r="A11" t="s">
        <v>331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35">
      <c r="A12" t="s">
        <v>300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35">
      <c r="A13" t="s">
        <v>301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35">
      <c r="A14" t="s">
        <v>302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35">
      <c r="A15" t="s">
        <v>303</v>
      </c>
      <c r="H15">
        <v>1078100</v>
      </c>
      <c r="I15">
        <v>15600</v>
      </c>
      <c r="J15">
        <v>5000</v>
      </c>
    </row>
    <row r="16" spans="1:10" x14ac:dyDescent="0.35">
      <c r="A16" t="s">
        <v>304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35">
      <c r="A17" t="s">
        <v>305</v>
      </c>
      <c r="H17">
        <v>19100</v>
      </c>
      <c r="I17">
        <v>27000</v>
      </c>
      <c r="J17">
        <v>10800</v>
      </c>
    </row>
    <row r="18" spans="1:10" x14ac:dyDescent="0.35">
      <c r="A18" t="s">
        <v>306</v>
      </c>
      <c r="H18">
        <v>160900</v>
      </c>
      <c r="I18">
        <v>58400</v>
      </c>
      <c r="J18">
        <v>34500</v>
      </c>
    </row>
    <row r="19" spans="1:10" x14ac:dyDescent="0.35">
      <c r="A19" t="s">
        <v>307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35">
      <c r="A20" t="s">
        <v>308</v>
      </c>
      <c r="H20">
        <v>609300</v>
      </c>
      <c r="I20">
        <v>865600</v>
      </c>
      <c r="J20">
        <v>260300</v>
      </c>
    </row>
    <row r="21" spans="1:10" x14ac:dyDescent="0.35">
      <c r="A21" t="s">
        <v>309</v>
      </c>
      <c r="H21">
        <v>63800</v>
      </c>
      <c r="I21">
        <v>15000</v>
      </c>
      <c r="J21">
        <v>100</v>
      </c>
    </row>
    <row r="22" spans="1:10" x14ac:dyDescent="0.35">
      <c r="A22" t="s">
        <v>310</v>
      </c>
      <c r="H22">
        <v>73300</v>
      </c>
      <c r="I22">
        <v>73300</v>
      </c>
      <c r="J22">
        <v>73300</v>
      </c>
    </row>
    <row r="23" spans="1:10" x14ac:dyDescent="0.35">
      <c r="A23" t="s">
        <v>311</v>
      </c>
      <c r="H23">
        <v>140000</v>
      </c>
      <c r="I23">
        <v>140000</v>
      </c>
      <c r="J23">
        <v>140000</v>
      </c>
    </row>
    <row r="24" spans="1:10" x14ac:dyDescent="0.35">
      <c r="A24" t="s">
        <v>312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35">
      <c r="A25" t="s">
        <v>315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35">
      <c r="A26" t="s">
        <v>314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35">
      <c r="A27" t="s">
        <v>316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35">
      <c r="A28" t="s">
        <v>317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35">
      <c r="A29" t="s">
        <v>318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35">
      <c r="A30" t="s">
        <v>319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35">
      <c r="A31" t="s">
        <v>320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35">
      <c r="A32" t="s">
        <v>299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35">
      <c r="A33" t="s">
        <v>333</v>
      </c>
      <c r="H33">
        <v>277100</v>
      </c>
      <c r="I33">
        <v>228300</v>
      </c>
      <c r="J33">
        <v>213400</v>
      </c>
    </row>
    <row r="34" spans="1:10" x14ac:dyDescent="0.35">
      <c r="A34" t="s">
        <v>313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defaultColWidth="10.81640625" defaultRowHeight="14.5" x14ac:dyDescent="0.35"/>
  <sheetData>
    <row r="1" spans="1:2" x14ac:dyDescent="0.35">
      <c r="A1" t="s">
        <v>255</v>
      </c>
      <c r="B1" t="s">
        <v>287</v>
      </c>
    </row>
    <row r="2" spans="1:2" x14ac:dyDescent="0.35">
      <c r="A2" s="188">
        <v>44104</v>
      </c>
      <c r="B2">
        <v>337800</v>
      </c>
    </row>
    <row r="3" spans="1:2" x14ac:dyDescent="0.35">
      <c r="A3" s="188">
        <v>44196</v>
      </c>
      <c r="B3">
        <v>244000</v>
      </c>
    </row>
    <row r="4" spans="1:2" x14ac:dyDescent="0.35">
      <c r="A4" s="188">
        <v>44286</v>
      </c>
      <c r="B4">
        <v>152000</v>
      </c>
    </row>
    <row r="5" spans="1:2" x14ac:dyDescent="0.35">
      <c r="A5" s="188">
        <v>44377</v>
      </c>
      <c r="B5">
        <v>44000</v>
      </c>
    </row>
    <row r="6" spans="1:2" x14ac:dyDescent="0.35">
      <c r="A6" s="188">
        <v>44469</v>
      </c>
      <c r="B6">
        <v>44000</v>
      </c>
    </row>
    <row r="7" spans="1:2" x14ac:dyDescent="0.35">
      <c r="A7" s="188">
        <v>44561</v>
      </c>
      <c r="B7">
        <v>44000</v>
      </c>
    </row>
    <row r="8" spans="1:2" x14ac:dyDescent="0.35">
      <c r="A8" s="188">
        <v>44651</v>
      </c>
      <c r="B8">
        <v>44000</v>
      </c>
    </row>
    <row r="9" spans="1:2" x14ac:dyDescent="0.35">
      <c r="A9" s="188">
        <v>44742</v>
      </c>
      <c r="B9">
        <v>44000</v>
      </c>
    </row>
    <row r="10" spans="1:2" x14ac:dyDescent="0.35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35">
      <c r="B8" s="160" t="s">
        <v>237</v>
      </c>
      <c r="C8" s="160"/>
      <c r="D8" s="161">
        <f>SUMPRODUCT(B5:B6,C5:C6)</f>
        <v>0.45</v>
      </c>
    </row>
    <row r="9" spans="1:16" x14ac:dyDescent="0.35">
      <c r="B9" s="157" t="s">
        <v>238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defaultColWidth="12" defaultRowHeight="15.5" x14ac:dyDescent="0.35"/>
  <cols>
    <col min="1" max="1" width="24.6328125" style="157" customWidth="1"/>
    <col min="2" max="2" width="16.6328125" style="157" customWidth="1"/>
    <col min="3" max="3" width="7.453125" style="157" bestFit="1" customWidth="1"/>
    <col min="4" max="16384" width="12" style="157"/>
  </cols>
  <sheetData>
    <row r="2" spans="1:16" x14ac:dyDescent="0.35">
      <c r="B2" s="157" t="s">
        <v>231</v>
      </c>
    </row>
    <row r="3" spans="1:16" x14ac:dyDescent="0.35">
      <c r="B3" s="157" t="s">
        <v>232</v>
      </c>
    </row>
    <row r="4" spans="1:16" x14ac:dyDescent="0.35">
      <c r="A4" s="157" t="s">
        <v>233</v>
      </c>
      <c r="C4" s="157" t="s">
        <v>234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35">
      <c r="A5" s="157" t="s">
        <v>235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35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35">
      <c r="B7" s="157" t="s">
        <v>236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35">
      <c r="B8" s="160" t="s">
        <v>237</v>
      </c>
      <c r="C8" s="160"/>
      <c r="D8" s="161">
        <f>SUMPRODUCT(B5:B6,C5:C6)</f>
        <v>0.52500000000000002</v>
      </c>
    </row>
    <row r="9" spans="1:16" x14ac:dyDescent="0.35">
      <c r="B9" s="157" t="s">
        <v>238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35">
      <c r="D11" s="163"/>
    </row>
    <row r="14" spans="1:16" x14ac:dyDescent="0.35">
      <c r="A14" s="157" t="s">
        <v>239</v>
      </c>
      <c r="C14" s="157" t="s">
        <v>234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35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35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35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35">
      <c r="B18" s="157" t="s">
        <v>236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35">
      <c r="B19" s="157" t="s">
        <v>240</v>
      </c>
      <c r="D19" s="157">
        <f>SUMPRODUCT(C15:C17,B15:B17)</f>
        <v>0.86186821348990206</v>
      </c>
    </row>
    <row r="20" spans="1:12" x14ac:dyDescent="0.35">
      <c r="B20" s="161" t="s">
        <v>238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35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35">
      <c r="A22" s="157" t="s">
        <v>241</v>
      </c>
    </row>
    <row r="23" spans="1:12" x14ac:dyDescent="0.35">
      <c r="A23" s="157" t="s">
        <v>242</v>
      </c>
    </row>
    <row r="24" spans="1:12" x14ac:dyDescent="0.35">
      <c r="C24" s="157" t="s">
        <v>111</v>
      </c>
    </row>
    <row r="25" spans="1:12" x14ac:dyDescent="0.35">
      <c r="B25" s="157" t="s">
        <v>34</v>
      </c>
      <c r="C25" s="157">
        <v>5654.6</v>
      </c>
    </row>
    <row r="26" spans="1:12" x14ac:dyDescent="0.35">
      <c r="B26" s="157" t="s">
        <v>243</v>
      </c>
      <c r="C26" s="157">
        <v>1065.5</v>
      </c>
      <c r="D26" s="157">
        <f>C26/C25</f>
        <v>0.18843065822516181</v>
      </c>
    </row>
    <row r="27" spans="1:12" x14ac:dyDescent="0.35">
      <c r="B27" s="157" t="s">
        <v>244</v>
      </c>
      <c r="C27" s="157">
        <v>1078.0999999999999</v>
      </c>
      <c r="D27" s="157">
        <f>C27/C25</f>
        <v>0.19065893255048985</v>
      </c>
    </row>
    <row r="28" spans="1:12" x14ac:dyDescent="0.35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43" t="s">
        <v>32</v>
      </c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</row>
    <row r="6" spans="1:19" s="6" customFormat="1" ht="15" customHeight="1" x14ac:dyDescent="0.3">
      <c r="A6" s="345" t="s">
        <v>33</v>
      </c>
      <c r="B6" s="345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6"/>
      <c r="S8" s="347"/>
    </row>
    <row r="9" spans="1:19" s="6" customFormat="1" ht="15" customHeight="1" x14ac:dyDescent="0.3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3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3">
      <c r="A12" s="130"/>
      <c r="B12" s="28"/>
      <c r="C12" s="28"/>
      <c r="D12" s="28" t="s">
        <v>219</v>
      </c>
      <c r="E12" s="28" t="s">
        <v>217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225</v>
      </c>
      <c r="O12" s="25"/>
      <c r="P12" s="25"/>
      <c r="Q12" s="25"/>
      <c r="R12" s="25"/>
      <c r="S12" s="25"/>
    </row>
    <row r="13" spans="1:19" s="6" customFormat="1" ht="15" customHeight="1" x14ac:dyDescent="0.3">
      <c r="A13" s="130" t="s">
        <v>218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224</v>
      </c>
      <c r="O13" s="25"/>
      <c r="P13" s="25"/>
      <c r="Q13" s="25"/>
      <c r="R13" s="25"/>
      <c r="S13" s="25"/>
    </row>
    <row r="14" spans="1:19" x14ac:dyDescent="0.35">
      <c r="F14" s="25"/>
      <c r="G14" s="25"/>
      <c r="H14" s="25"/>
      <c r="I14" s="25"/>
      <c r="J14" s="25"/>
      <c r="K14" s="25"/>
      <c r="L14" s="25"/>
      <c r="M14" s="25"/>
      <c r="N14" t="s">
        <v>223</v>
      </c>
    </row>
    <row r="15" spans="1:19" x14ac:dyDescent="0.35">
      <c r="A15" t="s">
        <v>222</v>
      </c>
      <c r="F15" s="94">
        <f>main!K105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35">
      <c r="A19" t="s">
        <v>220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defaultColWidth="8.81640625" defaultRowHeight="14.5" x14ac:dyDescent="0.35"/>
  <cols>
    <col min="2" max="2" width="23.6328125" customWidth="1"/>
    <col min="4" max="6" width="9.36328125" bestFit="1" customWidth="1"/>
    <col min="7" max="7" width="9.1796875" style="118" customWidth="1"/>
    <col min="8" max="10" width="9.36328125" style="95" bestFit="1" customWidth="1"/>
    <col min="11" max="11" width="9.36328125" style="118" bestFit="1" customWidth="1"/>
  </cols>
  <sheetData>
    <row r="1" spans="1:32" ht="18.5" x14ac:dyDescent="0.45">
      <c r="A1" s="327" t="s">
        <v>206</v>
      </c>
      <c r="B1" s="327"/>
      <c r="C1" s="35"/>
      <c r="H1"/>
      <c r="I1"/>
      <c r="J1"/>
      <c r="X1" t="s">
        <v>28</v>
      </c>
      <c r="Z1" s="348" t="s">
        <v>84</v>
      </c>
      <c r="AA1" s="348"/>
      <c r="AB1" s="348"/>
      <c r="AC1" s="326"/>
      <c r="AD1" s="326"/>
      <c r="AE1" s="326"/>
      <c r="AF1" s="326"/>
    </row>
    <row r="2" spans="1:32" x14ac:dyDescent="0.35">
      <c r="A2" s="349" t="s">
        <v>191</v>
      </c>
      <c r="B2" s="107"/>
      <c r="C2" t="s">
        <v>192</v>
      </c>
    </row>
    <row r="3" spans="1:32" x14ac:dyDescent="0.35">
      <c r="A3" s="349"/>
      <c r="B3" s="108"/>
      <c r="C3" t="s">
        <v>193</v>
      </c>
    </row>
    <row r="4" spans="1:32" x14ac:dyDescent="0.35">
      <c r="A4" s="349"/>
      <c r="B4" s="109"/>
      <c r="C4" t="s">
        <v>194</v>
      </c>
    </row>
    <row r="5" spans="1:32" x14ac:dyDescent="0.35">
      <c r="A5" s="349"/>
      <c r="B5" s="98"/>
      <c r="C5" t="s">
        <v>181</v>
      </c>
    </row>
    <row r="7" spans="1:32" x14ac:dyDescent="0.35">
      <c r="C7" s="339" t="s">
        <v>160</v>
      </c>
      <c r="D7" s="340"/>
      <c r="E7" s="340"/>
      <c r="F7" s="341"/>
      <c r="G7" s="339" t="s">
        <v>165</v>
      </c>
      <c r="H7" s="340"/>
      <c r="I7" s="340"/>
      <c r="J7" s="341"/>
      <c r="K7" s="339" t="s">
        <v>176</v>
      </c>
      <c r="L7" s="340"/>
      <c r="M7" s="340"/>
      <c r="N7" s="341"/>
    </row>
    <row r="8" spans="1:32" s="2" customFormat="1" x14ac:dyDescent="0.35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8.5" x14ac:dyDescent="0.4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x14ac:dyDescent="0.35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x14ac:dyDescent="0.35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x14ac:dyDescent="0.35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x14ac:dyDescent="0.35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x14ac:dyDescent="0.35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x14ac:dyDescent="0.35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x14ac:dyDescent="0.35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x14ac:dyDescent="0.35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x14ac:dyDescent="0.35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x14ac:dyDescent="0.35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35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8.5" x14ac:dyDescent="0.45">
      <c r="A23" s="110" t="s">
        <v>184</v>
      </c>
      <c r="B23" s="110"/>
    </row>
    <row r="24" spans="1:12" x14ac:dyDescent="0.35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35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35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35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35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35">
      <c r="D29" s="102"/>
      <c r="E29" s="102"/>
      <c r="F29" s="102"/>
      <c r="G29" s="122"/>
      <c r="H29" s="104"/>
      <c r="I29" s="104"/>
      <c r="J29" s="104"/>
      <c r="K29" s="122"/>
    </row>
    <row r="30" spans="1:12" x14ac:dyDescent="0.35">
      <c r="D30" s="102"/>
      <c r="E30" s="102"/>
      <c r="F30" s="102"/>
      <c r="G30" s="122"/>
      <c r="H30" s="104"/>
      <c r="I30" s="104"/>
      <c r="J30" s="104"/>
      <c r="K30" s="122"/>
    </row>
    <row r="31" spans="1:12" ht="18.5" x14ac:dyDescent="0.45">
      <c r="A31" s="110" t="s">
        <v>187</v>
      </c>
      <c r="B31" s="110"/>
    </row>
    <row r="32" spans="1:12" x14ac:dyDescent="0.35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35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35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35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35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35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35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8.5" x14ac:dyDescent="0.4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35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35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35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35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35">
      <c r="D44" s="102"/>
      <c r="E44" s="102"/>
      <c r="F44" s="102"/>
      <c r="G44" s="122"/>
      <c r="H44" s="104"/>
      <c r="I44" s="104"/>
      <c r="J44" s="104"/>
      <c r="K44" s="122"/>
    </row>
    <row r="45" spans="1:11" x14ac:dyDescent="0.35">
      <c r="D45" s="102"/>
      <c r="E45" s="102"/>
      <c r="F45" s="102"/>
      <c r="G45" s="122"/>
      <c r="H45" s="104"/>
      <c r="I45" s="104"/>
      <c r="J45" s="104"/>
      <c r="K45" s="122"/>
    </row>
    <row r="46" spans="1:11" ht="18.5" x14ac:dyDescent="0.4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35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35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35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35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35">
      <c r="D51" s="102"/>
      <c r="E51" s="102"/>
      <c r="F51" s="102"/>
      <c r="G51" s="122"/>
      <c r="H51" s="104"/>
      <c r="I51" s="104"/>
      <c r="J51" s="104"/>
      <c r="K51" s="122"/>
    </row>
    <row r="53" spans="1:12" ht="18.5" x14ac:dyDescent="0.45">
      <c r="A53" s="105" t="s">
        <v>188</v>
      </c>
      <c r="B53" s="105"/>
    </row>
    <row r="54" spans="1:12" x14ac:dyDescent="0.35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35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35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35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35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35">
      <c r="D59" s="102"/>
      <c r="E59" s="102"/>
      <c r="F59" s="102"/>
      <c r="G59" s="122"/>
      <c r="H59" s="104"/>
      <c r="I59" s="104"/>
      <c r="J59" s="104"/>
      <c r="K59" s="122"/>
    </row>
    <row r="60" spans="1:12" x14ac:dyDescent="0.35">
      <c r="D60" s="102"/>
      <c r="E60" s="102"/>
      <c r="F60" s="102"/>
      <c r="G60" s="122"/>
      <c r="H60" s="104"/>
      <c r="I60" s="104"/>
      <c r="J60" s="104"/>
      <c r="K60" s="122"/>
    </row>
    <row r="61" spans="1:12" ht="18.5" x14ac:dyDescent="0.45">
      <c r="A61" s="105" t="s">
        <v>189</v>
      </c>
      <c r="B61" s="105"/>
    </row>
    <row r="62" spans="1:12" x14ac:dyDescent="0.35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35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35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35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35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35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35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8.5" x14ac:dyDescent="0.4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35">
      <c r="B70" t="s">
        <v>4</v>
      </c>
      <c r="D70" s="100"/>
      <c r="E70" s="102">
        <f>main!L55/1000</f>
        <v>1086.548</v>
      </c>
      <c r="F70" s="102">
        <f>main!M55/1000</f>
        <v>1213.48</v>
      </c>
      <c r="G70" s="102">
        <f>main!N55/1000</f>
        <v>610.53599999999994</v>
      </c>
      <c r="H70" s="102">
        <f>main!O55/1000</f>
        <v>794.08358333333342</v>
      </c>
      <c r="I70" s="102">
        <f>main!P55/1000</f>
        <v>794.08358333333342</v>
      </c>
      <c r="J70" s="102">
        <f>main!Q55/1000</f>
        <v>144.08358333333331</v>
      </c>
      <c r="K70" s="102">
        <f>main!R55/1000</f>
        <v>122.75024999999999</v>
      </c>
    </row>
    <row r="71" spans="1:11" x14ac:dyDescent="0.35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35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35">
      <c r="D73" s="102"/>
      <c r="E73" s="102"/>
      <c r="F73" s="102"/>
      <c r="G73" s="122"/>
      <c r="H73" s="104"/>
      <c r="I73" s="104"/>
      <c r="J73" s="104"/>
      <c r="K73" s="122"/>
    </row>
    <row r="74" spans="1:11" x14ac:dyDescent="0.35">
      <c r="D74" s="102"/>
      <c r="E74" s="102"/>
      <c r="F74" s="102"/>
      <c r="G74" s="122"/>
      <c r="H74" s="104"/>
      <c r="I74" s="104"/>
      <c r="J74" s="104"/>
      <c r="K74" s="122"/>
    </row>
    <row r="75" spans="1:11" ht="18.5" x14ac:dyDescent="0.4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35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35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35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35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35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35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35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defaultColWidth="8.81640625" defaultRowHeight="14.5" x14ac:dyDescent="0.35"/>
  <cols>
    <col min="1" max="1" width="6.453125" customWidth="1"/>
    <col min="2" max="2" width="62.453125" customWidth="1"/>
    <col min="3" max="3" width="15.81640625" customWidth="1"/>
    <col min="4" max="11" width="12.453125" customWidth="1"/>
    <col min="14" max="14" width="13.81640625" bestFit="1" customWidth="1"/>
  </cols>
  <sheetData>
    <row r="1" spans="1:24" x14ac:dyDescent="0.35">
      <c r="L1" s="46"/>
      <c r="M1" s="46"/>
    </row>
    <row r="2" spans="1:24" x14ac:dyDescent="0.35">
      <c r="A2" s="350" t="s">
        <v>104</v>
      </c>
      <c r="B2" s="350"/>
      <c r="C2" s="350"/>
      <c r="D2" s="350"/>
      <c r="E2" s="350"/>
      <c r="F2" s="350"/>
      <c r="G2" s="350"/>
      <c r="H2" s="350"/>
      <c r="I2" s="350"/>
      <c r="J2" s="350"/>
      <c r="K2" s="77"/>
    </row>
    <row r="3" spans="1:24" x14ac:dyDescent="0.35">
      <c r="A3" s="350" t="s">
        <v>105</v>
      </c>
      <c r="B3" s="350"/>
      <c r="C3" s="350"/>
      <c r="D3" s="350"/>
      <c r="E3" s="350"/>
      <c r="F3" s="350"/>
      <c r="G3" s="350"/>
      <c r="H3" s="350"/>
      <c r="I3" s="350"/>
      <c r="J3" s="350"/>
      <c r="K3" s="77"/>
    </row>
    <row r="4" spans="1:24" ht="15" thickBot="1" x14ac:dyDescent="0.4">
      <c r="A4" s="351"/>
      <c r="B4" s="351"/>
      <c r="C4" s="351"/>
      <c r="D4" s="351"/>
      <c r="E4" s="351"/>
      <c r="F4" s="351"/>
      <c r="G4" s="351"/>
      <c r="H4" s="351"/>
      <c r="I4" s="351"/>
      <c r="J4" s="351"/>
      <c r="K4" s="356" t="s">
        <v>160</v>
      </c>
      <c r="L4" s="356"/>
      <c r="M4" s="356"/>
      <c r="N4" s="356"/>
    </row>
    <row r="5" spans="1:24" x14ac:dyDescent="0.35">
      <c r="A5" s="47"/>
      <c r="B5" s="48"/>
      <c r="C5" s="352" t="s">
        <v>106</v>
      </c>
      <c r="D5" s="353"/>
      <c r="E5" s="353"/>
      <c r="F5" s="353"/>
      <c r="G5" s="353"/>
      <c r="H5" s="353"/>
      <c r="I5" s="353"/>
      <c r="J5" s="354"/>
      <c r="K5" s="78"/>
      <c r="L5" s="355" t="s">
        <v>107</v>
      </c>
      <c r="M5" s="326"/>
      <c r="N5" s="326"/>
    </row>
    <row r="6" spans="1:24" x14ac:dyDescent="0.35">
      <c r="A6" s="1" t="s">
        <v>109</v>
      </c>
      <c r="B6" s="49"/>
      <c r="C6" s="358">
        <v>2020</v>
      </c>
      <c r="D6" s="359"/>
      <c r="E6" s="359"/>
      <c r="F6" s="359"/>
      <c r="G6" s="359"/>
      <c r="H6" s="359"/>
      <c r="I6" s="359"/>
      <c r="J6" s="360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35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35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6.5" x14ac:dyDescent="0.35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35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35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35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35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35">
      <c r="K15" t="s">
        <v>137</v>
      </c>
    </row>
    <row r="17" spans="3:23" x14ac:dyDescent="0.35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35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35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29" x14ac:dyDescent="0.35">
      <c r="C20" s="67"/>
      <c r="D20" s="67"/>
      <c r="E20" s="67"/>
      <c r="F20" s="68"/>
      <c r="G20" s="68"/>
      <c r="N20" s="81" t="s">
        <v>136</v>
      </c>
    </row>
    <row r="21" spans="3:23" x14ac:dyDescent="0.35">
      <c r="C21" s="69" t="s">
        <v>121</v>
      </c>
      <c r="D21" s="69"/>
      <c r="E21" s="69"/>
      <c r="F21" s="70"/>
      <c r="G21" s="67"/>
    </row>
    <row r="22" spans="3:23" x14ac:dyDescent="0.35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6" t="s">
        <v>9</v>
      </c>
      <c r="L22" s="326"/>
      <c r="M22" s="326"/>
      <c r="N22" s="326"/>
      <c r="O22" s="326" t="s">
        <v>10</v>
      </c>
      <c r="P22" s="326"/>
      <c r="Q22" s="326"/>
      <c r="R22" s="326"/>
      <c r="S22" s="326" t="s">
        <v>11</v>
      </c>
      <c r="T22" s="326"/>
      <c r="U22" s="326"/>
      <c r="V22" s="326"/>
    </row>
    <row r="23" spans="3:23" x14ac:dyDescent="0.35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61" t="s">
        <v>108</v>
      </c>
      <c r="L23" s="361"/>
      <c r="M23" s="361"/>
      <c r="N23" s="361"/>
      <c r="O23" s="35" t="s">
        <v>146</v>
      </c>
      <c r="P23" s="35"/>
      <c r="Q23" s="35"/>
      <c r="R23" s="35"/>
    </row>
    <row r="24" spans="3:23" x14ac:dyDescent="0.35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35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35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35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35">
      <c r="I28" s="357" t="s">
        <v>257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35">
      <c r="C29" t="s">
        <v>126</v>
      </c>
      <c r="F29">
        <f>557</f>
        <v>557</v>
      </c>
      <c r="G29">
        <v>166</v>
      </c>
      <c r="H29">
        <v>67</v>
      </c>
      <c r="I29" s="357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35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7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35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7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35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35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7" t="s">
        <v>141</v>
      </c>
      <c r="J33" s="85" t="s">
        <v>257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35">
      <c r="I34" s="357"/>
      <c r="J34" t="s">
        <v>258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35">
      <c r="N35" s="72">
        <f>SUM(K34:N34)</f>
        <v>137.33333333333337</v>
      </c>
      <c r="R35" s="72"/>
    </row>
    <row r="36" spans="3:23" x14ac:dyDescent="0.35">
      <c r="C36" t="s">
        <v>266</v>
      </c>
    </row>
    <row r="37" spans="3:23" x14ac:dyDescent="0.35">
      <c r="C37" t="s">
        <v>267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35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35">
      <c r="O40" s="72"/>
      <c r="P40" s="72"/>
      <c r="Q40" s="72"/>
      <c r="R40" s="72"/>
      <c r="S40" s="72"/>
    </row>
    <row r="42" spans="3:23" x14ac:dyDescent="0.35">
      <c r="O42" t="s">
        <v>375</v>
      </c>
    </row>
    <row r="43" spans="3:23" x14ac:dyDescent="0.35">
      <c r="N43" s="82" t="s">
        <v>144</v>
      </c>
      <c r="O43" s="72">
        <v>15</v>
      </c>
    </row>
    <row r="44" spans="3:23" x14ac:dyDescent="0.35">
      <c r="N44" s="82" t="s">
        <v>143</v>
      </c>
      <c r="O44" s="72">
        <v>10</v>
      </c>
    </row>
    <row r="45" spans="3:23" x14ac:dyDescent="0.35">
      <c r="N45" s="82" t="s">
        <v>142</v>
      </c>
      <c r="O45" s="72">
        <v>5</v>
      </c>
    </row>
    <row r="46" spans="3:23" x14ac:dyDescent="0.35">
      <c r="N46" s="35" t="s">
        <v>140</v>
      </c>
      <c r="O46" s="72">
        <v>2</v>
      </c>
    </row>
    <row r="47" spans="3:23" x14ac:dyDescent="0.35">
      <c r="N47" s="316" t="s">
        <v>257</v>
      </c>
      <c r="O47">
        <v>32</v>
      </c>
    </row>
    <row r="48" spans="3:23" x14ac:dyDescent="0.35">
      <c r="N48" t="s">
        <v>258</v>
      </c>
      <c r="O48">
        <v>36.75</v>
      </c>
    </row>
    <row r="49" spans="14:15" x14ac:dyDescent="0.35">
      <c r="N49" t="s">
        <v>145</v>
      </c>
      <c r="O49">
        <v>47</v>
      </c>
    </row>
    <row r="50" spans="14:15" x14ac:dyDescent="0.35">
      <c r="N50" t="s">
        <v>129</v>
      </c>
      <c r="O50">
        <v>21.75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defaultColWidth="8.81640625" defaultRowHeight="14.5" x14ac:dyDescent="0.35"/>
  <sheetData>
    <row r="1" spans="1:18" x14ac:dyDescent="0.35">
      <c r="A1" t="s">
        <v>85</v>
      </c>
    </row>
    <row r="2" spans="1:18" x14ac:dyDescent="0.35">
      <c r="A2" t="s">
        <v>86</v>
      </c>
    </row>
    <row r="4" spans="1:18" x14ac:dyDescent="0.35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35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35">
      <c r="A6" s="41"/>
      <c r="B6" s="41"/>
      <c r="C6" s="41"/>
      <c r="D6" s="41"/>
      <c r="E6" s="365" t="s">
        <v>87</v>
      </c>
      <c r="F6" s="365"/>
      <c r="G6" s="365"/>
      <c r="H6" s="365"/>
      <c r="I6" s="365"/>
      <c r="J6" s="365"/>
      <c r="K6" s="365"/>
      <c r="L6" s="365"/>
      <c r="M6" s="365"/>
      <c r="N6" s="365"/>
      <c r="O6" s="365"/>
      <c r="P6" s="365"/>
      <c r="Q6" s="365"/>
      <c r="R6" s="365"/>
    </row>
    <row r="7" spans="1:18" x14ac:dyDescent="0.35">
      <c r="A7" s="362" t="s">
        <v>88</v>
      </c>
      <c r="B7" s="362"/>
      <c r="C7" s="362"/>
      <c r="D7" s="362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35">
      <c r="A8" s="36"/>
      <c r="B8" s="362" t="s">
        <v>89</v>
      </c>
      <c r="C8" s="362"/>
      <c r="D8" s="362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35">
      <c r="A9" s="36"/>
      <c r="B9" s="362" t="s">
        <v>90</v>
      </c>
      <c r="C9" s="362"/>
      <c r="D9" s="362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35">
      <c r="A10" s="36"/>
      <c r="B10" s="362" t="s">
        <v>91</v>
      </c>
      <c r="C10" s="362"/>
      <c r="D10" s="362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35">
      <c r="A11" s="36"/>
      <c r="B11" s="362" t="s">
        <v>58</v>
      </c>
      <c r="C11" s="362"/>
      <c r="D11" s="362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35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35">
      <c r="A13" s="36"/>
      <c r="B13" s="36"/>
      <c r="C13" s="362" t="s">
        <v>34</v>
      </c>
      <c r="D13" s="362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35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7" x14ac:dyDescent="0.35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35">
      <c r="A17" t="s">
        <v>103</v>
      </c>
    </row>
    <row r="19" spans="1:20" x14ac:dyDescent="0.35">
      <c r="A19" s="36"/>
      <c r="B19" s="362" t="s">
        <v>89</v>
      </c>
      <c r="C19" s="362"/>
      <c r="D19" s="362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35">
      <c r="A20" s="36"/>
      <c r="B20" s="362" t="s">
        <v>90</v>
      </c>
      <c r="C20" s="362"/>
      <c r="D20" s="362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35">
      <c r="A21" s="36"/>
      <c r="B21" s="362" t="s">
        <v>91</v>
      </c>
      <c r="C21" s="362"/>
      <c r="D21" s="362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35">
      <c r="A22" s="36"/>
      <c r="B22" s="362" t="s">
        <v>58</v>
      </c>
      <c r="C22" s="362"/>
      <c r="D22" s="362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35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35">
      <c r="A27" s="24"/>
      <c r="B27" s="10"/>
      <c r="C27" s="24"/>
      <c r="D27" s="24"/>
      <c r="E27" s="24"/>
      <c r="F27" s="24"/>
      <c r="G27" s="24"/>
      <c r="H27" s="363" t="s">
        <v>95</v>
      </c>
      <c r="I27" s="363"/>
      <c r="J27" s="363"/>
      <c r="K27" s="363"/>
      <c r="L27" s="363"/>
      <c r="M27" s="363"/>
      <c r="N27" s="363"/>
      <c r="O27" s="363"/>
      <c r="P27" s="363"/>
      <c r="Q27" s="363"/>
      <c r="R27" s="363"/>
      <c r="S27" s="363"/>
      <c r="T27" s="363"/>
    </row>
    <row r="28" spans="1:20" x14ac:dyDescent="0.35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5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35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35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35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35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35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35">
      <c r="A37" s="10"/>
      <c r="B37" s="10"/>
      <c r="C37" s="10"/>
      <c r="D37" s="10"/>
      <c r="E37" s="10"/>
      <c r="F37" s="364" t="s">
        <v>99</v>
      </c>
      <c r="G37" s="364"/>
      <c r="H37" s="364"/>
      <c r="I37" s="364"/>
      <c r="J37" s="364"/>
      <c r="K37" s="364"/>
      <c r="L37" s="364"/>
      <c r="M37" s="364"/>
      <c r="N37" s="364"/>
      <c r="O37" s="364"/>
      <c r="P37" s="364"/>
      <c r="Q37" s="364"/>
      <c r="R37" s="364"/>
    </row>
    <row r="38" spans="1:18" ht="17" x14ac:dyDescent="0.35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35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35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35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35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35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35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35">
      <c r="A48" s="10"/>
      <c r="B48" s="24"/>
      <c r="C48" s="10"/>
      <c r="D48" s="10"/>
      <c r="E48" s="10"/>
      <c r="F48" s="363" t="s">
        <v>101</v>
      </c>
      <c r="G48" s="363"/>
      <c r="H48" s="363"/>
      <c r="I48" s="363"/>
      <c r="J48" s="363"/>
      <c r="K48" s="363"/>
      <c r="L48" s="363"/>
      <c r="M48" s="363"/>
      <c r="N48" s="363"/>
      <c r="O48" s="363"/>
      <c r="P48" s="363"/>
      <c r="Q48" s="363"/>
      <c r="R48" s="363"/>
    </row>
    <row r="49" spans="1:18" x14ac:dyDescent="0.35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35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35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35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35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35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35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defaultColWidth="8.81640625" defaultRowHeight="14.5" x14ac:dyDescent="0.35"/>
  <sheetData>
    <row r="1" spans="1:19" s="6" customFormat="1" ht="15" customHeight="1" x14ac:dyDescent="0.35">
      <c r="A1" s="4" t="s">
        <v>30</v>
      </c>
      <c r="B1" s="5"/>
      <c r="C1" s="5"/>
      <c r="D1" s="5"/>
      <c r="E1" s="5"/>
    </row>
    <row r="2" spans="1:19" s="6" customFormat="1" ht="15" customHeight="1" x14ac:dyDescent="0.3">
      <c r="A2" s="7" t="s">
        <v>31</v>
      </c>
      <c r="B2" s="8"/>
      <c r="C2" s="8"/>
      <c r="D2" s="8"/>
      <c r="E2" s="8"/>
    </row>
    <row r="3" spans="1:19" s="6" customFormat="1" ht="15" customHeight="1" x14ac:dyDescent="0.3"/>
    <row r="4" spans="1:19" s="6" customFormat="1" ht="15" customHeight="1" x14ac:dyDescent="0.3"/>
    <row r="5" spans="1:19" s="6" customFormat="1" ht="30" customHeight="1" x14ac:dyDescent="0.3">
      <c r="A5" s="343" t="s">
        <v>32</v>
      </c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344"/>
      <c r="O5" s="344"/>
      <c r="P5" s="344"/>
      <c r="Q5" s="344"/>
      <c r="R5" s="344"/>
      <c r="S5" s="344"/>
    </row>
    <row r="6" spans="1:19" s="6" customFormat="1" ht="15" customHeight="1" x14ac:dyDescent="0.3">
      <c r="A6" s="345" t="s">
        <v>33</v>
      </c>
      <c r="B6" s="345"/>
      <c r="C6" s="345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5"/>
    </row>
    <row r="7" spans="1:19" s="6" customFormat="1" ht="15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3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6" t="s">
        <v>34</v>
      </c>
      <c r="S8" s="347"/>
    </row>
    <row r="9" spans="1:19" s="6" customFormat="1" ht="15" customHeight="1" x14ac:dyDescent="0.3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3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3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3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3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3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3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3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3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3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3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3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3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3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3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3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3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3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3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3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3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3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3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3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3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3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3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3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3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3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3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3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3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3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3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3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3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3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3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3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3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3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3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3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3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3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3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3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3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3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3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3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3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3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3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3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3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3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3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3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3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3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3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3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3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3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3">
      <c r="A75" s="10"/>
      <c r="B75" s="10"/>
      <c r="C75" s="10"/>
      <c r="D75" s="366" t="s">
        <v>42</v>
      </c>
      <c r="E75" s="367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3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3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3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3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3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3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3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3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3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3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3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3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3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3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3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3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cac5d118-ba7b-4807-b700-df6f95cfff50"/>
    <ds:schemaRef ds:uri="http://schemas.microsoft.com/office/2006/metadata/properties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Sophia Campbell</cp:lastModifiedBy>
  <dcterms:created xsi:type="dcterms:W3CDTF">2020-09-09T22:29:58Z</dcterms:created>
  <dcterms:modified xsi:type="dcterms:W3CDTF">2021-04-29T21:30:53Z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