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einer\The Brookings Institution\Hutchins Center Team - Documents\Projects\Fiscal Impact\development\"/>
    </mc:Choice>
  </mc:AlternateContent>
  <xr:revisionPtr revIDLastSave="289" documentId="8_{CD452E15-06DE-4824-BD16-7AF21137B326}" xr6:coauthVersionLast="36" xr6:coauthVersionMax="36" xr10:uidLastSave="{3CD4552F-4D5F-4A7A-BE99-7B37325A9721}"/>
  <bookViews>
    <workbookView xWindow="0" yWindow="0" windowWidth="27156" windowHeight="5352" xr2:uid="{C064A6B5-EC89-4B75-89EB-0499C9EFC13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5" i="2" l="1"/>
  <c r="C35" i="2"/>
  <c r="D35" i="2" s="1"/>
  <c r="E35" i="2" s="1"/>
  <c r="F35" i="2" s="1"/>
  <c r="G35" i="2" s="1"/>
  <c r="B36" i="2"/>
  <c r="B29" i="2"/>
  <c r="B37" i="2"/>
  <c r="C37" i="2"/>
  <c r="D37" i="2"/>
  <c r="C36" i="2"/>
  <c r="D36" i="2"/>
  <c r="E37" i="2"/>
  <c r="F37" i="2" s="1"/>
  <c r="G37" i="2" s="1"/>
  <c r="E36" i="2"/>
  <c r="F36" i="2" s="1"/>
  <c r="G36" i="2" s="1"/>
  <c r="B28" i="2"/>
  <c r="B34" i="2" s="1"/>
  <c r="C34" i="2" s="1"/>
  <c r="C17" i="1"/>
  <c r="O17" i="1"/>
  <c r="B16" i="2"/>
  <c r="B18" i="2"/>
  <c r="B24" i="2" s="1"/>
  <c r="C18" i="2" l="1"/>
  <c r="D18" i="2" s="1"/>
  <c r="E18" i="2"/>
  <c r="F18" i="2" s="1"/>
  <c r="G18" i="2" s="1"/>
  <c r="G24" i="2" s="1"/>
  <c r="C15" i="2"/>
  <c r="D15" i="2"/>
  <c r="E15" i="2"/>
  <c r="F15" i="2"/>
  <c r="G15" i="2"/>
  <c r="B15" i="2"/>
  <c r="B17" i="2" s="1"/>
  <c r="B22" i="2" s="1"/>
  <c r="C23" i="1"/>
  <c r="B41" i="2" l="1"/>
  <c r="C24" i="2"/>
  <c r="F24" i="2"/>
  <c r="D24" i="2"/>
  <c r="E24" i="2"/>
  <c r="C16" i="2"/>
  <c r="E23" i="1"/>
  <c r="F19" i="1"/>
  <c r="F17" i="1"/>
  <c r="D6" i="1"/>
  <c r="D34" i="2" l="1"/>
  <c r="C41" i="2"/>
  <c r="C17" i="2"/>
  <c r="C22" i="2" s="1"/>
  <c r="D16" i="2"/>
  <c r="O16" i="1"/>
  <c r="L34" i="1"/>
  <c r="J34" i="1"/>
  <c r="I34" i="1"/>
  <c r="K34" i="1"/>
  <c r="J32" i="1"/>
  <c r="K32" i="1"/>
  <c r="L32" i="1"/>
  <c r="I32" i="1"/>
  <c r="J29" i="1"/>
  <c r="K29" i="1"/>
  <c r="L29" i="1"/>
  <c r="J30" i="1"/>
  <c r="K30" i="1"/>
  <c r="L30" i="1"/>
  <c r="J31" i="1"/>
  <c r="K31" i="1"/>
  <c r="L31" i="1"/>
  <c r="I31" i="1"/>
  <c r="I30" i="1"/>
  <c r="I29" i="1"/>
  <c r="E16" i="1"/>
  <c r="C16" i="1"/>
  <c r="J28" i="1"/>
  <c r="K28" i="1"/>
  <c r="L28" i="1"/>
  <c r="I28" i="1"/>
  <c r="L27" i="1"/>
  <c r="K27" i="1"/>
  <c r="J27" i="1"/>
  <c r="I27" i="1"/>
  <c r="F66" i="1"/>
  <c r="E66" i="1"/>
  <c r="D66" i="1"/>
  <c r="C66" i="1"/>
  <c r="C15" i="1"/>
  <c r="E15" i="1"/>
  <c r="E34" i="2" l="1"/>
  <c r="D41" i="2"/>
  <c r="E16" i="2"/>
  <c r="D17" i="2"/>
  <c r="D22" i="2" s="1"/>
  <c r="C19" i="1"/>
  <c r="E19" i="1"/>
  <c r="F34" i="2" l="1"/>
  <c r="E41" i="2"/>
  <c r="F16" i="2"/>
  <c r="E17" i="2"/>
  <c r="E22" i="2" s="1"/>
  <c r="C6" i="1"/>
  <c r="F6" i="1"/>
  <c r="G6" i="1"/>
  <c r="B6" i="1"/>
  <c r="E4" i="1"/>
  <c r="D4" i="1"/>
  <c r="E3" i="1"/>
  <c r="D3" i="1"/>
  <c r="G34" i="2" l="1"/>
  <c r="G41" i="2" s="1"/>
  <c r="F41" i="2"/>
  <c r="G16" i="2"/>
  <c r="G17" i="2" s="1"/>
  <c r="G22" i="2" s="1"/>
  <c r="F17" i="2"/>
  <c r="F22" i="2" s="1"/>
  <c r="E6" i="1"/>
</calcChain>
</file>

<file path=xl/sharedStrings.xml><?xml version="1.0" encoding="utf-8"?>
<sst xmlns="http://schemas.openxmlformats.org/spreadsheetml/2006/main" count="84" uniqueCount="69">
  <si>
    <t>Outlays</t>
  </si>
  <si>
    <t>BA</t>
  </si>
  <si>
    <t>OL</t>
  </si>
  <si>
    <t>CAPS</t>
  </si>
  <si>
    <t>Adj</t>
  </si>
  <si>
    <t>TOTAL</t>
  </si>
  <si>
    <t>Aug 2019 Baseline</t>
  </si>
  <si>
    <t>Total December 2019</t>
  </si>
  <si>
    <t>HR 1865</t>
  </si>
  <si>
    <t>HR 1158</t>
  </si>
  <si>
    <t>Other spending</t>
  </si>
  <si>
    <t>Medicare</t>
  </si>
  <si>
    <t>Medicaid</t>
  </si>
  <si>
    <t>Revenues</t>
  </si>
  <si>
    <t>** call it all excise taxes</t>
  </si>
  <si>
    <t>HR 1854 I-P</t>
  </si>
  <si>
    <t>Total Deficit Effect of I-P</t>
  </si>
  <si>
    <t>Other</t>
  </si>
  <si>
    <t>MISC</t>
  </si>
  <si>
    <t>Division N</t>
  </si>
  <si>
    <t>medicare</t>
  </si>
  <si>
    <t>medicaid</t>
  </si>
  <si>
    <t>Human Services</t>
  </si>
  <si>
    <t>Comm health Ce</t>
  </si>
  <si>
    <t>Misc</t>
  </si>
  <si>
    <t>Check Totals</t>
  </si>
  <si>
    <t>MILLIONS</t>
  </si>
  <si>
    <t>Division Q</t>
  </si>
  <si>
    <t>Spending</t>
  </si>
  <si>
    <t>Taxes</t>
  </si>
  <si>
    <t>lets call 1/2 personal and 1/2 corporate for now</t>
  </si>
  <si>
    <t>Total def of I-Q</t>
  </si>
  <si>
    <t>Total Spending Changes 2020</t>
  </si>
  <si>
    <t>17.4 for FEMA</t>
  </si>
  <si>
    <t>$6.7 emergency natural disaster</t>
  </si>
  <si>
    <t>DIVISION N - HEALTH AND HUMAN SERVICES EXTENDERS</t>
  </si>
  <si>
    <t>DIVISION O - SETTING EVERY COMMUNITY UP FOR RETIREMENT</t>
  </si>
  <si>
    <t>Estimated raise of CAP ADJUSTMENTS</t>
  </si>
  <si>
    <t>--</t>
  </si>
  <si>
    <t xml:space="preserve">Projected Real Potential </t>
  </si>
  <si>
    <t>Projected Inflation</t>
  </si>
  <si>
    <t>Excise (Non-corporate taxes)</t>
  </si>
  <si>
    <t>Corporate Taxes</t>
  </si>
  <si>
    <t>Non-Corporate Taxes</t>
  </si>
  <si>
    <t>Other (Non-corporate taxes)</t>
  </si>
  <si>
    <r>
      <t xml:space="preserve">DIVISION Q - REVENUE PROVISIONS - </t>
    </r>
    <r>
      <rPr>
        <b/>
        <sz val="11"/>
        <color theme="1"/>
        <rFont val="Calibri"/>
        <family val="2"/>
        <scheme val="minor"/>
      </rPr>
      <t>Most provisions sunset 12/31/ 2020</t>
    </r>
  </si>
  <si>
    <t>FY</t>
  </si>
  <si>
    <t>ECONOMIC VARS (percent)</t>
  </si>
  <si>
    <t>REVENUE PROVISIONS, Millions of Dollars</t>
  </si>
  <si>
    <t>SPENDING PROVISIONS, Millions of Dollars</t>
  </si>
  <si>
    <t>REVENUE TOTALS</t>
  </si>
  <si>
    <t>Corporate Taxes - NEW</t>
  </si>
  <si>
    <t>Corporate Taxes - OLD</t>
  </si>
  <si>
    <t>Non-Corporate Taxes - OLD</t>
  </si>
  <si>
    <t>Non-Corporate Taxes - NEW</t>
  </si>
  <si>
    <t>REVENUE ADD-ONS, assuming sunsetting provisions do not sunset</t>
  </si>
  <si>
    <t>SPENDING ADD-ONS, assuming cap adjustments continue to rise</t>
  </si>
  <si>
    <t>SPENDING TOTALS, assuming cap adjustments continue to rise</t>
  </si>
  <si>
    <t>Federal Purchases - OLD</t>
  </si>
  <si>
    <t>Federal Purchases - NEW</t>
  </si>
  <si>
    <t>Took the revenue line items straight from JCT: https://www.jct.gov/publications.html?func=startdown&amp;id=5237</t>
  </si>
  <si>
    <t>Estimated "Other" Discretionary Appropriations</t>
  </si>
  <si>
    <t>Estimated raise of DISCRETIONARY SPENDING</t>
  </si>
  <si>
    <t>Estimated Medicare Appropriations</t>
  </si>
  <si>
    <t>Estimated  Medicaid Appropriations</t>
  </si>
  <si>
    <t>Estimated raise of MEDICARE SPENDINNG</t>
  </si>
  <si>
    <t>Estimated raise of MEDICAID SPENDINNG</t>
  </si>
  <si>
    <t>Estimated "Other" Transfer Appropriations</t>
  </si>
  <si>
    <r>
      <t xml:space="preserve">Estimated raise of OTHER TRANSFER SPENDING - </t>
    </r>
    <r>
      <rPr>
        <b/>
        <sz val="11"/>
        <color theme="1"/>
        <rFont val="Calibri"/>
        <family val="2"/>
        <scheme val="minor"/>
      </rPr>
      <t>we'll put this into health spending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</si>
</sst>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left" indent="1"/>
    </xf>
    <xf numFmtId="3" fontId="0" fillId="0" borderId="0" xfId="0" applyNumberFormat="1"/>
    <xf numFmtId="0" fontId="1" fillId="0" borderId="0" xfId="0" applyFont="1"/>
    <xf numFmtId="3" fontId="0" fillId="0" borderId="2" xfId="0" applyNumberFormat="1" applyBorder="1"/>
    <xf numFmtId="3" fontId="0" fillId="0" borderId="0" xfId="0" applyNumberFormat="1" applyBorder="1"/>
    <xf numFmtId="3" fontId="1" fillId="0" borderId="0" xfId="0" applyNumberFormat="1" applyFont="1" applyBorder="1"/>
    <xf numFmtId="3" fontId="0" fillId="4" borderId="0" xfId="0" applyNumberFormat="1" applyFill="1" applyBorder="1"/>
    <xf numFmtId="0" fontId="0" fillId="0" borderId="0" xfId="0" applyBorder="1"/>
    <xf numFmtId="3" fontId="0" fillId="0" borderId="7" xfId="0" applyNumberFormat="1" applyBorder="1"/>
    <xf numFmtId="3" fontId="0" fillId="0" borderId="0" xfId="0" quotePrefix="1" applyNumberFormat="1" applyBorder="1" applyAlignment="1">
      <alignment horizontal="center"/>
    </xf>
    <xf numFmtId="3" fontId="0" fillId="4" borderId="7" xfId="0" applyNumberFormat="1" applyFill="1" applyBorder="1"/>
    <xf numFmtId="0" fontId="1" fillId="0" borderId="2" xfId="0" applyFont="1" applyBorder="1" applyAlignment="1">
      <alignment horizontal="center"/>
    </xf>
    <xf numFmtId="164" fontId="0" fillId="0" borderId="0" xfId="0" applyNumberFormat="1" applyBorder="1"/>
    <xf numFmtId="164" fontId="0" fillId="0" borderId="7" xfId="0" applyNumberForma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Border="1"/>
    <xf numFmtId="0" fontId="5" fillId="0" borderId="5" xfId="0" applyFont="1" applyBorder="1"/>
    <xf numFmtId="164" fontId="5" fillId="0" borderId="0" xfId="0" applyNumberFormat="1" applyFont="1" applyBorder="1"/>
    <xf numFmtId="164" fontId="5" fillId="0" borderId="5" xfId="0" applyNumberFormat="1" applyFont="1" applyBorder="1"/>
    <xf numFmtId="164" fontId="5" fillId="0" borderId="7" xfId="0" applyNumberFormat="1" applyFont="1" applyBorder="1"/>
    <xf numFmtId="164" fontId="5" fillId="0" borderId="8" xfId="0" applyNumberFormat="1" applyFont="1" applyBorder="1"/>
    <xf numFmtId="3" fontId="5" fillId="0" borderId="0" xfId="0" applyNumberFormat="1" applyFont="1"/>
    <xf numFmtId="3" fontId="5" fillId="0" borderId="2" xfId="0" applyNumberFormat="1" applyFont="1" applyBorder="1"/>
    <xf numFmtId="3" fontId="5" fillId="0" borderId="3" xfId="0" applyNumberFormat="1" applyFont="1" applyBorder="1"/>
    <xf numFmtId="3" fontId="5" fillId="0" borderId="0" xfId="0" applyNumberFormat="1" applyFont="1" applyBorder="1"/>
    <xf numFmtId="3" fontId="5" fillId="0" borderId="5" xfId="0" applyNumberFormat="1" applyFont="1" applyBorder="1"/>
    <xf numFmtId="3" fontId="4" fillId="0" borderId="0" xfId="0" applyNumberFormat="1" applyFont="1" applyBorder="1"/>
    <xf numFmtId="3" fontId="4" fillId="0" borderId="5" xfId="0" applyNumberFormat="1" applyFont="1" applyBorder="1"/>
    <xf numFmtId="3" fontId="5" fillId="4" borderId="0" xfId="0" applyNumberFormat="1" applyFont="1" applyFill="1" applyBorder="1"/>
    <xf numFmtId="3" fontId="5" fillId="4" borderId="5" xfId="0" applyNumberFormat="1" applyFont="1" applyFill="1" applyBorder="1"/>
    <xf numFmtId="3" fontId="5" fillId="0" borderId="7" xfId="0" applyNumberFormat="1" applyFont="1" applyBorder="1"/>
    <xf numFmtId="3" fontId="5" fillId="0" borderId="8" xfId="0" applyNumberFormat="1" applyFont="1" applyBorder="1"/>
    <xf numFmtId="3" fontId="5" fillId="0" borderId="0" xfId="0" quotePrefix="1" applyNumberFormat="1" applyFont="1" applyBorder="1" applyAlignment="1">
      <alignment horizontal="center"/>
    </xf>
    <xf numFmtId="3" fontId="5" fillId="0" borderId="5" xfId="0" quotePrefix="1" applyNumberFormat="1" applyFont="1" applyBorder="1" applyAlignment="1">
      <alignment horizontal="center"/>
    </xf>
    <xf numFmtId="3" fontId="5" fillId="4" borderId="7" xfId="0" applyNumberFormat="1" applyFont="1" applyFill="1" applyBorder="1"/>
    <xf numFmtId="3" fontId="5" fillId="4" borderId="8" xfId="0" applyNumberFormat="1" applyFont="1" applyFill="1" applyBorder="1"/>
    <xf numFmtId="0" fontId="5" fillId="0" borderId="0" xfId="0" applyFont="1"/>
    <xf numFmtId="0" fontId="2" fillId="0" borderId="0" xfId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1" fontId="0" fillId="0" borderId="0" xfId="3" applyNumberFormat="1" applyFont="1" applyBorder="1"/>
    <xf numFmtId="1" fontId="0" fillId="4" borderId="0" xfId="3" applyNumberFormat="1" applyFont="1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">
    <cellStyle name="Comma" xfId="3" builtinId="3"/>
    <cellStyle name="Hyperlink" xfId="1" builtinId="8"/>
    <cellStyle name="Normal" xfId="0" builtinId="0"/>
    <cellStyle name="Normal 2 3" xfId="2" xr:uid="{388B99A1-9706-48CB-914F-81BB4E84B262}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ct.gov/publications.html?func=startdown&amp;id=523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88F5-9B81-4B26-872D-CA867191E4E1}">
  <dimension ref="A3:G41"/>
  <sheetViews>
    <sheetView tabSelected="1" topLeftCell="A28" workbookViewId="0">
      <selection activeCell="B42" sqref="B42"/>
    </sheetView>
  </sheetViews>
  <sheetFormatPr defaultRowHeight="14.4" x14ac:dyDescent="0.3"/>
  <cols>
    <col min="1" max="1" width="48.109375" style="48" customWidth="1"/>
    <col min="2" max="2" width="9.5546875" bestFit="1" customWidth="1"/>
    <col min="3" max="4" width="10" bestFit="1" customWidth="1"/>
    <col min="5" max="7" width="9.88671875" style="42" bestFit="1" customWidth="1"/>
  </cols>
  <sheetData>
    <row r="3" spans="1:7" ht="43.2" x14ac:dyDescent="0.3">
      <c r="A3" s="43" t="s">
        <v>60</v>
      </c>
      <c r="B3" s="3" t="s">
        <v>46</v>
      </c>
      <c r="C3" s="3"/>
      <c r="D3" s="3"/>
      <c r="E3" s="3"/>
      <c r="F3" s="3"/>
      <c r="G3" s="3"/>
    </row>
    <row r="4" spans="1:7" x14ac:dyDescent="0.3">
      <c r="A4" s="44"/>
      <c r="B4" s="16">
        <v>2020</v>
      </c>
      <c r="C4" s="16">
        <v>2021</v>
      </c>
      <c r="D4" s="16">
        <v>2022</v>
      </c>
      <c r="E4" s="19">
        <v>2023</v>
      </c>
      <c r="F4" s="19">
        <v>2024</v>
      </c>
      <c r="G4" s="20">
        <v>2025</v>
      </c>
    </row>
    <row r="5" spans="1:7" x14ac:dyDescent="0.3">
      <c r="A5" s="45" t="s">
        <v>47</v>
      </c>
      <c r="B5" s="12"/>
      <c r="C5" s="12"/>
      <c r="D5" s="12"/>
      <c r="E5" s="21"/>
      <c r="F5" s="21"/>
      <c r="G5" s="22"/>
    </row>
    <row r="6" spans="1:7" x14ac:dyDescent="0.3">
      <c r="A6" s="46" t="s">
        <v>39</v>
      </c>
      <c r="B6" s="17">
        <v>2.1120000000000001</v>
      </c>
      <c r="C6" s="17">
        <v>2.0920000000000001</v>
      </c>
      <c r="D6" s="17">
        <v>2.0510000000000002</v>
      </c>
      <c r="E6" s="23">
        <v>1.9910000000000001</v>
      </c>
      <c r="F6" s="23">
        <v>1.917</v>
      </c>
      <c r="G6" s="24">
        <v>1.84</v>
      </c>
    </row>
    <row r="7" spans="1:7" x14ac:dyDescent="0.3">
      <c r="A7" s="47" t="s">
        <v>40</v>
      </c>
      <c r="B7" s="18">
        <v>2.1030000000000002</v>
      </c>
      <c r="C7" s="18">
        <v>2.0859999999999999</v>
      </c>
      <c r="D7" s="18">
        <v>2.0680000000000001</v>
      </c>
      <c r="E7" s="25">
        <v>2.044</v>
      </c>
      <c r="F7" s="25">
        <v>2.0289999999999999</v>
      </c>
      <c r="G7" s="26">
        <v>2.0230000000000001</v>
      </c>
    </row>
    <row r="8" spans="1:7" x14ac:dyDescent="0.3">
      <c r="B8" s="6"/>
      <c r="C8" s="6"/>
      <c r="D8" s="6"/>
      <c r="E8" s="27"/>
      <c r="F8" s="27"/>
      <c r="G8" s="27"/>
    </row>
    <row r="9" spans="1:7" x14ac:dyDescent="0.3">
      <c r="A9" s="49" t="s">
        <v>48</v>
      </c>
      <c r="B9" s="8"/>
      <c r="C9" s="8"/>
      <c r="D9" s="8"/>
      <c r="E9" s="28"/>
      <c r="F9" s="28"/>
      <c r="G9" s="29"/>
    </row>
    <row r="10" spans="1:7" ht="28.8" x14ac:dyDescent="0.3">
      <c r="A10" s="46" t="s">
        <v>35</v>
      </c>
      <c r="B10" s="9">
        <v>-1589</v>
      </c>
      <c r="C10" s="9">
        <v>-15912</v>
      </c>
      <c r="D10" s="9">
        <v>-23417</v>
      </c>
      <c r="E10" s="30">
        <v>-32298</v>
      </c>
      <c r="F10" s="30">
        <v>-36746</v>
      </c>
      <c r="G10" s="31">
        <v>-41945</v>
      </c>
    </row>
    <row r="11" spans="1:7" ht="28.8" x14ac:dyDescent="0.3">
      <c r="A11" s="46" t="s">
        <v>36</v>
      </c>
      <c r="B11" s="9">
        <v>-973</v>
      </c>
      <c r="C11" s="9">
        <v>-574</v>
      </c>
      <c r="D11" s="9">
        <v>-282</v>
      </c>
      <c r="E11" s="30">
        <v>-146</v>
      </c>
      <c r="F11" s="30">
        <v>-39</v>
      </c>
      <c r="G11" s="31">
        <v>26</v>
      </c>
    </row>
    <row r="12" spans="1:7" ht="28.8" x14ac:dyDescent="0.3">
      <c r="A12" s="50" t="s">
        <v>45</v>
      </c>
      <c r="B12" s="9">
        <v>-32483</v>
      </c>
      <c r="C12" s="9">
        <v>-10506</v>
      </c>
      <c r="D12" s="9">
        <v>-4501</v>
      </c>
      <c r="E12" s="30">
        <v>-1659</v>
      </c>
      <c r="F12" s="30">
        <v>-568</v>
      </c>
      <c r="G12" s="31">
        <v>-819</v>
      </c>
    </row>
    <row r="13" spans="1:7" x14ac:dyDescent="0.3">
      <c r="A13" s="46"/>
      <c r="B13" s="9"/>
      <c r="C13" s="9"/>
      <c r="D13" s="9"/>
      <c r="E13" s="30"/>
      <c r="F13" s="30"/>
      <c r="G13" s="31"/>
    </row>
    <row r="14" spans="1:7" s="7" customFormat="1" ht="28.8" x14ac:dyDescent="0.3">
      <c r="A14" s="45" t="s">
        <v>55</v>
      </c>
      <c r="B14" s="10"/>
      <c r="C14" s="10"/>
      <c r="D14" s="10"/>
      <c r="E14" s="32"/>
      <c r="F14" s="32"/>
      <c r="G14" s="33"/>
    </row>
    <row r="15" spans="1:7" x14ac:dyDescent="0.3">
      <c r="A15" s="46" t="s">
        <v>41</v>
      </c>
      <c r="B15" s="9">
        <f>B10</f>
        <v>-1589</v>
      </c>
      <c r="C15" s="9">
        <f t="shared" ref="C15:G15" si="0">C10</f>
        <v>-15912</v>
      </c>
      <c r="D15" s="9">
        <f t="shared" si="0"/>
        <v>-23417</v>
      </c>
      <c r="E15" s="30">
        <f t="shared" si="0"/>
        <v>-32298</v>
      </c>
      <c r="F15" s="30">
        <f t="shared" si="0"/>
        <v>-36746</v>
      </c>
      <c r="G15" s="31">
        <f t="shared" si="0"/>
        <v>-41945</v>
      </c>
    </row>
    <row r="16" spans="1:7" x14ac:dyDescent="0.3">
      <c r="A16" s="46" t="s">
        <v>44</v>
      </c>
      <c r="B16" s="9">
        <f>0.5*(B12+B11)</f>
        <v>-16728</v>
      </c>
      <c r="C16" s="11">
        <f>B16*(1+(C6+C7)/100)</f>
        <v>-17426.895839999997</v>
      </c>
      <c r="D16" s="11">
        <f>C16*(1+(D6+D7)/100)</f>
        <v>-18144.709679649597</v>
      </c>
      <c r="E16" s="34">
        <f>D16*(1+(E6+E7)/100)</f>
        <v>-18876.848715223459</v>
      </c>
      <c r="F16" s="34">
        <f>E16*(1+(F6+F7)/100)</f>
        <v>-19621.72916552618</v>
      </c>
      <c r="G16" s="35">
        <f>F16*(1+(G6+G7)/100)</f>
        <v>-20379.716563190454</v>
      </c>
    </row>
    <row r="17" spans="1:7" x14ac:dyDescent="0.3">
      <c r="A17" s="46" t="s">
        <v>43</v>
      </c>
      <c r="B17" s="9">
        <f>B16+B15</f>
        <v>-18317</v>
      </c>
      <c r="C17" s="9">
        <f>C16+C15</f>
        <v>-33338.895839999997</v>
      </c>
      <c r="D17" s="9">
        <f t="shared" ref="D17:G17" si="1">D16+D15</f>
        <v>-41561.709679649597</v>
      </c>
      <c r="E17" s="30">
        <f t="shared" si="1"/>
        <v>-51174.848715223459</v>
      </c>
      <c r="F17" s="30">
        <f t="shared" si="1"/>
        <v>-56367.72916552618</v>
      </c>
      <c r="G17" s="31">
        <f t="shared" si="1"/>
        <v>-62324.71656319045</v>
      </c>
    </row>
    <row r="18" spans="1:7" x14ac:dyDescent="0.3">
      <c r="A18" s="46" t="s">
        <v>42</v>
      </c>
      <c r="B18" s="9">
        <f>0.5*B12</f>
        <v>-16241.5</v>
      </c>
      <c r="C18" s="11">
        <f>B18*(1+(C6+C7)/100)</f>
        <v>-16920.069869999999</v>
      </c>
      <c r="D18" s="11">
        <f>C18*(1+(D6+D7)/100)</f>
        <v>-17617.007547945301</v>
      </c>
      <c r="E18" s="34">
        <f>D18*(1+(E6+E7)/100)</f>
        <v>-18327.853802504895</v>
      </c>
      <c r="F18" s="34">
        <f>E18*(1+(F6+F7)/100)</f>
        <v>-19051.070913551739</v>
      </c>
      <c r="G18" s="35">
        <f>F18*(1+(G6+G7)/100)</f>
        <v>-19787.013782942242</v>
      </c>
    </row>
    <row r="19" spans="1:7" x14ac:dyDescent="0.3">
      <c r="A19" s="46"/>
      <c r="B19" s="12"/>
      <c r="C19" s="12"/>
      <c r="D19" s="12"/>
      <c r="E19" s="21"/>
      <c r="F19" s="21"/>
      <c r="G19" s="22"/>
    </row>
    <row r="20" spans="1:7" x14ac:dyDescent="0.3">
      <c r="A20" s="45" t="s">
        <v>50</v>
      </c>
      <c r="B20" s="10"/>
      <c r="C20" s="10"/>
      <c r="D20" s="10"/>
      <c r="E20" s="32"/>
      <c r="F20" s="32"/>
      <c r="G20" s="33"/>
    </row>
    <row r="21" spans="1:7" x14ac:dyDescent="0.3">
      <c r="A21" s="46" t="s">
        <v>53</v>
      </c>
      <c r="B21" s="9">
        <v>3414000</v>
      </c>
      <c r="C21" s="9">
        <v>3549000</v>
      </c>
      <c r="D21" s="9">
        <v>3693000</v>
      </c>
      <c r="E21" s="30">
        <v>3851000</v>
      </c>
      <c r="F21" s="30">
        <v>4052000</v>
      </c>
      <c r="G21" s="31">
        <v>4226000</v>
      </c>
    </row>
    <row r="22" spans="1:7" x14ac:dyDescent="0.3">
      <c r="A22" s="46" t="s">
        <v>54</v>
      </c>
      <c r="B22" s="9">
        <f>B21+B17</f>
        <v>3395683</v>
      </c>
      <c r="C22" s="9">
        <f t="shared" ref="C22:G22" si="2">C21+C17</f>
        <v>3515661.1041600001</v>
      </c>
      <c r="D22" s="9">
        <f t="shared" si="2"/>
        <v>3651438.2903203503</v>
      </c>
      <c r="E22" s="30">
        <f t="shared" si="2"/>
        <v>3799825.1512847766</v>
      </c>
      <c r="F22" s="30">
        <f t="shared" si="2"/>
        <v>3995632.2708344739</v>
      </c>
      <c r="G22" s="31">
        <f t="shared" si="2"/>
        <v>4163675.2834368097</v>
      </c>
    </row>
    <row r="23" spans="1:7" x14ac:dyDescent="0.3">
      <c r="A23" s="46" t="s">
        <v>52</v>
      </c>
      <c r="B23" s="9">
        <v>243000</v>
      </c>
      <c r="C23" s="9">
        <v>261000</v>
      </c>
      <c r="D23" s="9">
        <v>286000</v>
      </c>
      <c r="E23" s="30">
        <v>317000</v>
      </c>
      <c r="F23" s="30">
        <v>340000</v>
      </c>
      <c r="G23" s="31">
        <v>350000</v>
      </c>
    </row>
    <row r="24" spans="1:7" x14ac:dyDescent="0.3">
      <c r="A24" s="47" t="s">
        <v>51</v>
      </c>
      <c r="B24" s="13">
        <f>B23+B18</f>
        <v>226758.5</v>
      </c>
      <c r="C24" s="13">
        <f t="shared" ref="C24:G24" si="3">C23+C18</f>
        <v>244079.93012999999</v>
      </c>
      <c r="D24" s="13">
        <f t="shared" si="3"/>
        <v>268382.99245205469</v>
      </c>
      <c r="E24" s="36">
        <f t="shared" si="3"/>
        <v>298672.14619749511</v>
      </c>
      <c r="F24" s="36">
        <f t="shared" si="3"/>
        <v>320948.92908644828</v>
      </c>
      <c r="G24" s="37">
        <f t="shared" si="3"/>
        <v>330212.98621705774</v>
      </c>
    </row>
    <row r="26" spans="1:7" x14ac:dyDescent="0.3">
      <c r="A26" s="49" t="s">
        <v>49</v>
      </c>
      <c r="B26" s="8"/>
      <c r="C26" s="8"/>
      <c r="D26" s="8"/>
      <c r="E26" s="28"/>
      <c r="F26" s="28"/>
      <c r="G26" s="29"/>
    </row>
    <row r="27" spans="1:7" x14ac:dyDescent="0.3">
      <c r="A27" s="46" t="s">
        <v>37</v>
      </c>
      <c r="B27" s="9">
        <v>12000</v>
      </c>
      <c r="C27" s="14" t="s">
        <v>38</v>
      </c>
      <c r="D27" s="14" t="s">
        <v>38</v>
      </c>
      <c r="E27" s="38" t="s">
        <v>38</v>
      </c>
      <c r="F27" s="38" t="s">
        <v>38</v>
      </c>
      <c r="G27" s="39" t="s">
        <v>38</v>
      </c>
    </row>
    <row r="28" spans="1:7" x14ac:dyDescent="0.3">
      <c r="A28" s="46" t="s">
        <v>61</v>
      </c>
      <c r="B28" s="9">
        <f>0.5*3290</f>
        <v>1645</v>
      </c>
      <c r="C28" s="14" t="s">
        <v>38</v>
      </c>
      <c r="D28" s="14" t="s">
        <v>38</v>
      </c>
      <c r="E28" s="38"/>
      <c r="F28" s="38"/>
      <c r="G28" s="39"/>
    </row>
    <row r="29" spans="1:7" x14ac:dyDescent="0.3">
      <c r="A29" s="46" t="s">
        <v>67</v>
      </c>
      <c r="B29" s="9">
        <f>B28</f>
        <v>1645</v>
      </c>
      <c r="C29" s="14" t="s">
        <v>38</v>
      </c>
      <c r="D29" s="14" t="s">
        <v>38</v>
      </c>
      <c r="E29" s="38"/>
      <c r="F29" s="38"/>
      <c r="G29" s="39"/>
    </row>
    <row r="30" spans="1:7" x14ac:dyDescent="0.3">
      <c r="A30" s="46" t="s">
        <v>63</v>
      </c>
      <c r="B30" s="9">
        <v>801</v>
      </c>
      <c r="C30" s="9">
        <v>762</v>
      </c>
      <c r="D30" s="9">
        <v>710</v>
      </c>
      <c r="E30" s="38"/>
      <c r="F30" s="38"/>
      <c r="G30" s="39"/>
    </row>
    <row r="31" spans="1:7" x14ac:dyDescent="0.3">
      <c r="A31" s="46" t="s">
        <v>64</v>
      </c>
      <c r="B31" s="9">
        <v>2431</v>
      </c>
      <c r="C31" s="9">
        <v>2848</v>
      </c>
      <c r="D31" s="9">
        <v>72</v>
      </c>
      <c r="E31" s="38"/>
      <c r="F31" s="38"/>
      <c r="G31" s="39"/>
    </row>
    <row r="32" spans="1:7" x14ac:dyDescent="0.3">
      <c r="A32" s="46"/>
      <c r="B32" s="9"/>
      <c r="C32" s="9"/>
      <c r="D32" s="9"/>
      <c r="E32" s="30"/>
      <c r="F32" s="30"/>
      <c r="G32" s="31"/>
    </row>
    <row r="33" spans="1:7" ht="28.8" x14ac:dyDescent="0.3">
      <c r="A33" s="45" t="s">
        <v>56</v>
      </c>
      <c r="B33" s="12"/>
      <c r="C33" s="12"/>
      <c r="D33" s="12"/>
      <c r="E33" s="21"/>
      <c r="F33" s="21"/>
      <c r="G33" s="22"/>
    </row>
    <row r="34" spans="1:7" x14ac:dyDescent="0.3">
      <c r="A34" s="46" t="s">
        <v>62</v>
      </c>
      <c r="B34" s="9">
        <f>B27+B28</f>
        <v>13645</v>
      </c>
      <c r="C34" s="11">
        <f t="shared" ref="C34:G35" si="4">B34*(1+(C6+C7)/100)</f>
        <v>14215.088099999999</v>
      </c>
      <c r="D34" s="11">
        <f t="shared" si="4"/>
        <v>14800.607578838999</v>
      </c>
      <c r="E34" s="34">
        <f t="shared" si="4"/>
        <v>15397.812094645155</v>
      </c>
      <c r="F34" s="34">
        <f t="shared" si="4"/>
        <v>16005.409759899852</v>
      </c>
      <c r="G34" s="35">
        <f t="shared" si="4"/>
        <v>16623.698738924784</v>
      </c>
    </row>
    <row r="35" spans="1:7" ht="28.8" x14ac:dyDescent="0.3">
      <c r="A35" s="46" t="s">
        <v>68</v>
      </c>
      <c r="B35" s="52">
        <f>B29</f>
        <v>1645</v>
      </c>
      <c r="C35" s="53">
        <f t="shared" si="4"/>
        <v>1679.3147000000001</v>
      </c>
      <c r="D35" s="53">
        <f t="shared" si="4"/>
        <v>1714.0429279960001</v>
      </c>
      <c r="E35" s="34">
        <f t="shared" si="4"/>
        <v>1749.0779654442383</v>
      </c>
      <c r="F35" s="34">
        <f t="shared" si="4"/>
        <v>1784.5667573631017</v>
      </c>
      <c r="G35" s="35">
        <f t="shared" si="4"/>
        <v>1820.6685428645571</v>
      </c>
    </row>
    <row r="36" spans="1:7" x14ac:dyDescent="0.3">
      <c r="A36" s="46" t="s">
        <v>65</v>
      </c>
      <c r="B36" s="9">
        <f>B30</f>
        <v>801</v>
      </c>
      <c r="C36" s="9">
        <f t="shared" ref="C36:D37" si="5">C30</f>
        <v>762</v>
      </c>
      <c r="D36" s="9">
        <f t="shared" si="5"/>
        <v>710</v>
      </c>
      <c r="E36" s="34">
        <f t="shared" ref="E36:G37" si="6">D36*(1+(E7+E8)/100)</f>
        <v>724.51239999999996</v>
      </c>
      <c r="F36" s="34">
        <f t="shared" si="6"/>
        <v>739.21275659599985</v>
      </c>
      <c r="G36" s="34">
        <f t="shared" si="6"/>
        <v>754.16703066193691</v>
      </c>
    </row>
    <row r="37" spans="1:7" x14ac:dyDescent="0.3">
      <c r="A37" s="46" t="s">
        <v>66</v>
      </c>
      <c r="B37" s="9">
        <f>B31</f>
        <v>2431</v>
      </c>
      <c r="C37" s="9">
        <f t="shared" si="5"/>
        <v>2848</v>
      </c>
      <c r="D37" s="9">
        <f t="shared" si="5"/>
        <v>72</v>
      </c>
      <c r="E37" s="34">
        <f t="shared" si="6"/>
        <v>72</v>
      </c>
      <c r="F37" s="34">
        <f t="shared" si="6"/>
        <v>72</v>
      </c>
      <c r="G37" s="34">
        <f t="shared" si="6"/>
        <v>72</v>
      </c>
    </row>
    <row r="38" spans="1:7" x14ac:dyDescent="0.3">
      <c r="A38" s="46"/>
      <c r="B38" s="12"/>
      <c r="C38" s="12"/>
      <c r="D38" s="12"/>
      <c r="E38" s="21"/>
      <c r="F38" s="21"/>
      <c r="G38" s="22"/>
    </row>
    <row r="39" spans="1:7" ht="28.8" x14ac:dyDescent="0.3">
      <c r="A39" s="45" t="s">
        <v>57</v>
      </c>
      <c r="B39" s="12"/>
      <c r="C39" s="12"/>
      <c r="D39" s="12"/>
      <c r="E39" s="21"/>
      <c r="F39" s="21"/>
      <c r="G39" s="22"/>
    </row>
    <row r="40" spans="1:7" x14ac:dyDescent="0.3">
      <c r="A40" s="46" t="s">
        <v>58</v>
      </c>
      <c r="B40" s="9">
        <v>1432700</v>
      </c>
      <c r="C40" s="11">
        <v>1471100</v>
      </c>
      <c r="D40" s="11">
        <v>1502800</v>
      </c>
      <c r="E40" s="34">
        <v>1538700</v>
      </c>
      <c r="F40" s="34">
        <v>1575900</v>
      </c>
      <c r="G40" s="35">
        <v>1614200</v>
      </c>
    </row>
    <row r="41" spans="1:7" x14ac:dyDescent="0.3">
      <c r="A41" s="51" t="s">
        <v>59</v>
      </c>
      <c r="B41" s="13">
        <f t="shared" ref="B41:G41" si="7">B40+B34</f>
        <v>1446345</v>
      </c>
      <c r="C41" s="15">
        <f t="shared" si="7"/>
        <v>1485315.0881000001</v>
      </c>
      <c r="D41" s="15">
        <f t="shared" si="7"/>
        <v>1517600.6075788389</v>
      </c>
      <c r="E41" s="40">
        <f t="shared" si="7"/>
        <v>1554097.8120946451</v>
      </c>
      <c r="F41" s="40">
        <f t="shared" si="7"/>
        <v>1591905.4097598998</v>
      </c>
      <c r="G41" s="41">
        <f t="shared" si="7"/>
        <v>1630823.6987389247</v>
      </c>
    </row>
  </sheetData>
  <hyperlinks>
    <hyperlink ref="A3" r:id="rId1" display="https://www.jct.gov/publications.html?func=startdown&amp;id=5237" xr:uid="{05181C47-FCB6-430B-809D-2623CC909062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8EE-856F-4502-87A0-DD33E7305C2A}">
  <dimension ref="A1:O70"/>
  <sheetViews>
    <sheetView workbookViewId="0">
      <selection activeCell="F16" activeCellId="2" sqref="C16 E16 F16"/>
    </sheetView>
  </sheetViews>
  <sheetFormatPr defaultRowHeight="14.4" x14ac:dyDescent="0.3"/>
  <cols>
    <col min="1" max="1" width="18.33203125" customWidth="1"/>
  </cols>
  <sheetData>
    <row r="1" spans="1:15" x14ac:dyDescent="0.3">
      <c r="B1" s="54" t="s">
        <v>3</v>
      </c>
      <c r="C1" s="54"/>
      <c r="D1" s="54" t="s">
        <v>4</v>
      </c>
      <c r="E1" s="54"/>
      <c r="F1" s="54" t="s">
        <v>5</v>
      </c>
      <c r="G1" s="54"/>
      <c r="H1" s="1"/>
    </row>
    <row r="2" spans="1:15" x14ac:dyDescent="0.3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I2" s="1"/>
    </row>
    <row r="3" spans="1:15" x14ac:dyDescent="0.3">
      <c r="A3" t="s">
        <v>8</v>
      </c>
      <c r="B3" s="2">
        <v>520.36400000000003</v>
      </c>
      <c r="C3" s="2">
        <v>574.44200000000001</v>
      </c>
      <c r="D3" s="2">
        <f>F3-B3</f>
        <v>19.509000000000015</v>
      </c>
      <c r="E3" s="2">
        <f>G3-C3</f>
        <v>12.620000000000005</v>
      </c>
      <c r="F3" s="2">
        <v>539.87300000000005</v>
      </c>
      <c r="G3" s="2">
        <v>587.06200000000001</v>
      </c>
      <c r="I3" s="2" t="s">
        <v>33</v>
      </c>
    </row>
    <row r="4" spans="1:15" x14ac:dyDescent="0.3">
      <c r="A4" t="s">
        <v>9</v>
      </c>
      <c r="B4" s="2">
        <v>767.63599999999997</v>
      </c>
      <c r="C4" s="2">
        <v>779.38800000000003</v>
      </c>
      <c r="D4" s="2">
        <f>F4-B4</f>
        <v>92.629000000000019</v>
      </c>
      <c r="E4" s="2">
        <f>G4-C4</f>
        <v>45.555999999999926</v>
      </c>
      <c r="F4" s="2">
        <v>860.26499999999999</v>
      </c>
      <c r="G4" s="2">
        <v>824.94399999999996</v>
      </c>
      <c r="I4" s="2" t="s">
        <v>34</v>
      </c>
    </row>
    <row r="5" spans="1:15" x14ac:dyDescent="0.3">
      <c r="B5" s="1"/>
      <c r="C5" s="1"/>
      <c r="D5" s="1"/>
      <c r="E5" s="1"/>
      <c r="F5" s="1"/>
      <c r="G5" s="1"/>
      <c r="I5" s="1"/>
    </row>
    <row r="6" spans="1:15" x14ac:dyDescent="0.3">
      <c r="A6" t="s">
        <v>7</v>
      </c>
      <c r="B6" s="2">
        <f>B4+B3</f>
        <v>1288</v>
      </c>
      <c r="C6" s="2">
        <f t="shared" ref="C6" si="0">C4+C3</f>
        <v>1353.83</v>
      </c>
      <c r="D6" s="2">
        <f>D4+D3</f>
        <v>112.13800000000003</v>
      </c>
      <c r="E6" s="2">
        <f>E4+E3</f>
        <v>58.175999999999931</v>
      </c>
      <c r="F6" s="2">
        <f>F4+F3</f>
        <v>1400.1379999999999</v>
      </c>
      <c r="G6" s="2">
        <f>G4+G3</f>
        <v>1412.0059999999999</v>
      </c>
      <c r="I6" s="2"/>
    </row>
    <row r="7" spans="1:15" x14ac:dyDescent="0.3">
      <c r="B7" s="1"/>
      <c r="C7" s="1"/>
      <c r="D7" s="1"/>
      <c r="F7" s="1"/>
      <c r="G7" s="1"/>
      <c r="I7" s="1"/>
    </row>
    <row r="8" spans="1:15" x14ac:dyDescent="0.3">
      <c r="A8" t="s">
        <v>6</v>
      </c>
      <c r="B8" s="1">
        <v>1288</v>
      </c>
      <c r="C8" s="1"/>
      <c r="D8" s="1">
        <v>121</v>
      </c>
      <c r="F8" s="1">
        <v>1407</v>
      </c>
      <c r="G8" s="1">
        <v>1400</v>
      </c>
      <c r="I8" s="1"/>
    </row>
    <row r="11" spans="1:15" x14ac:dyDescent="0.3">
      <c r="A11" s="4" t="s">
        <v>15</v>
      </c>
      <c r="B11" s="4"/>
      <c r="C11" s="4">
        <v>2020</v>
      </c>
      <c r="D11" s="4"/>
      <c r="E11" s="4">
        <v>2021</v>
      </c>
      <c r="F11" s="4">
        <v>2022</v>
      </c>
    </row>
    <row r="12" spans="1:15" x14ac:dyDescent="0.3">
      <c r="C12" s="55" t="s">
        <v>26</v>
      </c>
      <c r="D12" s="55"/>
      <c r="E12" s="55"/>
      <c r="F12" s="55"/>
    </row>
    <row r="13" spans="1:15" x14ac:dyDescent="0.3">
      <c r="A13" t="s">
        <v>13</v>
      </c>
      <c r="C13">
        <v>-2179</v>
      </c>
      <c r="E13">
        <v>-16037</v>
      </c>
      <c r="F13" s="6">
        <v>-23247</v>
      </c>
      <c r="G13" t="s">
        <v>14</v>
      </c>
    </row>
    <row r="15" spans="1:15" x14ac:dyDescent="0.3">
      <c r="A15" t="s">
        <v>11</v>
      </c>
      <c r="C15">
        <f>120+19+660+2</f>
        <v>801</v>
      </c>
      <c r="E15">
        <f>70+690+2</f>
        <v>762</v>
      </c>
      <c r="F15">
        <v>710</v>
      </c>
    </row>
    <row r="16" spans="1:15" x14ac:dyDescent="0.3">
      <c r="A16" t="s">
        <v>12</v>
      </c>
      <c r="C16">
        <f>126+2294+11</f>
        <v>2431</v>
      </c>
      <c r="E16">
        <f>2835+8+5</f>
        <v>2848</v>
      </c>
      <c r="F16">
        <v>72</v>
      </c>
      <c r="L16" t="s">
        <v>32</v>
      </c>
      <c r="O16">
        <f>G6+SUM(C15:C17)/1000+C21/1000</f>
        <v>1418.7259999999999</v>
      </c>
    </row>
    <row r="17" spans="1:15" x14ac:dyDescent="0.3">
      <c r="A17" t="s">
        <v>17</v>
      </c>
      <c r="C17">
        <f>6522-C15-C16</f>
        <v>3290</v>
      </c>
      <c r="E17">
        <v>5645</v>
      </c>
      <c r="F17" s="6">
        <f>1782-F16-F15</f>
        <v>1000</v>
      </c>
      <c r="H17" t="s">
        <v>18</v>
      </c>
      <c r="O17">
        <f>O16-G8</f>
        <v>18.725999999999885</v>
      </c>
    </row>
    <row r="18" spans="1:15" x14ac:dyDescent="0.3">
      <c r="F18" s="6"/>
    </row>
    <row r="19" spans="1:15" x14ac:dyDescent="0.3">
      <c r="A19" t="s">
        <v>16</v>
      </c>
      <c r="C19">
        <f>SUM(C15:C17)-C13</f>
        <v>8701</v>
      </c>
      <c r="E19">
        <f>SUM(E15:E17)-E13</f>
        <v>25292</v>
      </c>
      <c r="F19">
        <f>SUM(F15:F17)-F13</f>
        <v>25029</v>
      </c>
    </row>
    <row r="20" spans="1:15" x14ac:dyDescent="0.3">
      <c r="A20" t="s">
        <v>27</v>
      </c>
    </row>
    <row r="21" spans="1:15" x14ac:dyDescent="0.3">
      <c r="A21" s="5" t="s">
        <v>28</v>
      </c>
      <c r="C21">
        <v>198</v>
      </c>
      <c r="E21">
        <v>31</v>
      </c>
      <c r="F21">
        <v>0</v>
      </c>
    </row>
    <row r="22" spans="1:15" x14ac:dyDescent="0.3">
      <c r="A22" s="5" t="s">
        <v>29</v>
      </c>
      <c r="C22">
        <v>-32285</v>
      </c>
      <c r="E22">
        <v>-10475</v>
      </c>
      <c r="F22" s="6">
        <v>-4501</v>
      </c>
      <c r="H22" t="s">
        <v>30</v>
      </c>
    </row>
    <row r="23" spans="1:15" x14ac:dyDescent="0.3">
      <c r="A23" t="s">
        <v>31</v>
      </c>
      <c r="C23">
        <f>-C22+C21+C19</f>
        <v>41184</v>
      </c>
      <c r="E23">
        <f>-E22+E21+E19</f>
        <v>35798</v>
      </c>
    </row>
    <row r="24" spans="1:15" x14ac:dyDescent="0.3">
      <c r="C24" s="54" t="s">
        <v>19</v>
      </c>
      <c r="D24" s="54"/>
      <c r="E24" s="54"/>
      <c r="F24" s="54"/>
      <c r="G24" s="1"/>
      <c r="H24" s="1"/>
    </row>
    <row r="25" spans="1:15" x14ac:dyDescent="0.3">
      <c r="C25" s="54" t="s">
        <v>1</v>
      </c>
      <c r="D25" s="54"/>
      <c r="E25" s="54" t="s">
        <v>0</v>
      </c>
      <c r="F25" s="54"/>
      <c r="G25" s="54"/>
      <c r="H25" s="54"/>
      <c r="I25" s="54" t="s">
        <v>1</v>
      </c>
      <c r="J25" s="54"/>
      <c r="K25" s="54" t="s">
        <v>0</v>
      </c>
      <c r="L25" s="54"/>
    </row>
    <row r="26" spans="1:15" x14ac:dyDescent="0.3">
      <c r="C26" s="1">
        <v>2020</v>
      </c>
      <c r="D26" s="1">
        <v>2021</v>
      </c>
      <c r="E26">
        <v>2020</v>
      </c>
      <c r="F26" s="1">
        <v>2021</v>
      </c>
      <c r="G26" s="1"/>
      <c r="H26" s="1"/>
      <c r="I26" s="1">
        <v>2020</v>
      </c>
      <c r="J26" s="1">
        <v>2021</v>
      </c>
      <c r="K26">
        <v>2020</v>
      </c>
      <c r="L26" s="1">
        <v>2021</v>
      </c>
    </row>
    <row r="27" spans="1:15" x14ac:dyDescent="0.3">
      <c r="C27" s="1">
        <v>120</v>
      </c>
      <c r="D27" s="1">
        <v>70</v>
      </c>
      <c r="E27" s="1">
        <v>120</v>
      </c>
      <c r="F27" s="1">
        <v>70</v>
      </c>
      <c r="G27" s="3"/>
      <c r="H27" s="3" t="s">
        <v>20</v>
      </c>
      <c r="I27">
        <f>SUM(C27:C38)</f>
        <v>801</v>
      </c>
      <c r="J27">
        <f>SUM(D27:D38)</f>
        <v>762</v>
      </c>
      <c r="K27">
        <f>SUM(E27:E38)</f>
        <v>801</v>
      </c>
      <c r="L27">
        <f>SUM(F27:F38)</f>
        <v>762</v>
      </c>
    </row>
    <row r="28" spans="1:15" x14ac:dyDescent="0.3">
      <c r="C28" s="1">
        <v>0</v>
      </c>
      <c r="D28" s="1">
        <v>0</v>
      </c>
      <c r="E28" s="1">
        <v>0</v>
      </c>
      <c r="F28" s="1">
        <v>0</v>
      </c>
      <c r="G28" s="3"/>
      <c r="H28" s="3" t="s">
        <v>21</v>
      </c>
      <c r="I28">
        <f>SUM(C39:C46)</f>
        <v>2607</v>
      </c>
      <c r="J28">
        <f t="shared" ref="J28:L28" si="1">SUM(D39:D46)</f>
        <v>2843</v>
      </c>
      <c r="K28">
        <f t="shared" si="1"/>
        <v>2431</v>
      </c>
      <c r="L28">
        <f t="shared" si="1"/>
        <v>2848</v>
      </c>
    </row>
    <row r="29" spans="1:15" x14ac:dyDescent="0.3">
      <c r="C29" s="1">
        <v>3</v>
      </c>
      <c r="D29" s="1">
        <v>0</v>
      </c>
      <c r="E29" s="1">
        <v>3</v>
      </c>
      <c r="F29" s="1">
        <v>0</v>
      </c>
      <c r="G29" s="3"/>
      <c r="H29" s="3" t="s">
        <v>22</v>
      </c>
      <c r="I29">
        <f>SUM(C47:C52)</f>
        <v>100</v>
      </c>
      <c r="J29">
        <f t="shared" ref="J29:L29" si="2">SUM(D47:D52)</f>
        <v>0</v>
      </c>
      <c r="K29">
        <f t="shared" si="2"/>
        <v>0</v>
      </c>
      <c r="L29">
        <f t="shared" si="2"/>
        <v>50</v>
      </c>
    </row>
    <row r="30" spans="1:15" x14ac:dyDescent="0.3">
      <c r="C30" s="1">
        <v>0</v>
      </c>
      <c r="D30" s="1">
        <v>0</v>
      </c>
      <c r="E30" s="1">
        <v>0</v>
      </c>
      <c r="F30" s="1">
        <v>0</v>
      </c>
      <c r="G30" s="3"/>
      <c r="H30" s="3" t="s">
        <v>23</v>
      </c>
      <c r="I30">
        <f>SUM(C53:C56)</f>
        <v>1999</v>
      </c>
      <c r="J30">
        <f t="shared" ref="J30:L30" si="3">SUM(D53:D56)</f>
        <v>0</v>
      </c>
      <c r="K30">
        <f t="shared" si="3"/>
        <v>800</v>
      </c>
      <c r="L30">
        <f t="shared" si="3"/>
        <v>813</v>
      </c>
    </row>
    <row r="31" spans="1:15" x14ac:dyDescent="0.3">
      <c r="C31" s="1">
        <v>16</v>
      </c>
      <c r="D31" s="1">
        <v>0</v>
      </c>
      <c r="E31" s="1">
        <v>16</v>
      </c>
      <c r="F31" s="1">
        <v>0</v>
      </c>
      <c r="G31" s="3"/>
      <c r="H31" s="3" t="s">
        <v>24</v>
      </c>
      <c r="I31">
        <f>SUM(C59:C65)</f>
        <v>724</v>
      </c>
      <c r="J31">
        <f t="shared" ref="J31:L31" si="4">SUM(D59:D65)</f>
        <v>29</v>
      </c>
      <c r="K31">
        <f t="shared" si="4"/>
        <v>524</v>
      </c>
      <c r="L31">
        <f t="shared" si="4"/>
        <v>229</v>
      </c>
    </row>
    <row r="32" spans="1:15" x14ac:dyDescent="0.3">
      <c r="C32" s="1">
        <v>0</v>
      </c>
      <c r="D32" s="1">
        <v>0</v>
      </c>
      <c r="E32" s="1">
        <v>0</v>
      </c>
      <c r="F32" s="1">
        <v>0</v>
      </c>
      <c r="G32" s="3"/>
      <c r="H32" s="3" t="s">
        <v>25</v>
      </c>
      <c r="I32">
        <f>SUM(I27:I31)</f>
        <v>6231</v>
      </c>
      <c r="J32">
        <f t="shared" ref="J32:L32" si="5">SUM(J27:J31)</f>
        <v>3634</v>
      </c>
      <c r="K32">
        <f t="shared" si="5"/>
        <v>4556</v>
      </c>
      <c r="L32">
        <f t="shared" si="5"/>
        <v>4702</v>
      </c>
    </row>
    <row r="33" spans="3:12" x14ac:dyDescent="0.3">
      <c r="C33" s="1">
        <v>660</v>
      </c>
      <c r="D33" s="1">
        <v>690</v>
      </c>
      <c r="E33" s="1">
        <v>660</v>
      </c>
      <c r="F33" s="1">
        <v>690</v>
      </c>
      <c r="G33" s="3"/>
      <c r="H33" s="3"/>
    </row>
    <row r="34" spans="3:12" x14ac:dyDescent="0.3">
      <c r="C34" s="1">
        <v>0</v>
      </c>
      <c r="D34" s="1">
        <v>0</v>
      </c>
      <c r="E34" s="1">
        <v>0</v>
      </c>
      <c r="F34" s="1">
        <v>0</v>
      </c>
      <c r="G34" s="3"/>
      <c r="H34" s="3" t="s">
        <v>10</v>
      </c>
      <c r="I34">
        <f>8162-I32</f>
        <v>1931</v>
      </c>
      <c r="J34">
        <f>4588-J32</f>
        <v>954</v>
      </c>
      <c r="K34">
        <f>6522-I32</f>
        <v>291</v>
      </c>
      <c r="L34">
        <f>5645-L32</f>
        <v>943</v>
      </c>
    </row>
    <row r="35" spans="3:12" x14ac:dyDescent="0.3">
      <c r="C35" s="1">
        <v>2</v>
      </c>
      <c r="D35" s="1">
        <v>2</v>
      </c>
      <c r="E35" s="1">
        <v>2</v>
      </c>
      <c r="F35" s="1">
        <v>2</v>
      </c>
      <c r="G35" s="3"/>
      <c r="H35" s="3"/>
    </row>
    <row r="36" spans="3:12" x14ac:dyDescent="0.3">
      <c r="C36" s="1">
        <v>0</v>
      </c>
      <c r="D36" s="1">
        <v>0</v>
      </c>
      <c r="E36" s="1">
        <v>0</v>
      </c>
      <c r="F36" s="1">
        <v>0</v>
      </c>
      <c r="G36" s="3"/>
      <c r="H36" s="3"/>
    </row>
    <row r="37" spans="3:12" x14ac:dyDescent="0.3">
      <c r="C37" s="1">
        <v>0</v>
      </c>
      <c r="D37" s="1">
        <v>0</v>
      </c>
      <c r="E37" s="1">
        <v>0</v>
      </c>
      <c r="F37" s="1">
        <v>0</v>
      </c>
      <c r="G37" s="3"/>
      <c r="H37" s="3"/>
    </row>
    <row r="38" spans="3:12" x14ac:dyDescent="0.3">
      <c r="C38" s="1">
        <v>0</v>
      </c>
      <c r="D38" s="1">
        <v>0</v>
      </c>
      <c r="E38" s="1">
        <v>0</v>
      </c>
      <c r="F38" s="1">
        <v>0</v>
      </c>
      <c r="G38" s="3"/>
      <c r="H38" s="3"/>
    </row>
    <row r="39" spans="3:12" x14ac:dyDescent="0.3">
      <c r="C39" s="1">
        <v>126</v>
      </c>
      <c r="D39" s="1">
        <v>0</v>
      </c>
      <c r="E39" s="1">
        <v>126</v>
      </c>
      <c r="F39" s="1">
        <v>0</v>
      </c>
      <c r="G39" s="3"/>
      <c r="H39" s="3"/>
    </row>
    <row r="40" spans="3:12" x14ac:dyDescent="0.3">
      <c r="C40" s="1">
        <v>0</v>
      </c>
      <c r="D40" s="1">
        <v>0</v>
      </c>
      <c r="E40" s="1">
        <v>0</v>
      </c>
      <c r="F40" s="1">
        <v>0</v>
      </c>
      <c r="G40" s="3"/>
      <c r="H40" s="3"/>
    </row>
    <row r="41" spans="3:12" x14ac:dyDescent="0.3">
      <c r="C41" s="1">
        <v>2294</v>
      </c>
      <c r="D41" s="1">
        <v>2835</v>
      </c>
      <c r="E41" s="1">
        <v>2294</v>
      </c>
      <c r="F41" s="1">
        <v>2835</v>
      </c>
      <c r="G41" s="3"/>
      <c r="H41" s="3"/>
    </row>
    <row r="42" spans="3:12" x14ac:dyDescent="0.3">
      <c r="C42" s="1">
        <v>0</v>
      </c>
      <c r="D42" s="1">
        <v>0</v>
      </c>
      <c r="E42" s="1">
        <v>0</v>
      </c>
      <c r="F42" s="1">
        <v>0</v>
      </c>
      <c r="G42" s="3"/>
      <c r="H42" s="3"/>
    </row>
    <row r="43" spans="3:12" x14ac:dyDescent="0.3">
      <c r="C43" s="1">
        <v>11</v>
      </c>
      <c r="D43" s="1">
        <v>8</v>
      </c>
      <c r="E43" s="1">
        <v>11</v>
      </c>
      <c r="F43" s="1">
        <v>8</v>
      </c>
      <c r="G43" s="3"/>
      <c r="H43" s="3"/>
    </row>
    <row r="44" spans="3:12" x14ac:dyDescent="0.3">
      <c r="C44" s="1">
        <v>0</v>
      </c>
      <c r="D44" s="1">
        <v>0</v>
      </c>
      <c r="E44" s="1">
        <v>0</v>
      </c>
      <c r="F44" s="1">
        <v>0</v>
      </c>
      <c r="G44" s="3"/>
      <c r="H44" s="3"/>
    </row>
    <row r="45" spans="3:12" x14ac:dyDescent="0.3">
      <c r="C45" s="1">
        <v>176</v>
      </c>
      <c r="D45" s="1">
        <v>0</v>
      </c>
      <c r="E45" s="1">
        <v>0</v>
      </c>
      <c r="F45" s="1">
        <v>5</v>
      </c>
      <c r="G45" s="3"/>
      <c r="H45" s="3"/>
    </row>
    <row r="46" spans="3:12" x14ac:dyDescent="0.3">
      <c r="C46" s="1">
        <v>0</v>
      </c>
      <c r="D46" s="1">
        <v>0</v>
      </c>
      <c r="E46" s="1">
        <v>0</v>
      </c>
      <c r="F46" s="1">
        <v>0</v>
      </c>
      <c r="G46" s="3"/>
      <c r="H46" s="3"/>
    </row>
    <row r="47" spans="3:12" x14ac:dyDescent="0.3">
      <c r="C47" s="1">
        <v>36</v>
      </c>
      <c r="D47" s="1">
        <v>0</v>
      </c>
      <c r="E47" s="1">
        <v>0</v>
      </c>
      <c r="F47" s="1">
        <v>18</v>
      </c>
      <c r="G47" s="3"/>
      <c r="H47" s="3"/>
    </row>
    <row r="48" spans="3:12" x14ac:dyDescent="0.3">
      <c r="C48" s="1">
        <v>0</v>
      </c>
      <c r="D48" s="1">
        <v>0</v>
      </c>
      <c r="E48" s="1">
        <v>0</v>
      </c>
      <c r="F48" s="1">
        <v>0</v>
      </c>
      <c r="G48" s="3"/>
      <c r="H48" s="3"/>
    </row>
    <row r="49" spans="3:8" x14ac:dyDescent="0.3">
      <c r="C49" s="1">
        <v>32</v>
      </c>
      <c r="D49" s="1">
        <v>0</v>
      </c>
      <c r="E49" s="1">
        <v>0</v>
      </c>
      <c r="F49" s="1">
        <v>16</v>
      </c>
      <c r="G49" s="3"/>
      <c r="H49" s="3"/>
    </row>
    <row r="50" spans="3:8" x14ac:dyDescent="0.3">
      <c r="C50" s="1">
        <v>0</v>
      </c>
      <c r="D50" s="1">
        <v>0</v>
      </c>
      <c r="E50" s="1">
        <v>0</v>
      </c>
      <c r="F50" s="1">
        <v>0</v>
      </c>
      <c r="G50" s="3"/>
      <c r="H50" s="3"/>
    </row>
    <row r="51" spans="3:8" x14ac:dyDescent="0.3">
      <c r="C51" s="1">
        <v>32</v>
      </c>
      <c r="D51" s="1">
        <v>0</v>
      </c>
      <c r="E51" s="1">
        <v>0</v>
      </c>
      <c r="F51" s="1">
        <v>16</v>
      </c>
      <c r="G51" s="3"/>
      <c r="H51" s="3"/>
    </row>
    <row r="52" spans="3:8" x14ac:dyDescent="0.3">
      <c r="C52" s="1">
        <v>0</v>
      </c>
      <c r="D52" s="1">
        <v>0</v>
      </c>
      <c r="E52" s="1">
        <v>0</v>
      </c>
      <c r="F52" s="1">
        <v>0</v>
      </c>
      <c r="G52" s="3"/>
      <c r="H52" s="3"/>
    </row>
    <row r="53" spans="3:8" x14ac:dyDescent="0.3">
      <c r="C53" s="1">
        <v>1872</v>
      </c>
      <c r="D53" s="1">
        <v>0</v>
      </c>
      <c r="E53" s="1">
        <v>758</v>
      </c>
      <c r="F53" s="1">
        <v>750</v>
      </c>
      <c r="G53" s="3"/>
      <c r="H53" s="3"/>
    </row>
    <row r="54" spans="3:8" x14ac:dyDescent="0.3">
      <c r="C54" s="1">
        <v>0</v>
      </c>
      <c r="D54" s="1">
        <v>0</v>
      </c>
      <c r="E54" s="1">
        <v>0</v>
      </c>
      <c r="F54" s="1">
        <v>0</v>
      </c>
      <c r="G54" s="3"/>
      <c r="H54" s="3"/>
    </row>
    <row r="55" spans="3:8" x14ac:dyDescent="0.3">
      <c r="C55" s="1">
        <v>127</v>
      </c>
      <c r="D55" s="1">
        <v>0</v>
      </c>
      <c r="E55" s="1">
        <v>42</v>
      </c>
      <c r="F55" s="1">
        <v>63</v>
      </c>
      <c r="G55" s="3"/>
      <c r="H55" s="3"/>
    </row>
    <row r="56" spans="3:8" x14ac:dyDescent="0.3">
      <c r="C56" s="1">
        <v>0</v>
      </c>
      <c r="D56" s="1">
        <v>0</v>
      </c>
      <c r="E56" s="1">
        <v>0</v>
      </c>
      <c r="F56" s="1">
        <v>0</v>
      </c>
      <c r="G56" s="3"/>
      <c r="H56" s="3"/>
    </row>
    <row r="57" spans="3:8" x14ac:dyDescent="0.3">
      <c r="C57" s="1">
        <v>0</v>
      </c>
      <c r="D57" s="1">
        <v>0</v>
      </c>
      <c r="E57" s="1">
        <v>0</v>
      </c>
      <c r="F57" s="1">
        <v>0</v>
      </c>
      <c r="G57" s="3"/>
      <c r="H57" s="3"/>
    </row>
    <row r="58" spans="3:8" x14ac:dyDescent="0.3">
      <c r="C58" s="1">
        <v>0</v>
      </c>
      <c r="D58" s="1">
        <v>0</v>
      </c>
      <c r="E58" s="1">
        <v>0</v>
      </c>
      <c r="F58" s="1">
        <v>0</v>
      </c>
      <c r="G58" s="3"/>
      <c r="H58" s="3"/>
    </row>
    <row r="59" spans="3:8" x14ac:dyDescent="0.3">
      <c r="C59" s="1">
        <v>726</v>
      </c>
      <c r="D59" s="1">
        <v>79</v>
      </c>
      <c r="E59" s="1">
        <v>526</v>
      </c>
      <c r="F59" s="1">
        <v>279</v>
      </c>
      <c r="G59" s="3"/>
      <c r="H59" s="3"/>
    </row>
    <row r="60" spans="3:8" x14ac:dyDescent="0.3">
      <c r="C60" s="1">
        <v>0</v>
      </c>
      <c r="D60" s="1">
        <v>0</v>
      </c>
      <c r="E60" s="1">
        <v>0</v>
      </c>
      <c r="F60" s="1">
        <v>0</v>
      </c>
      <c r="G60" s="3"/>
      <c r="H60" s="3"/>
    </row>
    <row r="61" spans="3:8" x14ac:dyDescent="0.3">
      <c r="C61" s="1">
        <v>-2</v>
      </c>
      <c r="D61" s="1">
        <v>-5</v>
      </c>
      <c r="E61" s="1">
        <v>-2</v>
      </c>
      <c r="F61" s="1">
        <v>-5</v>
      </c>
      <c r="G61" s="3"/>
      <c r="H61" s="3"/>
    </row>
    <row r="62" spans="3:8" x14ac:dyDescent="0.3">
      <c r="C62" s="1">
        <v>0</v>
      </c>
      <c r="D62" s="1">
        <v>0</v>
      </c>
      <c r="E62" s="1">
        <v>0</v>
      </c>
      <c r="F62" s="1">
        <v>0</v>
      </c>
      <c r="G62" s="3"/>
      <c r="H62" s="3"/>
    </row>
    <row r="63" spans="3:8" x14ac:dyDescent="0.3">
      <c r="C63" s="1">
        <v>0</v>
      </c>
      <c r="D63" s="1">
        <v>0</v>
      </c>
      <c r="E63" s="1">
        <v>0</v>
      </c>
      <c r="F63" s="1">
        <v>0</v>
      </c>
      <c r="G63" s="3"/>
      <c r="H63" s="3"/>
    </row>
    <row r="64" spans="3:8" x14ac:dyDescent="0.3">
      <c r="C64" s="1">
        <v>0</v>
      </c>
      <c r="D64" s="1">
        <v>0</v>
      </c>
      <c r="E64" s="1">
        <v>0</v>
      </c>
      <c r="F64" s="1">
        <v>0</v>
      </c>
      <c r="G64" s="3"/>
      <c r="H64" s="3"/>
    </row>
    <row r="65" spans="3:8" x14ac:dyDescent="0.3">
      <c r="C65" s="1">
        <v>0</v>
      </c>
      <c r="D65" s="1">
        <v>-45</v>
      </c>
      <c r="E65" s="1">
        <v>0</v>
      </c>
      <c r="F65" s="1">
        <v>-45</v>
      </c>
      <c r="G65" s="3"/>
      <c r="H65" s="3"/>
    </row>
    <row r="66" spans="3:8" x14ac:dyDescent="0.3">
      <c r="C66" s="1">
        <f>SUM(C27:C65)</f>
        <v>6231</v>
      </c>
      <c r="D66" s="1">
        <f>SUM(D27:D65)</f>
        <v>3634</v>
      </c>
      <c r="E66" s="1">
        <f>SUM(E27:E65)</f>
        <v>4556</v>
      </c>
      <c r="F66" s="1">
        <f>SUM(F27:F65)</f>
        <v>4702</v>
      </c>
      <c r="G66" s="3"/>
      <c r="H66" s="3"/>
    </row>
    <row r="67" spans="3:8" x14ac:dyDescent="0.3">
      <c r="C67" s="3"/>
      <c r="D67" s="3"/>
      <c r="E67" s="3"/>
      <c r="F67" s="3"/>
      <c r="G67" s="3"/>
      <c r="H67" s="3"/>
    </row>
    <row r="68" spans="3:8" x14ac:dyDescent="0.3">
      <c r="C68" s="3"/>
      <c r="D68" s="3"/>
      <c r="E68" s="3"/>
      <c r="F68" s="3"/>
      <c r="G68" s="3"/>
      <c r="H68" s="3"/>
    </row>
    <row r="69" spans="3:8" x14ac:dyDescent="0.3">
      <c r="C69" s="3"/>
      <c r="D69" s="3"/>
      <c r="E69" s="3"/>
      <c r="F69" s="3"/>
      <c r="G69" s="3"/>
      <c r="H69" s="3"/>
    </row>
    <row r="70" spans="3:8" x14ac:dyDescent="0.3">
      <c r="C70" s="3"/>
      <c r="D70" s="3"/>
      <c r="E70" s="3"/>
      <c r="F70" s="3"/>
      <c r="G70" s="3"/>
      <c r="H70" s="3"/>
    </row>
  </sheetData>
  <mergeCells count="10">
    <mergeCell ref="C24:F24"/>
    <mergeCell ref="I25:J25"/>
    <mergeCell ref="K25:L25"/>
    <mergeCell ref="C12:F12"/>
    <mergeCell ref="B1:C1"/>
    <mergeCell ref="G25:H25"/>
    <mergeCell ref="C25:D25"/>
    <mergeCell ref="E25:F25"/>
    <mergeCell ref="D1:E1"/>
    <mergeCell ref="F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79512-6A86-4BE5-9442-A7F27D723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218FF1-EC91-4A22-9F7E-925EF460FF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D8AA43-9ECC-4744-A57D-EB6126C3252E}">
  <ds:schemaRefs>
    <ds:schemaRef ds:uri="cac5d118-ba7b-4807-b700-df6f95cfff5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66951ee6-cd93-49c7-9437-e871b2a117d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Louise Sheiner</cp:lastModifiedBy>
  <dcterms:created xsi:type="dcterms:W3CDTF">2019-12-19T15:14:25Z</dcterms:created>
  <dcterms:modified xsi:type="dcterms:W3CDTF">2020-02-01T21:00:20Z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