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ata/add-ons/"/>
    </mc:Choice>
  </mc:AlternateContent>
  <xr:revisionPtr revIDLastSave="0" documentId="13_ncr:1_{4DB17B3A-452B-4F42-A200-18FDE3A85269}" xr6:coauthVersionLast="46" xr6:coauthVersionMax="46" xr10:uidLastSave="{00000000-0000-0000-0000-000000000000}"/>
  <bookViews>
    <workbookView xWindow="0" yWindow="500" windowWidth="33600" windowHeight="19520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3" i="1" l="1"/>
  <c r="M73" i="1"/>
  <c r="L73" i="1"/>
  <c r="M3" i="9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M74" i="1" l="1"/>
  <c r="M86" i="1" s="1"/>
  <c r="N74" i="1"/>
  <c r="L70" i="1"/>
  <c r="D22" i="5"/>
  <c r="D29" i="5"/>
  <c r="D36" i="5"/>
  <c r="D42" i="5"/>
  <c r="D48" i="5"/>
  <c r="D55" i="5"/>
  <c r="O75" i="1"/>
  <c r="P75" i="1"/>
  <c r="Q75" i="1"/>
  <c r="R75" i="1"/>
  <c r="S75" i="1"/>
  <c r="L8" i="1" l="1"/>
  <c r="K8" i="1"/>
  <c r="J8" i="1"/>
  <c r="I8" i="1"/>
  <c r="H8" i="1"/>
  <c r="G8" i="1"/>
  <c r="M13" i="4" l="1"/>
  <c r="M12" i="4"/>
  <c r="M11" i="4"/>
  <c r="M10" i="4"/>
  <c r="T75" i="1"/>
  <c r="U75" i="1"/>
  <c r="V75" i="1"/>
  <c r="W75" i="1"/>
  <c r="X75" i="1"/>
  <c r="Y75" i="1"/>
  <c r="Z75" i="1"/>
  <c r="L74" i="1"/>
  <c r="I62" i="5"/>
  <c r="O8" i="9"/>
  <c r="O7" i="9"/>
  <c r="O6" i="9"/>
  <c r="O5" i="9"/>
  <c r="L12" i="9"/>
  <c r="L11" i="9"/>
  <c r="L10" i="9"/>
  <c r="L9" i="9"/>
  <c r="N21" i="1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109" i="1"/>
  <c r="N106" i="1"/>
  <c r="N103" i="1"/>
  <c r="N100" i="1"/>
  <c r="N96" i="1"/>
  <c r="N89" i="1"/>
  <c r="N88" i="1"/>
  <c r="N90" i="1" s="1"/>
  <c r="N69" i="1"/>
  <c r="N62" i="1"/>
  <c r="N61" i="1"/>
  <c r="N60" i="1"/>
  <c r="N58" i="1"/>
  <c r="N55" i="1"/>
  <c r="N50" i="1"/>
  <c r="N48" i="1"/>
  <c r="N41" i="1"/>
  <c r="N35" i="1"/>
  <c r="N34" i="1"/>
  <c r="N18" i="1"/>
  <c r="N15" i="1"/>
  <c r="N12" i="1"/>
  <c r="N7" i="1"/>
  <c r="N5" i="1"/>
  <c r="N29" i="1"/>
  <c r="N28" i="1"/>
  <c r="N27" i="1"/>
  <c r="L105" i="1"/>
  <c r="N8" i="1" l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7" i="1"/>
  <c r="N111" i="1"/>
  <c r="N98" i="1"/>
  <c r="N26" i="1"/>
  <c r="G35" i="5" s="1"/>
  <c r="G37" i="5" s="1"/>
  <c r="N105" i="1"/>
  <c r="N101" i="1"/>
  <c r="O101" i="1" s="1"/>
  <c r="P101" i="1" s="1"/>
  <c r="Q101" i="1" s="1"/>
  <c r="R101" i="1" s="1"/>
  <c r="S101" i="1" s="1"/>
  <c r="N115" i="1"/>
  <c r="N71" i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X72" i="1" s="1"/>
  <c r="Y72" i="1" s="1"/>
  <c r="Z72" i="1" s="1"/>
  <c r="N59" i="1"/>
  <c r="N47" i="1"/>
  <c r="N40" i="1"/>
  <c r="N11" i="1"/>
  <c r="N6" i="1"/>
  <c r="N30" i="1" s="1"/>
  <c r="G41" i="5" s="1"/>
  <c r="G43" i="5" s="1"/>
  <c r="N91" i="1"/>
  <c r="N86" i="1" l="1"/>
  <c r="F21" i="5"/>
  <c r="F24" i="5" s="1"/>
  <c r="G47" i="5"/>
  <c r="G50" i="5" s="1"/>
  <c r="N56" i="1"/>
  <c r="N51" i="1"/>
  <c r="N31" i="1"/>
  <c r="O26" i="4"/>
  <c r="N26" i="4"/>
  <c r="L115" i="1"/>
  <c r="D21" i="5" s="1"/>
  <c r="K115" i="1"/>
  <c r="J115" i="1"/>
  <c r="I115" i="1"/>
  <c r="H115" i="1"/>
  <c r="G115" i="1"/>
  <c r="F115" i="1"/>
  <c r="N52" i="1" l="1"/>
  <c r="B21" i="16"/>
  <c r="C20" i="16"/>
  <c r="S67" i="1" s="1"/>
  <c r="S56" i="1" s="1"/>
  <c r="C19" i="16"/>
  <c r="R39" i="1" s="1"/>
  <c r="C18" i="16"/>
  <c r="R66" i="1" s="1"/>
  <c r="C17" i="16"/>
  <c r="B16" i="16"/>
  <c r="C16" i="16" s="1"/>
  <c r="C15" i="16"/>
  <c r="P38" i="1" s="1"/>
  <c r="B13" i="16"/>
  <c r="C13" i="16" s="1"/>
  <c r="V82" i="1" s="1"/>
  <c r="B10" i="16"/>
  <c r="C10" i="16" s="1"/>
  <c r="U84" i="1" s="1"/>
  <c r="C9" i="16"/>
  <c r="C8" i="16"/>
  <c r="C7" i="16"/>
  <c r="O93" i="1" s="1"/>
  <c r="C14" i="16"/>
  <c r="C12" i="16"/>
  <c r="P65" i="1" s="1"/>
  <c r="C11" i="16"/>
  <c r="C6" i="16"/>
  <c r="C5" i="16"/>
  <c r="T83" i="1" s="1"/>
  <c r="C4" i="16"/>
  <c r="O37" i="1" s="1"/>
  <c r="P5" i="9" s="1"/>
  <c r="C3" i="16"/>
  <c r="O45" i="1" s="1"/>
  <c r="C2" i="16"/>
  <c r="AD96" i="1"/>
  <c r="AC96" i="1"/>
  <c r="AI96" i="1"/>
  <c r="AJ96" i="1"/>
  <c r="AK96" i="1"/>
  <c r="W97" i="1"/>
  <c r="X97" i="1"/>
  <c r="Y97" i="1"/>
  <c r="Z97" i="1"/>
  <c r="Q94" i="1" l="1"/>
  <c r="O94" i="1"/>
  <c r="O92" i="1" s="1"/>
  <c r="P95" i="1"/>
  <c r="O95" i="1"/>
  <c r="R95" i="1"/>
  <c r="P82" i="1"/>
  <c r="P93" i="1"/>
  <c r="O82" i="1"/>
  <c r="W82" i="1"/>
  <c r="W83" i="1"/>
  <c r="T67" i="1"/>
  <c r="X83" i="1"/>
  <c r="Q93" i="1"/>
  <c r="P64" i="1"/>
  <c r="O64" i="1"/>
  <c r="Q95" i="1"/>
  <c r="Z83" i="1"/>
  <c r="X82" i="1"/>
  <c r="V84" i="1"/>
  <c r="Y82" i="1"/>
  <c r="W84" i="1"/>
  <c r="Z82" i="1"/>
  <c r="X84" i="1"/>
  <c r="Y83" i="1"/>
  <c r="O83" i="1"/>
  <c r="Y84" i="1"/>
  <c r="R93" i="1"/>
  <c r="O66" i="1"/>
  <c r="P83" i="1"/>
  <c r="Z84" i="1"/>
  <c r="P66" i="1"/>
  <c r="Q83" i="1"/>
  <c r="Q66" i="1"/>
  <c r="U83" i="1"/>
  <c r="V83" i="1"/>
  <c r="Z85" i="1"/>
  <c r="Y85" i="1"/>
  <c r="X85" i="1"/>
  <c r="W85" i="1"/>
  <c r="V85" i="1"/>
  <c r="O85" i="1"/>
  <c r="U85" i="1"/>
  <c r="T85" i="1"/>
  <c r="S85" i="1"/>
  <c r="R85" i="1"/>
  <c r="Q85" i="1"/>
  <c r="P85" i="1"/>
  <c r="O65" i="1"/>
  <c r="U67" i="1"/>
  <c r="Q65" i="1"/>
  <c r="V67" i="1"/>
  <c r="O39" i="1"/>
  <c r="O67" i="1"/>
  <c r="P39" i="1"/>
  <c r="R94" i="1"/>
  <c r="Q39" i="1"/>
  <c r="O84" i="1"/>
  <c r="Q82" i="1"/>
  <c r="P84" i="1"/>
  <c r="O38" i="1"/>
  <c r="R82" i="1"/>
  <c r="Q84" i="1"/>
  <c r="R67" i="1"/>
  <c r="S82" i="1"/>
  <c r="R84" i="1"/>
  <c r="Q67" i="1"/>
  <c r="T82" i="1"/>
  <c r="R83" i="1"/>
  <c r="S84" i="1"/>
  <c r="P67" i="1"/>
  <c r="U82" i="1"/>
  <c r="S83" i="1"/>
  <c r="T84" i="1"/>
  <c r="P94" i="1"/>
  <c r="W55" i="1"/>
  <c r="X55" i="1"/>
  <c r="Y55" i="1"/>
  <c r="Z55" i="1"/>
  <c r="Z98" i="1"/>
  <c r="D27" i="15"/>
  <c r="C17" i="15" s="1"/>
  <c r="D26" i="15"/>
  <c r="C16" i="15" s="1"/>
  <c r="L21" i="15"/>
  <c r="F17" i="15"/>
  <c r="G17" i="15" s="1"/>
  <c r="L16" i="15"/>
  <c r="L15" i="15"/>
  <c r="D6" i="15"/>
  <c r="P6" i="15" s="1"/>
  <c r="C6" i="15"/>
  <c r="D7" i="15" s="1"/>
  <c r="D5" i="15"/>
  <c r="E5" i="15" s="1"/>
  <c r="P92" i="1" l="1"/>
  <c r="Q92" i="1"/>
  <c r="V81" i="1"/>
  <c r="V74" i="1" s="1"/>
  <c r="O56" i="1"/>
  <c r="W81" i="1"/>
  <c r="W74" i="1" s="1"/>
  <c r="Y81" i="1"/>
  <c r="Y74" i="1" s="1"/>
  <c r="Z81" i="1"/>
  <c r="Z74" i="1" s="1"/>
  <c r="U81" i="1"/>
  <c r="U74" i="1" s="1"/>
  <c r="X81" i="1"/>
  <c r="X74" i="1" s="1"/>
  <c r="P81" i="1"/>
  <c r="P74" i="1" s="1"/>
  <c r="Q81" i="1"/>
  <c r="Q74" i="1" s="1"/>
  <c r="O81" i="1"/>
  <c r="O74" i="1" s="1"/>
  <c r="T81" i="1"/>
  <c r="T74" i="1" s="1"/>
  <c r="R92" i="1"/>
  <c r="S81" i="1"/>
  <c r="S74" i="1" s="1"/>
  <c r="R81" i="1"/>
  <c r="R74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10" i="1" l="1"/>
  <c r="P110" i="1" s="1"/>
  <c r="Q110" i="1" s="1"/>
  <c r="R110" i="1" s="1"/>
  <c r="S110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8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5" i="1"/>
  <c r="X115" i="1"/>
  <c r="W115" i="1"/>
  <c r="Y114" i="1"/>
  <c r="X114" i="1"/>
  <c r="W114" i="1"/>
  <c r="G107" i="1"/>
  <c r="H107" i="1"/>
  <c r="I107" i="1"/>
  <c r="J107" i="1"/>
  <c r="K107" i="1"/>
  <c r="L107" i="1"/>
  <c r="L111" i="1"/>
  <c r="K111" i="1"/>
  <c r="W116" i="1" l="1"/>
  <c r="X116" i="1"/>
  <c r="Y116" i="1"/>
  <c r="M5" i="15"/>
  <c r="L7" i="15"/>
  <c r="L9" i="15"/>
  <c r="N5" i="15" l="1"/>
  <c r="M7" i="15"/>
  <c r="M9" i="15"/>
  <c r="L59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0" i="5" s="1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Q63" i="5" s="1"/>
  <c r="R62" i="5"/>
  <c r="S62" i="5"/>
  <c r="T62" i="5"/>
  <c r="U62" i="5"/>
  <c r="V62" i="5"/>
  <c r="W62" i="5"/>
  <c r="X62" i="5"/>
  <c r="Y62" i="5"/>
  <c r="Z62" i="5"/>
  <c r="AA62" i="5"/>
  <c r="M62" i="5"/>
  <c r="H51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U70" i="5" l="1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5" i="1" l="1"/>
  <c r="P35" i="1" s="1"/>
  <c r="Q35" i="1" s="1"/>
  <c r="R35" i="1" s="1"/>
  <c r="L4" i="10"/>
  <c r="G38" i="11" s="1"/>
  <c r="G41" i="11" s="1"/>
  <c r="Q70" i="5"/>
  <c r="R70" i="5"/>
  <c r="O69" i="5"/>
  <c r="P58" i="1"/>
  <c r="P56" i="1" s="1"/>
  <c r="Q58" i="1"/>
  <c r="Q56" i="1" s="1"/>
  <c r="R58" i="1"/>
  <c r="R56" i="1" s="1"/>
  <c r="T58" i="1"/>
  <c r="U58" i="1"/>
  <c r="V58" i="1"/>
  <c r="T59" i="1"/>
  <c r="U59" i="1"/>
  <c r="V59" i="1"/>
  <c r="V56" i="1" l="1"/>
  <c r="T56" i="1"/>
  <c r="U56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K12" i="9" s="1"/>
  <c r="V18" i="4"/>
  <c r="U46" i="1" s="1"/>
  <c r="M11" i="9" s="1"/>
  <c r="K11" i="9" s="1"/>
  <c r="U18" i="4"/>
  <c r="T46" i="1" s="1"/>
  <c r="M10" i="9" s="1"/>
  <c r="K10" i="9" s="1"/>
  <c r="T18" i="4"/>
  <c r="S46" i="1" s="1"/>
  <c r="M9" i="9" s="1"/>
  <c r="K9" i="9" s="1"/>
  <c r="F29" i="4"/>
  <c r="V33" i="4"/>
  <c r="V26" i="4" s="1"/>
  <c r="U33" i="4"/>
  <c r="U26" i="4" s="1"/>
  <c r="T33" i="4"/>
  <c r="T26" i="4" s="1"/>
  <c r="S33" i="4"/>
  <c r="S37" i="4" s="1"/>
  <c r="V55" i="1"/>
  <c r="U55" i="1"/>
  <c r="T55" i="1"/>
  <c r="S55" i="1"/>
  <c r="L61" i="5" s="1"/>
  <c r="U40" i="1" l="1"/>
  <c r="V40" i="1"/>
  <c r="S40" i="1"/>
  <c r="T40" i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8" i="1" s="1"/>
  <c r="T4" i="10"/>
  <c r="Q64" i="5"/>
  <c r="R61" i="5"/>
  <c r="X35" i="1" l="1"/>
  <c r="X98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8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101" i="1" l="1"/>
  <c r="K101" i="1"/>
  <c r="J101" i="1"/>
  <c r="I101" i="1"/>
  <c r="H101" i="1"/>
  <c r="G101" i="1"/>
  <c r="F101" i="1"/>
  <c r="G71" i="1"/>
  <c r="H71" i="1"/>
  <c r="I71" i="1"/>
  <c r="J71" i="1"/>
  <c r="K71" i="1"/>
  <c r="L71" i="1"/>
  <c r="L72" i="1" s="1"/>
  <c r="F71" i="1"/>
  <c r="J105" i="1"/>
  <c r="K105" i="1"/>
  <c r="G105" i="1"/>
  <c r="H105" i="1"/>
  <c r="I105" i="1"/>
  <c r="F105" i="1"/>
  <c r="F15" i="7" l="1"/>
  <c r="F13" i="7" s="1"/>
  <c r="L86" i="1"/>
  <c r="E68" i="5" s="1"/>
  <c r="J2" i="9" s="1"/>
  <c r="K86" i="1"/>
  <c r="T110" i="1"/>
  <c r="I15" i="7" l="1"/>
  <c r="I13" i="7" s="1"/>
  <c r="AK103" i="1" s="1"/>
  <c r="K15" i="7"/>
  <c r="K13" i="7" s="1"/>
  <c r="H15" i="7"/>
  <c r="H13" i="7" s="1"/>
  <c r="AJ103" i="1" s="1"/>
  <c r="G15" i="7"/>
  <c r="G13" i="7" s="1"/>
  <c r="AI103" i="1" s="1"/>
  <c r="J15" i="7"/>
  <c r="J13" i="7" s="1"/>
  <c r="U110" i="1"/>
  <c r="V110" i="1" s="1"/>
  <c r="O106" i="1"/>
  <c r="P106" i="1" s="1"/>
  <c r="Q106" i="1" s="1"/>
  <c r="R106" i="1" s="1"/>
  <c r="S106" i="1" s="1"/>
  <c r="T106" i="1" s="1"/>
  <c r="U106" i="1" s="1"/>
  <c r="V106" i="1" s="1"/>
  <c r="L15" i="7"/>
  <c r="L13" i="7" s="1"/>
  <c r="AD103" i="1"/>
  <c r="F114" i="1"/>
  <c r="F116" i="1" s="1"/>
  <c r="L47" i="1"/>
  <c r="L6" i="10" l="1"/>
  <c r="G24" i="11" s="1"/>
  <c r="G27" i="11" s="1"/>
  <c r="O103" i="1"/>
  <c r="O96" i="1" s="1"/>
  <c r="O98" i="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M6" i="10" l="1"/>
  <c r="H24" i="11" s="1"/>
  <c r="H27" i="11" s="1"/>
  <c r="P103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32" i="6"/>
  <c r="F76" i="6" l="1"/>
  <c r="F80" i="6" s="1"/>
  <c r="F82" i="6" s="1"/>
  <c r="N6" i="10"/>
  <c r="I24" i="11" s="1"/>
  <c r="I27" i="11" s="1"/>
  <c r="P96" i="1"/>
  <c r="F54" i="6"/>
  <c r="Q103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6" i="1"/>
  <c r="AE96" i="1" s="1"/>
  <c r="G54" i="6"/>
  <c r="F56" i="6"/>
  <c r="F58" i="6" s="1"/>
  <c r="R103" i="1"/>
  <c r="AE103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6" i="1"/>
  <c r="G56" i="6"/>
  <c r="G58" i="6" s="1"/>
  <c r="H54" i="6"/>
  <c r="S103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6" i="1"/>
  <c r="H56" i="6"/>
  <c r="H58" i="6" s="1"/>
  <c r="I54" i="6"/>
  <c r="T103" i="1"/>
  <c r="S86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6" i="1"/>
  <c r="I56" i="6"/>
  <c r="I58" i="6" s="1"/>
  <c r="J54" i="6"/>
  <c r="U103" i="1"/>
  <c r="T86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6" i="1"/>
  <c r="AF96" i="1" s="1"/>
  <c r="M27" i="11"/>
  <c r="K54" i="6"/>
  <c r="K56" i="6" s="1"/>
  <c r="K58" i="6" s="1"/>
  <c r="J56" i="6"/>
  <c r="J58" i="6" s="1"/>
  <c r="O24" i="11"/>
  <c r="N27" i="11"/>
  <c r="V103" i="1"/>
  <c r="AF103" i="1"/>
  <c r="U86" i="1"/>
  <c r="N68" i="5" s="1"/>
  <c r="N71" i="5" s="1"/>
  <c r="O86" i="1"/>
  <c r="P86" i="1"/>
  <c r="Q86" i="1"/>
  <c r="R86" i="1"/>
  <c r="O55" i="1"/>
  <c r="P55" i="1"/>
  <c r="Q55" i="1"/>
  <c r="R55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6" i="1"/>
  <c r="V115" i="1" s="1"/>
  <c r="P24" i="11"/>
  <c r="O27" i="11"/>
  <c r="L49" i="5"/>
  <c r="V86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6" i="1" l="1"/>
  <c r="P68" i="5" s="1"/>
  <c r="P71" i="5" s="1"/>
  <c r="H2" i="12" a="1"/>
  <c r="H12" i="12" s="1"/>
  <c r="Q24" i="11"/>
  <c r="P27" i="11"/>
  <c r="H3" i="9" a="1"/>
  <c r="X86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6" i="1" l="1"/>
  <c r="Y86" i="1"/>
  <c r="S24" i="11"/>
  <c r="R27" i="11"/>
  <c r="R71" i="5"/>
  <c r="T24" i="11" l="1"/>
  <c r="S27" i="11"/>
  <c r="T68" i="5"/>
  <c r="S71" i="5"/>
  <c r="G114" i="1"/>
  <c r="G116" i="1" s="1"/>
  <c r="H114" i="1"/>
  <c r="H116" i="1" s="1"/>
  <c r="I114" i="1"/>
  <c r="I116" i="1" s="1"/>
  <c r="J114" i="1"/>
  <c r="J116" i="1" s="1"/>
  <c r="K114" i="1"/>
  <c r="K116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1" i="1"/>
  <c r="K51" i="1"/>
  <c r="J51" i="1"/>
  <c r="AD47" i="1"/>
  <c r="G48" i="2"/>
  <c r="AI47" i="1" s="1"/>
  <c r="AI53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2" i="1"/>
  <c r="J97" i="1"/>
  <c r="K97" i="1"/>
  <c r="D54" i="5" s="1"/>
  <c r="K52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O17" i="4"/>
  <c r="N43" i="1" s="1"/>
  <c r="W68" i="5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Q46" i="1" s="1"/>
  <c r="M7" i="9" s="1"/>
  <c r="K7" i="9" l="1"/>
  <c r="N42" i="1"/>
  <c r="N97" i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1" i="1"/>
  <c r="H97" i="1"/>
  <c r="I51" i="1"/>
  <c r="F51" i="1"/>
  <c r="AC40" i="1"/>
  <c r="I47" i="2"/>
  <c r="H47" i="2"/>
  <c r="F24" i="2"/>
  <c r="N114" i="1" l="1"/>
  <c r="AF40" i="1"/>
  <c r="AE46" i="1"/>
  <c r="N37" i="4"/>
  <c r="N38" i="4" s="1"/>
  <c r="N18" i="4" s="1"/>
  <c r="L97" i="1"/>
  <c r="E54" i="5" s="1"/>
  <c r="L40" i="1"/>
  <c r="Y24" i="11"/>
  <c r="X27" i="11"/>
  <c r="F97" i="1"/>
  <c r="G97" i="1"/>
  <c r="G52" i="1"/>
  <c r="H52" i="1"/>
  <c r="I97" i="1"/>
  <c r="I52" i="1"/>
  <c r="J52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6" i="1"/>
  <c r="L114" i="1"/>
  <c r="L116" i="1" s="1"/>
  <c r="E28" i="5" s="1"/>
  <c r="AE40" i="1"/>
  <c r="H49" i="2"/>
  <c r="H50" i="2" s="1"/>
  <c r="I49" i="2"/>
  <c r="I50" i="2" s="1"/>
  <c r="N116" i="1" l="1"/>
  <c r="N17" i="4"/>
  <c r="Z24" i="11"/>
  <c r="Y27" i="11"/>
  <c r="AD40" i="1"/>
  <c r="Z68" i="5"/>
  <c r="Y71" i="5"/>
  <c r="AE15" i="1"/>
  <c r="AF18" i="1"/>
  <c r="AE18" i="1"/>
  <c r="AC69" i="1"/>
  <c r="AC55" i="1"/>
  <c r="AC35" i="1"/>
  <c r="AC34" i="1"/>
  <c r="AG21" i="1"/>
  <c r="AG18" i="1"/>
  <c r="AG15" i="1"/>
  <c r="AG12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1" i="1" s="1"/>
  <c r="AK34" i="1"/>
  <c r="AK51" i="1" s="1"/>
  <c r="AF15" i="1"/>
  <c r="B2" i="12" l="1" a="1"/>
  <c r="B2" i="12" s="1"/>
  <c r="AD21" i="1"/>
  <c r="AI51" i="1"/>
  <c r="AD35" i="1"/>
  <c r="AD53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8" i="1"/>
  <c r="AC51" i="1"/>
  <c r="O21" i="1"/>
  <c r="AD51" i="1"/>
  <c r="AO51" i="1" s="1"/>
  <c r="AE35" i="1"/>
  <c r="F54" i="5" l="1"/>
  <c r="F57" i="5" s="1"/>
  <c r="AN51" i="1"/>
  <c r="P21" i="1"/>
  <c r="O12" i="1"/>
  <c r="AF35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J4" i="9"/>
  <c r="O115" i="1"/>
  <c r="G21" i="5" s="1"/>
  <c r="G24" i="5" s="1"/>
  <c r="H68" i="5"/>
  <c r="H71" i="5" s="1"/>
  <c r="H47" i="5"/>
  <c r="H50" i="5" s="1"/>
  <c r="I68" i="5" l="1"/>
  <c r="I71" i="5" s="1"/>
  <c r="P115" i="1"/>
  <c r="H21" i="5" s="1"/>
  <c r="H24" i="5" s="1"/>
  <c r="P98" i="1"/>
  <c r="I47" i="5" s="1"/>
  <c r="I50" i="5" s="1"/>
  <c r="J68" i="5" l="1"/>
  <c r="J71" i="5" s="1"/>
  <c r="Q115" i="1"/>
  <c r="I21" i="5" s="1"/>
  <c r="I24" i="5" s="1"/>
  <c r="Q98" i="1"/>
  <c r="J47" i="5" s="1"/>
  <c r="K47" i="5" l="1"/>
  <c r="K50" i="5" s="1"/>
  <c r="J50" i="5"/>
  <c r="K68" i="5"/>
  <c r="K71" i="5" s="1"/>
  <c r="R98" i="1"/>
  <c r="R115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5" i="1"/>
  <c r="K21" i="5" s="1"/>
  <c r="K24" i="5" s="1"/>
  <c r="S98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5" i="1"/>
  <c r="L21" i="5" s="1"/>
  <c r="L24" i="5" s="1"/>
  <c r="T98" i="1"/>
  <c r="M50" i="5" s="1"/>
  <c r="R47" i="5" l="1"/>
  <c r="Q50" i="5"/>
  <c r="U98" i="1"/>
  <c r="N50" i="5" s="1"/>
  <c r="U115" i="1"/>
  <c r="M21" i="5" s="1"/>
  <c r="M24" i="5" l="1"/>
  <c r="N21" i="5"/>
  <c r="S47" i="5"/>
  <c r="R50" i="5"/>
  <c r="O100" i="1" l="1"/>
  <c r="O21" i="5"/>
  <c r="N24" i="5"/>
  <c r="S50" i="5"/>
  <c r="T47" i="5"/>
  <c r="O114" i="1" l="1"/>
  <c r="M5" i="10"/>
  <c r="H31" i="11" s="1"/>
  <c r="H34" i="11" s="1"/>
  <c r="L5" i="10"/>
  <c r="G31" i="11" s="1"/>
  <c r="G34" i="11" s="1"/>
  <c r="O24" i="5"/>
  <c r="P21" i="5"/>
  <c r="T50" i="5"/>
  <c r="U47" i="5"/>
  <c r="P100" i="1"/>
  <c r="O116" i="1" l="1"/>
  <c r="H28" i="5" s="1"/>
  <c r="H31" i="5" s="1"/>
  <c r="P114" i="1"/>
  <c r="N5" i="10"/>
  <c r="I31" i="11" s="1"/>
  <c r="I34" i="11" s="1"/>
  <c r="Q21" i="5"/>
  <c r="P24" i="5"/>
  <c r="U50" i="5"/>
  <c r="V47" i="5"/>
  <c r="Q100" i="1"/>
  <c r="P116" i="1" l="1"/>
  <c r="I28" i="5" s="1"/>
  <c r="I31" i="5" s="1"/>
  <c r="Q114" i="1"/>
  <c r="O5" i="10"/>
  <c r="J31" i="11" s="1"/>
  <c r="J34" i="11" s="1"/>
  <c r="R21" i="5"/>
  <c r="Q24" i="5"/>
  <c r="W47" i="5"/>
  <c r="V50" i="5"/>
  <c r="R100" i="1"/>
  <c r="Q116" i="1" l="1"/>
  <c r="J28" i="5" s="1"/>
  <c r="J31" i="5" s="1"/>
  <c r="R114" i="1"/>
  <c r="P5" i="10"/>
  <c r="K31" i="11" s="1"/>
  <c r="K34" i="11" s="1"/>
  <c r="R24" i="5"/>
  <c r="S21" i="5"/>
  <c r="X47" i="5"/>
  <c r="W50" i="5"/>
  <c r="S100" i="1"/>
  <c r="T101" i="1"/>
  <c r="R116" i="1" l="1"/>
  <c r="K28" i="5" s="1"/>
  <c r="K31" i="5" s="1"/>
  <c r="S114" i="1"/>
  <c r="Q5" i="10"/>
  <c r="L31" i="11" s="1"/>
  <c r="S24" i="5"/>
  <c r="T21" i="5"/>
  <c r="Y47" i="5"/>
  <c r="X50" i="5"/>
  <c r="T100" i="1"/>
  <c r="U101" i="1"/>
  <c r="S116" i="1" l="1"/>
  <c r="L28" i="5" s="1"/>
  <c r="L34" i="11"/>
  <c r="M31" i="11"/>
  <c r="T114" i="1"/>
  <c r="T116" i="1" s="1"/>
  <c r="R5" i="10"/>
  <c r="U100" i="1"/>
  <c r="V101" i="1"/>
  <c r="V100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4" i="1"/>
  <c r="V116" i="1" s="1"/>
  <c r="T5" i="10"/>
  <c r="U114" i="1"/>
  <c r="U116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1" i="1"/>
  <c r="O34" i="1" l="1"/>
  <c r="M3" i="10" s="1"/>
  <c r="H45" i="11" s="1"/>
  <c r="H48" i="11" s="1"/>
  <c r="O97" i="1"/>
  <c r="H54" i="5" s="1"/>
  <c r="H57" i="5" s="1"/>
  <c r="P51" i="1"/>
  <c r="L3" i="10"/>
  <c r="G45" i="11" s="1"/>
  <c r="G48" i="11" s="1"/>
  <c r="Q51" i="1" l="1"/>
  <c r="P34" i="1"/>
  <c r="N3" i="10" s="1"/>
  <c r="I45" i="11" s="1"/>
  <c r="I48" i="11" s="1"/>
  <c r="P97" i="1"/>
  <c r="I54" i="5" s="1"/>
  <c r="I57" i="5" s="1"/>
  <c r="Q34" i="1" l="1"/>
  <c r="O3" i="10" s="1"/>
  <c r="J45" i="11" s="1"/>
  <c r="J48" i="11" s="1"/>
  <c r="Q97" i="1"/>
  <c r="J54" i="5" s="1"/>
  <c r="J57" i="5" s="1"/>
  <c r="R51" i="1"/>
  <c r="AE51" i="1"/>
  <c r="R97" i="1" l="1"/>
  <c r="K54" i="5" s="1"/>
  <c r="S51" i="1"/>
  <c r="R34" i="1"/>
  <c r="P3" i="10" s="1"/>
  <c r="K45" i="11" s="1"/>
  <c r="K48" i="11" l="1"/>
  <c r="L45" i="11"/>
  <c r="S97" i="1"/>
  <c r="S34" i="1"/>
  <c r="Q3" i="10" s="1"/>
  <c r="T51" i="1"/>
  <c r="K57" i="5"/>
  <c r="L54" i="5"/>
  <c r="M54" i="5" l="1"/>
  <c r="L57" i="5"/>
  <c r="T97" i="1"/>
  <c r="T34" i="1"/>
  <c r="R3" i="10" s="1"/>
  <c r="U51" i="1"/>
  <c r="AF51" i="1" s="1"/>
  <c r="M45" i="11"/>
  <c r="L48" i="11"/>
  <c r="M48" i="11" l="1"/>
  <c r="N45" i="11"/>
  <c r="V51" i="1"/>
  <c r="V97" i="1" s="1"/>
  <c r="U34" i="1"/>
  <c r="S3" i="10" s="1"/>
  <c r="U97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S30" i="1"/>
  <c r="T30" i="1" s="1"/>
  <c r="U30" i="1" s="1"/>
  <c r="V30" i="1" s="1"/>
  <c r="K41" i="5"/>
  <c r="K43" i="5" s="1"/>
  <c r="E3" i="9" s="1" a="1"/>
  <c r="D7" i="12"/>
  <c r="S26" i="1"/>
  <c r="T27" i="1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U27" i="1"/>
  <c r="T26" i="1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V27" i="1"/>
  <c r="V26" i="1" s="1"/>
  <c r="U26" i="1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5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4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5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2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7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82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3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4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5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6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101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3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3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3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<sst xmlns="http://schemas.openxmlformats.org/spreadsheetml/2006/main" count="1025" uniqueCount="386">
  <si>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</si>
  <si>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</si>
  <si>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</si>
  <si>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</si>
  <si>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</si>
  <si>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</si>
  <si>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</si>
  <si>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</si>
  <si>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</si>
  <si>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</si>
  <si>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</si>
  <si>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</si>
  <si>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</si>
  <si>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</si>
  <si>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</si>
  <si>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</si>
  <si>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</si>
  <si>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</si>
  <si>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</si>
  <si>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</si>
  <si>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</si>
  <si>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</si>
  <si>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</si>
  <si>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</si>
  <si>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</si>
  <si>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</si>
  <si>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</si>
  <si>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</si>
  <si>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</si>
  <si>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</si>
  <si>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</si>
  <si>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</si>
  <si>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</si>
  <si>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</si>
  <si>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</si>
  <si>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</si>
  <si>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</si>
  <si>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</si>
  <si>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</si>
  <si>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</si>
  <si>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</si>
  <si>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</si>
  <si>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</si>
  <si>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</si>
  <si>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</si>
  <si>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</si>
  <si>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</si>
  <si>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</si>
  <si>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</si>
  <si>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</si>
  <si>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</si>
  <si>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</si>
  <si>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</si>
  <si>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</si>
  <si>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</si>
  <si>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</si>
  <si>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</si>
  <si>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</si>
  <si>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</si>
  <si>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</si>
  <si>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</si>
  <si>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</si>
  <si>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</si>
  <si>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</si>
  <si>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</si>
  <si>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</si>
  <si>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</si>
  <si>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</si>
  <si>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</si>
  <si>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</si>
  <si>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</si>
  <si>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</si>
  <si>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</si>
  <si>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</si>
  <si>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</si>
  <si>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</si>
  <si>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</si>
  <si>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</si>
  <si>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</si>
  <si>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</si>
  <si>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</si>
  <si>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</si>
  <si>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</si>
  <si>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</si>
  <si>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</si>
  <si>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</si>
  <si>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</si>
  <si>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</si>
  <si>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</si>
  <si>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</si>
  <si>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</si>
  <si>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</si>
  <si>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</si>
  <si>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</si>
  <si>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</si>
  <si>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</si>
  <si>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</si>
  <si>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</si>
  <si>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</si>
  <si>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</si>
  <si>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</si>
  <si>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</si>
  <si>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</si>
  <si>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</si>
  <si>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</si>
  <si>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</si>
  <si>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</si>
  <si>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</si>
  <si>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</si>
  <si>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</si>
  <si>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</si>
  <si>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</si>
  <si>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</si>
  <si>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</si>
  <si>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</si>
  <si>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</si>
  <si>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</si>
  <si>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</si>
  <si>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</si>
  <si>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</si>
  <si>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</si>
  <si>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</si>
  <si>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</si>
  <si>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</si>
  <si>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</si>
  <si>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</si>
  <si>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</si>
  <si>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</si>
  <si>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</si>
  <si>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</si>
  <si>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</si>
  <si>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</si>
  <si>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</si>
  <si>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</si>
  <si>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</si>
  <si>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</si>
  <si>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</si>
  <si>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</si>
  <si>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</si>
  <si>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</si>
  <si>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</si>
  <si>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</si>
  <si>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</si>
  <si>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</si>
  <si>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</si>
  <si>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</si>
  <si>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</si>
  <si>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</si>
  <si>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</si>
  <si>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</si>
  <si>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</si>
  <si>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</si>
  <si>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</si>
  <si>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</si>
  <si>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</si>
  <si>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</si>
  <si>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</si>
  <si>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</si>
  <si>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</si>
  <si>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</si>
  <si>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</si>
  <si>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</si>
  <si>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</si>
  <si>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</si>
  <si>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</si>
  <si>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</si>
  <si>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</si>
  <si>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</si>
  <si>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</si>
  <si>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</si>
  <si>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</si>
  <si>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</si>
  <si>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</si>
  <si>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</si>
  <si>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</si>
  <si>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</si>
  <si>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</si>
  <si>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</si>
  <si>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</si>
  <si>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</si>
  <si>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</si>
  <si>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</si>
  <si>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</si>
  <si>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</si>
  <si>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</si>
  <si>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</si>
  <si>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</si>
  <si>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</si>
  <si>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</si>
  <si>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</si>
  <si>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</si>
  <si>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</si>
  <si>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</si>
  <si>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</si>
  <si>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</si>
  <si>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</si>
  <si>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</si>
  <si>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</si>
  <si>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</si>
  <si>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</si>
  <si>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</si>
  <si>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</si>
  <si>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</si>
  <si>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</si>
  <si>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</si>
  <si>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</si>
  <si>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</si>
  <si>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</si>
  <si>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</si>
  <si>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</si>
  <si>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</si>
  <si>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</si>
  <si>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</si>
  <si>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</si>
  <si>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</si>
  <si>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</si>
  <si>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</si>
  <si>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</si>
  <si>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</si>
  <si>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</si>
  <si>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</si>
  <si>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</si>
  <si>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</si>
  <si>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</si>
  <si>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</si>
  <si>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</si>
  <si>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</si>
  <si>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</si>
  <si>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</si>
  <si>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</si>
  <si>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</si>
  <si>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</si>
  <si>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</si>
  <si>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</si>
  <si>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</si>
  <si>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</si>
  <si>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</si>
  <si>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</si>
  <si>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</si>
  <si>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</si>
  <si>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</si>
  <si>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</si>
  <si>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</si>
  <si>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</si>
  <si>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</si>
  <si>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</si>
  <si>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</si>
  <si>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</si>
  <si>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</si>
  <si>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</si>
  <si>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</si>
  <si>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</si>
  <si>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</si>
  <si>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</si>
  <si>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</si>
  <si>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</si>
  <si>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</si>
  <si>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</si>
  <si>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</si>
  <si>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</si>
  <si>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</si>
  <si>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</si>
  <si>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</si>
  <si>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</si>
  <si>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</si>
  <si>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</si>
  <si>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</si>
  <si>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</si>
  <si>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</si>
  <si>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</si>
  <si>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</si>
  <si>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</si>
  <si>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</si>
  <si>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</si>
  <si>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</si>
  <si>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</si>
  <si>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</si>
  <si>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</si>
  <si>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</si>
  <si>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</si>
  <si>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</si>
  <si>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</si>
  <si>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</si>
  <si>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</si>
  <si>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</si>
  <si>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</si>
  <si>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</si>
  <si>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</si>
  <si>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</si>
  <si>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</si>
  <si>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</si>
  <si>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</si>
  <si>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</si>
  <si>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</si>
  <si>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</si>
  <si>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</si>
  <si>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</si>
  <si>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</si>
  <si>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</si>
  <si>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</si>
  <si>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</si>
  <si>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</si>
  <si>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</si>
  <si>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</si>
  <si>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</si>
  <si>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</si>
  <si>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</si>
  <si>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</si>
  <si>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</si>
  <si>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</si>
  <si>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</si>
  <si>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</si>
  <si>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</si>
  <si>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</si>
  <si>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</si>
  <si>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</si>
  <si>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</si>
  <si>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</si>
  <si>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</si>
  <si>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</si>
  <si>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</si>
  <si>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</si>
  <si>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</si>
  <si>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</si>
  <si>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</si>
  <si>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</si>
  <si>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</si>
  <si>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</si>
  <si>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</si>
  <si>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</si>
  <si>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</si>
  <si>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</si>
  <si>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</si>
  <si>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</si>
  <si>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</si>
  <si>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</si>
  <si>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</si>
  <si>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</si>
  <si>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</si>
  <si>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</si>
  <si>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</si>
  <si>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</si>
  <si>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</si>
  <si>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</si>
  <si>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</si>
  <si>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</si>
  <si>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</si>
  <si>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</si>
  <si>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</si>
  <si>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</si>
  <si>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</si>
  <si>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</si>
  <si>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</si>
  <si>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</si>
  <si>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</si>
  <si>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</si>
  <si>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</si>
  <si>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</si>
  <si>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</si>
  <si>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</si>
  <si>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</si>
  <si>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</si>
  <si>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</si>
  <si>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</si>
  <si>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</si>
  <si>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</si>
  <si>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</si>
  <si>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</si>
  <si>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</si>
  <si>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</si>
  <si>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</si>
  <si>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</si>
  <si>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</si>
  <si>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</si>
  <si>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</si>
  <si>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</si>
  <si>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</si>
  <si>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</si>
  <si>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</si>
  <si>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</si>
  <si>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</si>
  <si>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</si>
  <si>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Nonprofit PPP Sophia</t>
  </si>
  <si>
    <t>Non profit Provider relief Sophia (correct)</t>
  </si>
  <si>
    <t>Education Sophia</t>
  </si>
  <si>
    <t>Support for hospitals (state) 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</si>
</sst>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8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3" fontId="0" fillId="9" borderId="35" xfId="0" applyNumberFormat="1" applyFill="1" applyBorder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4" dT="2020-12-17T16:13:31.41" personId="{2D35AFA9-F227-4AE7-B9A7-D673D9D18C70}" id="{C5311C2D-4764-4363-AE1C-A82227666FB7}">
    <text>estimated $300 billion next year. over three quarters = 100. annualized ( x4).</text>
  </threadedComment>
  <threadedComment ref="O64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5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2" dT="2020-09-10T19:09:05.64" personId="{2D35AFA9-F227-4AE7-B9A7-D673D9D18C70}" id="{2D81BDF9-A0D8-4A1A-915B-91D32E8E61FF}">
    <text>grow with nom purchases</text>
  </threadedComment>
  <threadedComment ref="L77" dT="2020-10-27T15:26:37.39" personId="{2D35AFA9-F227-4AE7-B9A7-D673D9D18C70}" id="{33EF6DF5-9556-47EC-86E1-A12FDBDC0AA8}">
    <text>CBO indicated 17 for q2? why do we split the quarter 3 payments into q2?</text>
  </threadedComment>
  <threadedComment ref="L77" dT="2020-10-28T16:31:53.35" personId="{2D35AFA9-F227-4AE7-B9A7-D673D9D18C70}" id="{1079BF34-6E2F-4888-8715-72B28B28D9AA}" parentId="{33EF6DF5-9556-47EC-86E1-A12FDBDC0AA8}">
    <text>we're comfortable leaving this as is</text>
  </threadedComment>
  <threadedComment ref="O82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3" dT="2020-12-21T21:00:34.35" personId="{2D35AFA9-F227-4AE7-B9A7-D673D9D18C70}" id="{DA48DE65-66E5-4DD8-819A-2F757A61D389}">
    <text>CRFB: estimates $82B. According to the Louise x Wendy, MPC is 100% over 3 years.</text>
  </threadedComment>
  <threadedComment ref="O84" dT="2020-12-21T21:03:38.65" personId="{2D35AFA9-F227-4AE7-B9A7-D673D9D18C70}" id="{1FC8F5D3-F5DD-4502-A8BF-AD36B99CFAF5}">
    <text>CRFB: estimates $63B. MPC is 100% over 12 quarters and then annualize</text>
  </threadedComment>
  <threadedComment ref="O85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101" dT="2020-09-11T20:43:00.49" personId="{2D35AFA9-F227-4AE7-B9A7-D673D9D18C70}" id="{11731043-8530-4DAC-9476-3C98D0D836BB}">
    <text>grow with S&amp;L nom purchases</text>
  </threadedComment>
  <threadedComment ref="O113" dT="2020-09-30T15:34:25.90" personId="{2D35AFA9-F227-4AE7-B9A7-D673D9D18C70}" id="{D84F0053-F219-4B69-8181-0F12AE7D3FC2}">
    <text>overide in the fim with 4%</text>
  </threadedComment>
  <threadedComment ref="O113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3" dT="2020-09-30T15:34:25.90" personId="{2D35AFA9-F227-4AE7-B9A7-D673D9D18C70}" id="{3B711313-D2C6-42FC-83C8-BA827015079B}">
    <text>overide in the fim with 4%</text>
  </threadedComment>
  <threadedComment ref="P113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4"/>
  <sheetViews>
    <sheetView tabSelected="1" zoomScale="134" zoomScaleNormal="110" workbookViewId="0">
      <pane xSplit="2" ySplit="3" topLeftCell="I65" activePane="bottomRight" state="frozen"/>
      <selection pane="topRight" activeCell="C1" sqref="C1"/>
      <selection pane="bottomLeft" activeCell="A4" sqref="A4"/>
      <selection pane="bottomRight" activeCell="L72" sqref="L72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5" max="35" width="8.83203125" customWidth="1"/>
    <col min="39" max="39" width="8.6640625" style="146"/>
  </cols>
  <sheetData>
    <row r="1" spans="1:43" ht="19" customHeight="1" x14ac:dyDescent="0.25">
      <c r="A1" s="342" t="s">
        <v>371</v>
      </c>
      <c r="B1" s="342"/>
      <c r="C1" s="268"/>
      <c r="D1" s="268"/>
      <c r="E1" s="35"/>
      <c r="N1" t="s">
        <v>373</v>
      </c>
      <c r="AC1" s="348" t="s">
        <v>247</v>
      </c>
      <c r="AD1" s="348"/>
      <c r="AE1" s="346" t="s">
        <v>245</v>
      </c>
      <c r="AF1" s="347"/>
      <c r="AG1" t="s">
        <v>28</v>
      </c>
      <c r="AI1" s="344" t="s">
        <v>278</v>
      </c>
      <c r="AJ1" s="344"/>
      <c r="AK1" s="344"/>
      <c r="AL1" s="344"/>
      <c r="AM1" s="343" t="s">
        <v>276</v>
      </c>
      <c r="AN1" s="343"/>
      <c r="AO1" s="343"/>
      <c r="AP1" s="343"/>
    </row>
    <row r="2" spans="1:43" ht="23" customHeight="1" x14ac:dyDescent="0.2">
      <c r="F2" s="341" t="s">
        <v>21</v>
      </c>
      <c r="G2" s="341"/>
      <c r="H2" s="341"/>
      <c r="I2" s="341"/>
      <c r="J2" s="341" t="s">
        <v>9</v>
      </c>
      <c r="K2" s="341"/>
      <c r="L2" s="341"/>
      <c r="M2" s="341"/>
      <c r="N2" s="341" t="s">
        <v>10</v>
      </c>
      <c r="O2" s="341"/>
      <c r="P2" s="341"/>
      <c r="Q2" s="341"/>
      <c r="R2" s="341" t="s">
        <v>11</v>
      </c>
      <c r="S2" s="341"/>
      <c r="T2" s="341"/>
      <c r="U2" s="341"/>
      <c r="V2" s="341" t="s">
        <v>265</v>
      </c>
      <c r="W2" s="341"/>
      <c r="X2" s="341"/>
      <c r="Y2" s="341"/>
      <c r="Z2" s="221"/>
      <c r="AA2" s="283"/>
      <c r="AB2" s="221"/>
      <c r="AC2" s="341" t="s">
        <v>102</v>
      </c>
      <c r="AD2" s="341"/>
      <c r="AE2" s="341"/>
      <c r="AF2" s="341"/>
      <c r="AG2" s="341"/>
      <c r="AH2" s="341"/>
      <c r="AI2" s="341"/>
      <c r="AJ2" s="341"/>
      <c r="AK2" s="341"/>
      <c r="AL2" s="345"/>
    </row>
    <row r="3" spans="1:43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246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265</v>
      </c>
      <c r="AN3" s="97" t="s">
        <v>12</v>
      </c>
      <c r="AO3" s="97" t="s">
        <v>11</v>
      </c>
      <c r="AP3" s="97" t="s">
        <v>265</v>
      </c>
    </row>
    <row r="4" spans="1:43" ht="19" x14ac:dyDescent="0.25">
      <c r="A4" s="340" t="s">
        <v>261</v>
      </c>
      <c r="B4" s="340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2">
      <c r="A5" t="s">
        <v>259</v>
      </c>
      <c r="B5" t="s">
        <v>280</v>
      </c>
      <c r="C5" s="35" t="s">
        <v>291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15">
      <c r="A6" s="169" t="s">
        <v>214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2">
      <c r="A7" t="s">
        <v>260</v>
      </c>
      <c r="B7" t="s">
        <v>280</v>
      </c>
      <c r="C7" s="35" t="s">
        <v>292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15">
      <c r="A8" s="169" t="s">
        <v>214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2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2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2">
      <c r="A11" s="176" t="s">
        <v>256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2">
      <c r="A12" s="211" t="s">
        <v>25</v>
      </c>
      <c r="B12" t="s">
        <v>280</v>
      </c>
      <c r="C12" t="s">
        <v>293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2">
      <c r="A13" s="212" t="s">
        <v>376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2">
      <c r="A14" s="212" t="s">
        <v>372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2">
      <c r="A15" s="211" t="s">
        <v>26</v>
      </c>
      <c r="B15" t="s">
        <v>280</v>
      </c>
      <c r="C15" t="s">
        <v>294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2">
      <c r="A16" s="212" t="s">
        <v>376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2">
      <c r="A17" s="212" t="s">
        <v>214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2">
      <c r="A18" s="211" t="s">
        <v>27</v>
      </c>
      <c r="B18" t="s">
        <v>280</v>
      </c>
      <c r="C18" t="s">
        <v>295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2">
      <c r="A19" s="212" t="s">
        <v>376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2">
      <c r="A20" s="212" t="s">
        <v>214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2">
      <c r="A21" s="176" t="s">
        <v>0</v>
      </c>
      <c r="B21" t="s">
        <v>280</v>
      </c>
      <c r="C21" t="s">
        <v>296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2">
      <c r="A22" s="177" t="s">
        <v>376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2">
      <c r="A23" s="177" t="s">
        <v>214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2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2">
      <c r="A25" t="s">
        <v>262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2">
      <c r="A26" s="176" t="s">
        <v>263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2">
      <c r="A27" s="211" t="s">
        <v>22</v>
      </c>
      <c r="C27" t="s">
        <v>297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2">
      <c r="A28" s="211" t="s">
        <v>23</v>
      </c>
      <c r="C28" t="s">
        <v>298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2">
      <c r="A29" s="211" t="s">
        <v>24</v>
      </c>
      <c r="C29" t="s">
        <v>299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2">
      <c r="A30" s="176" t="s">
        <v>0</v>
      </c>
      <c r="C30" t="s">
        <v>300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15">
      <c r="A31" s="177" t="s">
        <v>264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2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2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ht="16" x14ac:dyDescent="0.2">
      <c r="A34" s="86" t="s">
        <v>14</v>
      </c>
      <c r="B34" t="s">
        <v>280</v>
      </c>
      <c r="C34" t="s">
        <v>301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 t="shared" ref="O34:U34" si="29">O35+O40+O51</f>
        <v>3270456.7169724014</v>
      </c>
      <c r="P34" s="133">
        <f t="shared" si="29"/>
        <v>2708796.7165770018</v>
      </c>
      <c r="Q34" s="133">
        <f t="shared" si="29"/>
        <v>2611509.6718853824</v>
      </c>
      <c r="R34" s="133">
        <f t="shared" si="29"/>
        <v>2678465.9441347551</v>
      </c>
      <c r="S34" s="133">
        <f t="shared" si="29"/>
        <v>2735176.6542439447</v>
      </c>
      <c r="T34" s="133">
        <f t="shared" si="29"/>
        <v>2793300.2519227522</v>
      </c>
      <c r="U34" s="133">
        <f t="shared" si="29"/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ht="16" x14ac:dyDescent="0.2">
      <c r="A35" s="86" t="s">
        <v>3</v>
      </c>
      <c r="B35" t="s">
        <v>280</v>
      </c>
      <c r="C35" t="s">
        <v>302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87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19</v>
      </c>
    </row>
    <row r="36" spans="1:39" ht="16" x14ac:dyDescent="0.2">
      <c r="A36" s="93" t="s">
        <v>338</v>
      </c>
      <c r="B36" t="s">
        <v>280</v>
      </c>
      <c r="C36" t="s">
        <v>303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87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ht="16" x14ac:dyDescent="0.2">
      <c r="A37" s="281" t="s">
        <v>339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275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ht="16" x14ac:dyDescent="0.2">
      <c r="A38" s="281" t="s">
        <v>346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ht="16" x14ac:dyDescent="0.2">
      <c r="A39" s="281" t="s">
        <v>350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ht="16" x14ac:dyDescent="0.2">
      <c r="A40" s="86" t="s">
        <v>141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87">
        <f t="shared" ref="O40:V40" si="30">O42+O46</f>
        <v>724000</v>
      </c>
      <c r="P40" s="87">
        <f t="shared" si="30"/>
        <v>152000</v>
      </c>
      <c r="Q40" s="87">
        <f t="shared" si="30"/>
        <v>44000</v>
      </c>
      <c r="R40" s="87">
        <f t="shared" si="30"/>
        <v>44000</v>
      </c>
      <c r="S40" s="87">
        <f t="shared" si="30"/>
        <v>44000</v>
      </c>
      <c r="T40" s="87">
        <f t="shared" si="30"/>
        <v>44000</v>
      </c>
      <c r="U40" s="87">
        <f t="shared" si="30"/>
        <v>44000</v>
      </c>
      <c r="V40" s="87">
        <f t="shared" si="30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1" si="31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ht="16" x14ac:dyDescent="0.2">
      <c r="A41" s="115" t="s">
        <v>332</v>
      </c>
      <c r="B41" t="s">
        <v>280</v>
      </c>
      <c r="C41" t="s">
        <v>304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87"/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ht="16" x14ac:dyDescent="0.2">
      <c r="A42" s="117" t="s">
        <v>211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87">
        <f>SUM(O43:O45)</f>
        <v>664000</v>
      </c>
      <c r="P42" s="87">
        <f>SUM(P43:P45)</f>
        <v>108000</v>
      </c>
      <c r="Q42" s="87">
        <f t="shared" ref="Q42" si="32">Q43+Q44+Q45</f>
        <v>0</v>
      </c>
      <c r="R42" s="87">
        <f t="shared" ref="R42" si="33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ht="16" x14ac:dyDescent="0.2">
      <c r="A43" s="270" t="s">
        <v>138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87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31"/>
        <v>0</v>
      </c>
      <c r="AG43" s="3"/>
      <c r="AI43" s="3"/>
      <c r="AJ43" s="3"/>
      <c r="AK43" s="3"/>
      <c r="AL43" s="3"/>
      <c r="AM43" s="182"/>
    </row>
    <row r="44" spans="1:39" ht="16" x14ac:dyDescent="0.2">
      <c r="A44" s="270" t="s">
        <v>162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87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2">
      <c r="A45" s="273" t="s">
        <v>344</v>
      </c>
      <c r="F45" s="202"/>
      <c r="G45" s="202"/>
      <c r="H45" s="202"/>
      <c r="I45" s="202"/>
      <c r="J45" s="202"/>
      <c r="K45" s="202"/>
      <c r="L45" s="202"/>
      <c r="M45" s="301"/>
      <c r="N45" s="303"/>
      <c r="O45" s="275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ht="16" x14ac:dyDescent="0.2">
      <c r="A46" s="117" t="s">
        <v>139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87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31"/>
        <v>44</v>
      </c>
      <c r="AG46" s="3"/>
      <c r="AI46" s="3"/>
      <c r="AJ46" s="3"/>
      <c r="AK46" s="3"/>
      <c r="AL46" s="3"/>
      <c r="AM46" s="182"/>
    </row>
    <row r="47" spans="1:39" s="107" customFormat="1" ht="32" x14ac:dyDescent="0.2">
      <c r="A47" s="325" t="s">
        <v>147</v>
      </c>
      <c r="F47" s="326"/>
      <c r="G47" s="326"/>
      <c r="H47" s="326"/>
      <c r="I47" s="326"/>
      <c r="J47" s="326">
        <v>0</v>
      </c>
      <c r="K47" s="326">
        <v>0</v>
      </c>
      <c r="L47" s="326">
        <f>SUM(L48:L50)</f>
        <v>179900</v>
      </c>
      <c r="M47" s="327">
        <v>85400</v>
      </c>
      <c r="N47" s="328">
        <f>SUM(N48:N50)</f>
        <v>45300</v>
      </c>
      <c r="O47" s="329">
        <f t="shared" ref="O47:R47" si="34">SUM(O48:O50)</f>
        <v>54177.595548489669</v>
      </c>
      <c r="P47" s="329">
        <f t="shared" si="34"/>
        <v>43000</v>
      </c>
      <c r="Q47" s="329">
        <f t="shared" si="34"/>
        <v>43000</v>
      </c>
      <c r="R47" s="329">
        <f t="shared" si="34"/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46.369398887122415</v>
      </c>
      <c r="AF47" s="331">
        <f t="shared" ref="AF47" si="35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ht="16" x14ac:dyDescent="0.2">
      <c r="A48" s="333" t="s">
        <v>205</v>
      </c>
      <c r="B48" s="107" t="s">
        <v>280</v>
      </c>
      <c r="C48" s="107" t="s">
        <v>305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>
        <f>VLOOKUP($C$48,'Haver NA'!$A$1:$J$34,10,0)</f>
        <v>10800</v>
      </c>
      <c r="O48" s="329">
        <v>377.5955484896661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ht="16" x14ac:dyDescent="0.2">
      <c r="A49" s="333" t="s">
        <v>382</v>
      </c>
      <c r="B49" s="107" t="s">
        <v>280</v>
      </c>
      <c r="C49" s="107" t="s">
        <v>305</v>
      </c>
      <c r="F49" s="326"/>
      <c r="G49" s="326"/>
      <c r="H49" s="326"/>
      <c r="I49" s="326"/>
      <c r="J49" s="326"/>
      <c r="K49" s="326"/>
      <c r="L49" s="326"/>
      <c r="M49" s="327"/>
      <c r="N49" s="328"/>
      <c r="O49" s="329">
        <v>10800</v>
      </c>
      <c r="P49" s="329"/>
      <c r="Q49" s="329"/>
      <c r="R49" s="329"/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s="107" customFormat="1" ht="32" x14ac:dyDescent="0.2">
      <c r="A50" s="333" t="s">
        <v>383</v>
      </c>
      <c r="B50" s="107" t="s">
        <v>280</v>
      </c>
      <c r="C50" s="107" t="s">
        <v>306</v>
      </c>
      <c r="F50" s="326"/>
      <c r="G50" s="326"/>
      <c r="H50" s="326"/>
      <c r="I50" s="326"/>
      <c r="J50" s="326"/>
      <c r="K50" s="326"/>
      <c r="L50" s="326">
        <v>160900</v>
      </c>
      <c r="M50" s="327">
        <v>58400</v>
      </c>
      <c r="N50" s="328">
        <f>VLOOKUP($C$50,'Haver NA'!$A$1:$J$34,10,0)</f>
        <v>34500</v>
      </c>
      <c r="O50" s="329">
        <v>43000</v>
      </c>
      <c r="P50" s="329">
        <v>43000</v>
      </c>
      <c r="Q50" s="329">
        <v>43000</v>
      </c>
      <c r="R50" s="329">
        <v>15000</v>
      </c>
      <c r="S50" s="329"/>
      <c r="T50" s="329"/>
      <c r="U50" s="329"/>
      <c r="V50" s="329"/>
      <c r="W50" s="329"/>
      <c r="X50" s="329"/>
      <c r="Y50" s="329"/>
      <c r="Z50" s="329"/>
      <c r="AA50" s="329"/>
      <c r="AB50" s="329"/>
      <c r="AC50" s="329"/>
      <c r="AD50" s="329"/>
      <c r="AE50" s="329"/>
      <c r="AF50" s="329"/>
      <c r="AG50" s="329"/>
      <c r="AI50" s="330"/>
      <c r="AJ50" s="330"/>
      <c r="AK50" s="330"/>
      <c r="AL50" s="330"/>
      <c r="AM50" s="332"/>
    </row>
    <row r="51" spans="1:41" ht="32" x14ac:dyDescent="0.2">
      <c r="A51" s="86" t="s">
        <v>149</v>
      </c>
      <c r="F51" s="197">
        <f>F34-F36-F40-F35</f>
        <v>1440187</v>
      </c>
      <c r="G51" s="197">
        <f>G34-G36-G40-G35</f>
        <v>1503410</v>
      </c>
      <c r="H51" s="201">
        <f>H34-H36-H40-H35</f>
        <v>1508652</v>
      </c>
      <c r="I51" s="197">
        <f>I34-I36-I40-I35</f>
        <v>1513957</v>
      </c>
      <c r="J51" s="201">
        <f>J34-J36-J40-J35-J47</f>
        <v>1521941</v>
      </c>
      <c r="K51" s="201">
        <f>K34-K36-K40-K35-K47</f>
        <v>1574462</v>
      </c>
      <c r="L51" s="201">
        <f>L34-L36-L41-L35-L47</f>
        <v>1648724</v>
      </c>
      <c r="M51" s="303">
        <v>1669801</v>
      </c>
      <c r="N51" s="306">
        <f>N34-N36-N40-N35-N47-N37</f>
        <v>1675893</v>
      </c>
      <c r="O51" s="88">
        <f>N51*(1+O53)</f>
        <v>1663323.8025</v>
      </c>
      <c r="P51" s="88">
        <f t="shared" ref="P51:Q51" si="36">O51*(1+P53)</f>
        <v>1650848.87398125</v>
      </c>
      <c r="Q51" s="88">
        <f t="shared" si="36"/>
        <v>1638467.5074263907</v>
      </c>
      <c r="R51" s="88">
        <f>Q51*(1+R53)</f>
        <v>1663044.5200377863</v>
      </c>
      <c r="S51" s="88">
        <f t="shared" ref="S51:U51" si="37">R51*(1+S53)</f>
        <v>1687990.187838353</v>
      </c>
      <c r="T51" s="88">
        <f t="shared" si="37"/>
        <v>1713310.0406559282</v>
      </c>
      <c r="U51" s="88">
        <f t="shared" si="37"/>
        <v>1739009.691265767</v>
      </c>
      <c r="V51" s="88">
        <f>U51*(1+V53)</f>
        <v>1756399.7881784246</v>
      </c>
      <c r="W51" s="44"/>
      <c r="X51" s="3"/>
      <c r="Y51" s="3"/>
      <c r="Z51" s="3"/>
      <c r="AA51" s="3"/>
      <c r="AB51" s="3"/>
      <c r="AC51" s="3">
        <f>AD34-AD36-AD40-AD35-AD47</f>
        <v>-1666.23125</v>
      </c>
      <c r="AD51" s="45">
        <f>AVERAGE(J51:M51)/1000</f>
        <v>1603.732</v>
      </c>
      <c r="AE51" s="45">
        <f>AVERAGE(N51:Q51)/1000</f>
        <v>1657.1332959769102</v>
      </c>
      <c r="AF51" s="45">
        <f t="shared" si="31"/>
        <v>1700.8386099494589</v>
      </c>
      <c r="AG51" s="3"/>
      <c r="AI51" s="3">
        <f>AI34-AI36-AI40-AI35-AI47</f>
        <v>1571.7041322167745</v>
      </c>
      <c r="AJ51" s="3">
        <f>AJ34-AJ36-AJ40-AJ35</f>
        <v>1644.9470557811208</v>
      </c>
      <c r="AK51" s="3">
        <f>AK34-AK36-AK40-AK35</f>
        <v>1684.8968956203648</v>
      </c>
      <c r="AL51" s="3"/>
      <c r="AM51" s="182"/>
      <c r="AN51">
        <f>AJ51/AI51*AD51</f>
        <v>1678.467452993958</v>
      </c>
      <c r="AO51">
        <f>AK51/AI51*AD51</f>
        <v>1719.2313825604638</v>
      </c>
    </row>
    <row r="52" spans="1:41" s="170" customFormat="1" ht="12" x14ac:dyDescent="0.15">
      <c r="A52" s="169" t="s">
        <v>214</v>
      </c>
      <c r="C52" s="269"/>
      <c r="D52" s="269"/>
      <c r="F52" s="225"/>
      <c r="G52" s="227">
        <f>G51/F51-1</f>
        <v>4.3899160317375507E-2</v>
      </c>
      <c r="H52" s="227">
        <f t="shared" ref="H52:L52" si="38">H51/G51-1</f>
        <v>3.4867401440725754E-3</v>
      </c>
      <c r="I52" s="227">
        <f t="shared" si="38"/>
        <v>3.5163841628156334E-3</v>
      </c>
      <c r="J52" s="227">
        <f t="shared" si="38"/>
        <v>5.2735975988749129E-3</v>
      </c>
      <c r="K52" s="227">
        <f t="shared" si="38"/>
        <v>3.4509222105193249E-2</v>
      </c>
      <c r="L52" s="227">
        <f t="shared" si="38"/>
        <v>4.7166587697893059E-2</v>
      </c>
      <c r="M52" s="227">
        <v>1.2783825552366457E-2</v>
      </c>
      <c r="N52" s="227">
        <f t="shared" ref="N52" si="39">N51/M51-1</f>
        <v>3.6483389338011207E-3</v>
      </c>
      <c r="O52" s="226"/>
      <c r="P52" s="226"/>
      <c r="Q52" s="226"/>
      <c r="R52" s="226"/>
      <c r="S52" s="226"/>
      <c r="T52" s="226"/>
      <c r="U52" s="226"/>
      <c r="V52" s="226"/>
      <c r="W52" s="172"/>
      <c r="X52" s="174"/>
      <c r="Y52" s="174"/>
      <c r="Z52" s="174"/>
      <c r="AA52" s="174"/>
      <c r="AB52" s="174"/>
      <c r="AC52" s="174"/>
      <c r="AD52" s="173"/>
      <c r="AE52" s="173"/>
      <c r="AF52" s="173"/>
      <c r="AG52" s="174"/>
      <c r="AI52" s="174"/>
      <c r="AJ52" s="174"/>
      <c r="AK52" s="174"/>
      <c r="AL52" s="174"/>
      <c r="AM52" s="183"/>
    </row>
    <row r="53" spans="1:41" s="185" customFormat="1" x14ac:dyDescent="0.2">
      <c r="A53" s="169" t="s">
        <v>268</v>
      </c>
      <c r="F53" s="207"/>
      <c r="G53" s="207"/>
      <c r="H53" s="207"/>
      <c r="I53" s="207"/>
      <c r="J53" s="200"/>
      <c r="K53" s="200"/>
      <c r="L53" s="200"/>
      <c r="M53" s="301"/>
      <c r="N53" s="302"/>
      <c r="O53" s="175">
        <v>-7.4999999999999997E-3</v>
      </c>
      <c r="P53" s="175">
        <v>-7.4999999999999997E-3</v>
      </c>
      <c r="Q53" s="175">
        <v>-7.4999999999999997E-3</v>
      </c>
      <c r="R53" s="175">
        <v>1.4999999999999999E-2</v>
      </c>
      <c r="S53" s="175">
        <v>1.4999999999999999E-2</v>
      </c>
      <c r="T53" s="175">
        <v>1.4999999999999999E-2</v>
      </c>
      <c r="U53" s="175">
        <v>1.4999999999999999E-2</v>
      </c>
      <c r="V53" s="175">
        <v>0.01</v>
      </c>
      <c r="W53" s="175"/>
      <c r="AD53" s="187">
        <f>AD35+AD36+AD40+AD47</f>
        <v>1666.23125</v>
      </c>
      <c r="AI53" s="187">
        <f>AI35+AI36+AI40+AI47</f>
        <v>1749.068</v>
      </c>
      <c r="AM53" s="234"/>
      <c r="AN53" s="224">
        <v>-7.4999999999999997E-3</v>
      </c>
      <c r="AO53" s="224">
        <v>1.4999999999999999E-2</v>
      </c>
    </row>
    <row r="54" spans="1:41" s="35" customFormat="1" ht="14" customHeight="1" x14ac:dyDescent="0.2">
      <c r="A54"/>
      <c r="B54"/>
      <c r="E54"/>
      <c r="F54" s="197"/>
      <c r="G54" s="197"/>
      <c r="H54" s="197"/>
      <c r="I54" s="197"/>
      <c r="J54" s="197"/>
      <c r="K54" s="197"/>
      <c r="L54" s="197"/>
      <c r="M54" s="301"/>
      <c r="N54" s="307"/>
      <c r="O54" s="3"/>
      <c r="P54" s="3"/>
      <c r="Q54" s="3"/>
      <c r="R54" s="3"/>
      <c r="S54" s="3"/>
      <c r="T54" s="3"/>
      <c r="U54" s="3"/>
      <c r="V54" s="3"/>
      <c r="W54" s="44"/>
      <c r="X54" s="44"/>
      <c r="Y54" s="44"/>
      <c r="Z54" s="44"/>
      <c r="AA54" s="44"/>
      <c r="AB54" s="44"/>
      <c r="AC54" s="44"/>
      <c r="AD54" s="45"/>
      <c r="AE54" s="45"/>
      <c r="AF54" s="45"/>
      <c r="AG54" s="44"/>
      <c r="AI54" s="44"/>
      <c r="AJ54" s="44"/>
      <c r="AK54" s="44"/>
      <c r="AL54" s="44"/>
      <c r="AM54" s="235"/>
    </row>
    <row r="55" spans="1:41" s="35" customFormat="1" x14ac:dyDescent="0.2">
      <c r="A55" s="141" t="s">
        <v>4</v>
      </c>
      <c r="B55" s="141" t="s">
        <v>280</v>
      </c>
      <c r="C55" t="s">
        <v>307</v>
      </c>
      <c r="D55"/>
      <c r="E55" s="141"/>
      <c r="F55" s="197">
        <v>79458</v>
      </c>
      <c r="G55" s="197">
        <v>71318</v>
      </c>
      <c r="H55" s="197">
        <v>61083</v>
      </c>
      <c r="I55" s="202">
        <v>81998</v>
      </c>
      <c r="J55" s="202">
        <v>81147</v>
      </c>
      <c r="K55" s="202">
        <v>75093</v>
      </c>
      <c r="L55" s="202">
        <v>1086548</v>
      </c>
      <c r="M55" s="303">
        <v>1213480</v>
      </c>
      <c r="N55" s="308">
        <f>VLOOKUP($C$55,'Haver NA'!$A$1:$J$34,10,0)</f>
        <v>610536</v>
      </c>
      <c r="O55" s="144">
        <f t="shared" ref="O55:Z55" si="40">O56+AVERAGE($H$55:$K$55)</f>
        <v>794083.58333333337</v>
      </c>
      <c r="P55" s="144">
        <f t="shared" si="40"/>
        <v>794083.58333333337</v>
      </c>
      <c r="Q55" s="144">
        <f t="shared" si="40"/>
        <v>144083.58333333331</v>
      </c>
      <c r="R55" s="144">
        <f t="shared" si="40"/>
        <v>122750.25</v>
      </c>
      <c r="S55" s="144">
        <f t="shared" si="40"/>
        <v>77330.25</v>
      </c>
      <c r="T55" s="144">
        <f t="shared" si="40"/>
        <v>77330.25</v>
      </c>
      <c r="U55" s="144">
        <f t="shared" si="40"/>
        <v>77330.25</v>
      </c>
      <c r="V55" s="144">
        <f t="shared" si="40"/>
        <v>77330.25</v>
      </c>
      <c r="W55" s="144">
        <f t="shared" si="40"/>
        <v>74830.25</v>
      </c>
      <c r="X55" s="144">
        <f t="shared" si="40"/>
        <v>74830.25</v>
      </c>
      <c r="Y55" s="144">
        <f t="shared" si="40"/>
        <v>74830.25</v>
      </c>
      <c r="Z55" s="144">
        <f t="shared" si="40"/>
        <v>74830.25</v>
      </c>
      <c r="AA55" s="44"/>
      <c r="AB55" s="44"/>
      <c r="AC55" s="44">
        <f>AVERAGE(F55:I55)/1000</f>
        <v>73.464250000000007</v>
      </c>
      <c r="AD55" s="44"/>
      <c r="AE55" s="44"/>
      <c r="AF55" s="44"/>
      <c r="AM55" s="233"/>
    </row>
    <row r="56" spans="1:41" s="35" customFormat="1" ht="16" x14ac:dyDescent="0.2">
      <c r="A56" s="134" t="s">
        <v>200</v>
      </c>
      <c r="F56" s="197"/>
      <c r="G56" s="197"/>
      <c r="H56" s="197"/>
      <c r="I56" s="202"/>
      <c r="J56" s="202"/>
      <c r="K56" s="202"/>
      <c r="L56" s="202"/>
      <c r="M56" s="299">
        <v>1093900</v>
      </c>
      <c r="N56" s="308">
        <f t="shared" ref="N56" si="41">N58+N59+N64</f>
        <v>473700</v>
      </c>
      <c r="O56" s="116">
        <f>O58+O59+SUM(O64:O67)</f>
        <v>719253.33333333337</v>
      </c>
      <c r="P56" s="116">
        <f t="shared" ref="P56:V56" si="42">P58+P59+SUM(P64:P67)</f>
        <v>719253.33333333337</v>
      </c>
      <c r="Q56" s="116">
        <f t="shared" si="42"/>
        <v>69253.333333333328</v>
      </c>
      <c r="R56" s="116">
        <f t="shared" si="42"/>
        <v>47920</v>
      </c>
      <c r="S56" s="116">
        <f t="shared" si="42"/>
        <v>2500</v>
      </c>
      <c r="T56" s="116">
        <f t="shared" si="42"/>
        <v>2500</v>
      </c>
      <c r="U56" s="116">
        <f t="shared" si="42"/>
        <v>2500</v>
      </c>
      <c r="V56" s="116">
        <f t="shared" si="42"/>
        <v>2500</v>
      </c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ht="16" x14ac:dyDescent="0.2">
      <c r="A57" s="219" t="s">
        <v>336</v>
      </c>
      <c r="F57" s="197"/>
      <c r="G57" s="197"/>
      <c r="H57" s="197"/>
      <c r="I57" s="202"/>
      <c r="J57" s="202"/>
      <c r="K57" s="202"/>
      <c r="L57" s="202"/>
      <c r="M57" s="303"/>
      <c r="N57" s="308"/>
      <c r="O57" s="116"/>
      <c r="P57" s="116"/>
      <c r="Q57" s="116"/>
      <c r="R57" s="116"/>
      <c r="S57" s="116"/>
      <c r="T57" s="116"/>
      <c r="U57" s="116"/>
      <c r="V57" s="116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16" x14ac:dyDescent="0.2">
      <c r="A58" s="271" t="s">
        <v>334</v>
      </c>
      <c r="C58" t="s">
        <v>308</v>
      </c>
      <c r="D58"/>
      <c r="F58" s="197"/>
      <c r="G58" s="197"/>
      <c r="H58" s="197"/>
      <c r="I58" s="202"/>
      <c r="J58" s="202"/>
      <c r="K58" s="202"/>
      <c r="L58" s="202">
        <v>609300</v>
      </c>
      <c r="M58" s="301">
        <v>865600</v>
      </c>
      <c r="N58" s="308">
        <f>VLOOKUP($C$58,'Haver NA'!$A$1:$J$34,10,0)</f>
        <v>260300</v>
      </c>
      <c r="O58" s="116"/>
      <c r="P58" s="116">
        <f>'[1]Revised Add Factors'!F$13*1000</f>
        <v>0</v>
      </c>
      <c r="Q58" s="116">
        <f>'[1]Revised Add Factors'!G$13*1000</f>
        <v>0</v>
      </c>
      <c r="R58" s="116">
        <f>'[1]Revised Add Factors'!H$13*1000</f>
        <v>0</v>
      </c>
      <c r="S58" s="116"/>
      <c r="T58" s="116">
        <f>'[1]Revised Add Factors'!J$13*1000</f>
        <v>0</v>
      </c>
      <c r="U58" s="116">
        <f>'[1]Revised Add Factors'!K$13*1000</f>
        <v>0</v>
      </c>
      <c r="V58" s="116">
        <f>'[1]Revised Add Factors'!L$13*1000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35" customFormat="1" ht="27.5" customHeight="1" x14ac:dyDescent="0.2">
      <c r="A59" s="113" t="s">
        <v>271</v>
      </c>
      <c r="C59" t="s">
        <v>333</v>
      </c>
      <c r="D59"/>
      <c r="F59" s="197"/>
      <c r="G59" s="197"/>
      <c r="H59" s="197"/>
      <c r="I59" s="202"/>
      <c r="J59" s="202"/>
      <c r="K59" s="202"/>
      <c r="L59" s="202">
        <f>SUM(L60:L62)</f>
        <v>277100</v>
      </c>
      <c r="M59" s="301">
        <v>228300</v>
      </c>
      <c r="N59" s="308">
        <f>SUM(N60:N62)</f>
        <v>213400</v>
      </c>
      <c r="O59" s="116">
        <v>25420</v>
      </c>
      <c r="P59" s="116">
        <v>25420</v>
      </c>
      <c r="Q59" s="116">
        <v>25420</v>
      </c>
      <c r="R59" s="116">
        <v>25420</v>
      </c>
      <c r="S59" s="116"/>
      <c r="T59" s="116">
        <f>'[1]Revised Add Factors'!J$14*1000</f>
        <v>0</v>
      </c>
      <c r="U59" s="116">
        <f>'[1]Revised Add Factors'!K$14*1000</f>
        <v>0</v>
      </c>
      <c r="V59" s="116">
        <f>'[1]Revised Add Factors'!L$14*1000</f>
        <v>0</v>
      </c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M59" s="233"/>
    </row>
    <row r="60" spans="1:41" s="185" customFormat="1" x14ac:dyDescent="0.2">
      <c r="A60" s="272" t="s">
        <v>281</v>
      </c>
      <c r="B60" s="185" t="s">
        <v>280</v>
      </c>
      <c r="C60" t="s">
        <v>309</v>
      </c>
      <c r="D60"/>
      <c r="F60" s="207"/>
      <c r="G60" s="207"/>
      <c r="H60" s="207"/>
      <c r="I60" s="253"/>
      <c r="J60" s="253"/>
      <c r="K60" s="253"/>
      <c r="L60" s="253">
        <v>63800</v>
      </c>
      <c r="M60" s="304">
        <v>15000</v>
      </c>
      <c r="N60" s="309">
        <f>VLOOKUP($C$60,'Haver NA'!$A$1:$J$34,10,0)</f>
        <v>100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2">
      <c r="A61" s="272" t="s">
        <v>282</v>
      </c>
      <c r="B61" s="185" t="s">
        <v>280</v>
      </c>
      <c r="C61" t="s">
        <v>310</v>
      </c>
      <c r="D61"/>
      <c r="F61" s="207"/>
      <c r="G61" s="207"/>
      <c r="H61" s="207"/>
      <c r="I61" s="253"/>
      <c r="J61" s="253"/>
      <c r="K61" s="253"/>
      <c r="L61" s="253">
        <v>73300</v>
      </c>
      <c r="M61" s="304">
        <v>73300</v>
      </c>
      <c r="N61" s="309">
        <f>VLOOKUP($C$61,'Haver NA'!$A$1:$J$34,10,0)</f>
        <v>73300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x14ac:dyDescent="0.2">
      <c r="A62" s="272" t="s">
        <v>283</v>
      </c>
      <c r="B62" s="185" t="s">
        <v>280</v>
      </c>
      <c r="C62" t="s">
        <v>311</v>
      </c>
      <c r="D62"/>
      <c r="F62" s="207"/>
      <c r="G62" s="207"/>
      <c r="H62" s="207"/>
      <c r="I62" s="253"/>
      <c r="J62" s="253"/>
      <c r="K62" s="253"/>
      <c r="L62" s="253">
        <v>140000</v>
      </c>
      <c r="M62" s="304">
        <v>140000</v>
      </c>
      <c r="N62" s="309">
        <f>VLOOKUP($C$62,'Haver NA'!$A$1:$J$34,10,0)</f>
        <v>140000</v>
      </c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185" customFormat="1" ht="16" x14ac:dyDescent="0.2">
      <c r="A63" s="219" t="s">
        <v>337</v>
      </c>
      <c r="C63"/>
      <c r="D63"/>
      <c r="F63" s="207"/>
      <c r="G63" s="207"/>
      <c r="H63" s="207"/>
      <c r="I63" s="253"/>
      <c r="J63" s="253"/>
      <c r="K63" s="253"/>
      <c r="L63" s="253"/>
      <c r="M63" s="301"/>
      <c r="N63" s="309"/>
      <c r="O63" s="254"/>
      <c r="P63" s="254"/>
      <c r="Q63" s="254"/>
      <c r="R63" s="254"/>
      <c r="S63" s="254"/>
      <c r="T63" s="254"/>
      <c r="U63" s="254"/>
      <c r="V63" s="254"/>
      <c r="W63" s="187"/>
      <c r="X63" s="187"/>
      <c r="Y63" s="187"/>
      <c r="Z63" s="187"/>
      <c r="AA63" s="187"/>
      <c r="AB63" s="187"/>
      <c r="AC63" s="187"/>
      <c r="AD63" s="187"/>
      <c r="AE63" s="187"/>
      <c r="AF63" s="187"/>
      <c r="AG63" s="187"/>
      <c r="AM63" s="234"/>
    </row>
    <row r="64" spans="1:41" s="274" customFormat="1" ht="16" x14ac:dyDescent="0.2">
      <c r="A64" s="273" t="s">
        <v>335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f>'Stimulus Round 2'!$C$2*4/2</f>
        <v>650000</v>
      </c>
      <c r="P64" s="279">
        <f>'Stimulus Round 2'!$C$2*4/2</f>
        <v>650000</v>
      </c>
      <c r="Q64" s="279"/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ht="16" x14ac:dyDescent="0.2">
      <c r="A65" s="273" t="s">
        <v>348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f>'Stimulus Round 2'!$C$12*4/3</f>
        <v>21333.333333333332</v>
      </c>
      <c r="P65" s="279">
        <f>'Stimulus Round 2'!$C$12*4/3</f>
        <v>21333.333333333332</v>
      </c>
      <c r="Q65" s="279">
        <f>'Stimulus Round 2'!$C$12*4/3</f>
        <v>21333.333333333332</v>
      </c>
      <c r="R65" s="279"/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ht="16" x14ac:dyDescent="0.2">
      <c r="A66" s="273" t="s">
        <v>282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2'!$C$18*4/4</f>
        <v>20000</v>
      </c>
      <c r="P66" s="279">
        <f>'Stimulus Round 2'!$C$18*4/4</f>
        <v>20000</v>
      </c>
      <c r="Q66" s="279">
        <f>'Stimulus Round 2'!$C$18*4/4</f>
        <v>20000</v>
      </c>
      <c r="R66" s="279">
        <f>'Stimulus Round 2'!$C$18*4/4</f>
        <v>20000</v>
      </c>
      <c r="S66" s="279"/>
      <c r="T66" s="279"/>
      <c r="U66" s="279"/>
      <c r="V66" s="279"/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274" customFormat="1" ht="16" x14ac:dyDescent="0.2">
      <c r="A67" s="273" t="s">
        <v>351</v>
      </c>
      <c r="F67" s="197"/>
      <c r="G67" s="197"/>
      <c r="H67" s="197"/>
      <c r="I67" s="202"/>
      <c r="J67" s="202"/>
      <c r="K67" s="202"/>
      <c r="L67" s="202"/>
      <c r="M67" s="301"/>
      <c r="N67" s="308"/>
      <c r="O67" s="279">
        <f>'Stimulus Round 2'!$C$20*4/8</f>
        <v>2500</v>
      </c>
      <c r="P67" s="279">
        <f>'Stimulus Round 2'!$C$20*4/8</f>
        <v>2500</v>
      </c>
      <c r="Q67" s="279">
        <f>'Stimulus Round 2'!$C$20*4/8</f>
        <v>2500</v>
      </c>
      <c r="R67" s="279">
        <f>'Stimulus Round 2'!$C$20*4/8</f>
        <v>2500</v>
      </c>
      <c r="S67" s="279">
        <f>'Stimulus Round 2'!$C$20*4/8</f>
        <v>2500</v>
      </c>
      <c r="T67" s="279">
        <f>'Stimulus Round 2'!$C$20*4/8</f>
        <v>2500</v>
      </c>
      <c r="U67" s="279">
        <f>'Stimulus Round 2'!$C$20*4/8</f>
        <v>2500</v>
      </c>
      <c r="V67" s="279">
        <f>'Stimulus Round 2'!$C$20*4/8</f>
        <v>2500</v>
      </c>
      <c r="W67" s="276"/>
      <c r="X67" s="276"/>
      <c r="Y67" s="276"/>
      <c r="Z67" s="276"/>
      <c r="AA67" s="276"/>
      <c r="AB67" s="276"/>
      <c r="AC67" s="276"/>
      <c r="AD67" s="276"/>
      <c r="AE67" s="276"/>
      <c r="AF67" s="276"/>
      <c r="AG67" s="276"/>
      <c r="AM67" s="280"/>
    </row>
    <row r="68" spans="1:39" s="35" customFormat="1" x14ac:dyDescent="0.2">
      <c r="A68" s="134"/>
      <c r="F68" s="197"/>
      <c r="G68" s="197"/>
      <c r="H68" s="197"/>
      <c r="I68" s="202"/>
      <c r="J68" s="202"/>
      <c r="K68" s="202"/>
      <c r="L68" s="202"/>
      <c r="M68" s="301"/>
      <c r="N68" s="308"/>
      <c r="O68" s="116"/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M68" s="233"/>
    </row>
    <row r="69" spans="1:39" s="35" customFormat="1" x14ac:dyDescent="0.2">
      <c r="A69" s="35" t="s">
        <v>16</v>
      </c>
      <c r="B69" s="35" t="s">
        <v>280</v>
      </c>
      <c r="C69" t="s">
        <v>312</v>
      </c>
      <c r="D69"/>
      <c r="F69" s="197">
        <v>586475</v>
      </c>
      <c r="G69" s="197">
        <v>594213</v>
      </c>
      <c r="H69" s="197">
        <v>612547</v>
      </c>
      <c r="I69" s="202">
        <v>610331</v>
      </c>
      <c r="J69" s="202">
        <v>615406</v>
      </c>
      <c r="K69" s="202">
        <v>627805</v>
      </c>
      <c r="L69" s="202">
        <v>1396890</v>
      </c>
      <c r="M69" s="301">
        <v>728172</v>
      </c>
      <c r="N69" s="308">
        <f>VLOOKUP($C$69,'Haver NA'!$A$1:$J$34,10,0)</f>
        <v>738144</v>
      </c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>
        <f>AVERAGE(F69:I69)/1000</f>
        <v>600.89149999999995</v>
      </c>
      <c r="AD69" s="44"/>
      <c r="AE69" s="44"/>
      <c r="AF69" s="44"/>
      <c r="AM69" s="233"/>
    </row>
    <row r="70" spans="1:39" s="35" customFormat="1" x14ac:dyDescent="0.2">
      <c r="C70"/>
      <c r="D70"/>
      <c r="F70" s="197"/>
      <c r="G70" s="197"/>
      <c r="H70" s="197"/>
      <c r="I70" s="202"/>
      <c r="J70" s="202"/>
      <c r="K70" s="202"/>
      <c r="L70" s="202">
        <f>L73-L76-L77-L79</f>
        <v>600300</v>
      </c>
      <c r="M70" s="301"/>
      <c r="N70" s="308"/>
      <c r="O70" s="116"/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M70" s="233"/>
    </row>
    <row r="71" spans="1:39" s="35" customFormat="1" x14ac:dyDescent="0.2">
      <c r="A71" s="35" t="s">
        <v>227</v>
      </c>
      <c r="F71" s="203">
        <f t="shared" ref="F71:L71" si="43">F69-F96</f>
        <v>196851</v>
      </c>
      <c r="G71" s="203">
        <f t="shared" si="43"/>
        <v>189684</v>
      </c>
      <c r="H71" s="203">
        <f t="shared" si="43"/>
        <v>192875</v>
      </c>
      <c r="I71" s="203">
        <f t="shared" si="43"/>
        <v>191507</v>
      </c>
      <c r="J71" s="203">
        <f t="shared" si="43"/>
        <v>203997</v>
      </c>
      <c r="K71" s="203">
        <f t="shared" si="43"/>
        <v>204376</v>
      </c>
      <c r="L71" s="203">
        <f t="shared" si="43"/>
        <v>884250</v>
      </c>
      <c r="M71" s="301">
        <v>242100</v>
      </c>
      <c r="N71" s="308">
        <f>N69-N96</f>
        <v>225951</v>
      </c>
      <c r="O71" s="116"/>
      <c r="P71" s="116"/>
      <c r="Q71" s="116"/>
      <c r="R71" s="116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M71" s="233"/>
    </row>
    <row r="72" spans="1:39" s="35" customFormat="1" x14ac:dyDescent="0.2">
      <c r="A72" s="136" t="s">
        <v>228</v>
      </c>
      <c r="F72" s="197"/>
      <c r="G72" s="197"/>
      <c r="H72" s="197"/>
      <c r="I72" s="202"/>
      <c r="J72" s="202"/>
      <c r="K72" s="202"/>
      <c r="L72" s="202">
        <f>L71-L73</f>
        <v>193550</v>
      </c>
      <c r="M72" s="303">
        <v>203600</v>
      </c>
      <c r="N72" s="308">
        <f>N71-N73</f>
        <v>196951</v>
      </c>
      <c r="O72" s="116">
        <f>N72*(1+O90)</f>
        <v>197738.804</v>
      </c>
      <c r="P72" s="116">
        <f t="shared" ref="P72:Z72" si="44">O72*(1+P90)</f>
        <v>198529.75921600001</v>
      </c>
      <c r="Q72" s="116">
        <f t="shared" si="44"/>
        <v>199323.878252864</v>
      </c>
      <c r="R72" s="116">
        <f t="shared" si="44"/>
        <v>200121.17376587546</v>
      </c>
      <c r="S72" s="116">
        <f t="shared" si="44"/>
        <v>200921.65846093895</v>
      </c>
      <c r="T72" s="116">
        <f t="shared" si="44"/>
        <v>201725.34509478271</v>
      </c>
      <c r="U72" s="116">
        <f t="shared" si="44"/>
        <v>202532.24647516184</v>
      </c>
      <c r="V72" s="116">
        <f t="shared" si="44"/>
        <v>203342.37546106247</v>
      </c>
      <c r="W72" s="116">
        <f t="shared" si="44"/>
        <v>204155.74496290673</v>
      </c>
      <c r="X72" s="116">
        <f t="shared" si="44"/>
        <v>204972.36794275834</v>
      </c>
      <c r="Y72" s="116">
        <f t="shared" si="44"/>
        <v>205792.25741452936</v>
      </c>
      <c r="Z72" s="116">
        <f t="shared" si="44"/>
        <v>206615.42644418747</v>
      </c>
      <c r="AA72" s="44"/>
      <c r="AB72" s="44"/>
      <c r="AC72" s="44"/>
      <c r="AD72" s="44"/>
      <c r="AE72" s="44"/>
      <c r="AF72" s="44"/>
      <c r="AG72" s="44"/>
      <c r="AM72" s="233"/>
    </row>
    <row r="73" spans="1:39" s="138" customFormat="1" x14ac:dyDescent="0.2">
      <c r="A73" s="137" t="s">
        <v>208</v>
      </c>
      <c r="B73" s="138" t="s">
        <v>280</v>
      </c>
      <c r="C73" t="s">
        <v>313</v>
      </c>
      <c r="D73"/>
      <c r="F73" s="204"/>
      <c r="G73" s="204"/>
      <c r="H73" s="204"/>
      <c r="I73" s="205"/>
      <c r="J73" s="205"/>
      <c r="K73" s="205"/>
      <c r="L73" s="205">
        <f>597.9*1000 +L80+L77</f>
        <v>690700</v>
      </c>
      <c r="M73" s="205">
        <f>M80+M77</f>
        <v>39200</v>
      </c>
      <c r="N73" s="205">
        <f>N80+N77</f>
        <v>29000</v>
      </c>
      <c r="O73" s="139"/>
      <c r="P73" s="139"/>
      <c r="Q73" s="139"/>
      <c r="R73" s="139"/>
      <c r="S73" s="140"/>
      <c r="T73" s="140"/>
      <c r="U73" s="140"/>
      <c r="V73" s="140"/>
      <c r="W73" s="140"/>
      <c r="X73" s="140"/>
      <c r="Y73" s="140"/>
      <c r="Z73" s="140"/>
      <c r="AA73" s="140"/>
      <c r="AB73" s="140"/>
      <c r="AC73" s="140"/>
      <c r="AD73" s="140"/>
      <c r="AE73" s="140"/>
      <c r="AF73" s="140"/>
      <c r="AG73" s="140"/>
      <c r="AM73" s="236"/>
    </row>
    <row r="74" spans="1:39" s="35" customFormat="1" ht="16" x14ac:dyDescent="0.2">
      <c r="A74" s="134" t="s">
        <v>209</v>
      </c>
      <c r="F74" s="197"/>
      <c r="G74" s="197"/>
      <c r="H74" s="197"/>
      <c r="I74" s="202"/>
      <c r="J74" s="202"/>
      <c r="K74" s="202"/>
      <c r="L74" s="206">
        <f>SUM(L76:L79)</f>
        <v>90400</v>
      </c>
      <c r="M74" s="206">
        <f t="shared" ref="M74:N74" si="45">SUM(M76:M79)</f>
        <v>87800</v>
      </c>
      <c r="N74" s="206">
        <f t="shared" si="45"/>
        <v>87200</v>
      </c>
      <c r="O74" s="116">
        <f t="shared" ref="O74:Z74" si="46">O75+O81</f>
        <v>177900</v>
      </c>
      <c r="P74" s="116">
        <f t="shared" si="46"/>
        <v>121000</v>
      </c>
      <c r="Q74" s="116">
        <f t="shared" si="46"/>
        <v>121000</v>
      </c>
      <c r="R74" s="116">
        <f t="shared" si="46"/>
        <v>115000</v>
      </c>
      <c r="S74" s="116">
        <f t="shared" si="46"/>
        <v>109000</v>
      </c>
      <c r="T74" s="116">
        <f t="shared" si="46"/>
        <v>109000</v>
      </c>
      <c r="U74" s="116">
        <f t="shared" si="46"/>
        <v>109000</v>
      </c>
      <c r="V74" s="116">
        <f t="shared" si="46"/>
        <v>109000</v>
      </c>
      <c r="W74" s="116">
        <f t="shared" si="46"/>
        <v>109000</v>
      </c>
      <c r="X74" s="116">
        <f t="shared" si="46"/>
        <v>59000</v>
      </c>
      <c r="Y74" s="116">
        <f t="shared" si="46"/>
        <v>59000</v>
      </c>
      <c r="Z74" s="116">
        <f t="shared" si="46"/>
        <v>59000</v>
      </c>
      <c r="AA74" s="116"/>
      <c r="AB74" s="116"/>
      <c r="AC74" s="44"/>
      <c r="AD74" s="44"/>
      <c r="AE74" s="44"/>
      <c r="AF74" s="44"/>
      <c r="AG74" s="44"/>
      <c r="AM74" s="233"/>
    </row>
    <row r="75" spans="1:39" s="35" customFormat="1" ht="16" x14ac:dyDescent="0.2">
      <c r="A75" s="219" t="s">
        <v>340</v>
      </c>
      <c r="F75" s="197"/>
      <c r="G75" s="197"/>
      <c r="H75" s="197"/>
      <c r="I75" s="202"/>
      <c r="J75" s="202"/>
      <c r="K75" s="202"/>
      <c r="L75" s="206"/>
      <c r="M75" s="301"/>
      <c r="N75" s="308"/>
      <c r="O75" s="116">
        <f>SUM(O76:O79)</f>
        <v>118900</v>
      </c>
      <c r="P75" s="116">
        <f t="shared" ref="P75:Z75" si="47">SUM(P76:P79)</f>
        <v>62000</v>
      </c>
      <c r="Q75" s="116">
        <f t="shared" si="47"/>
        <v>62000</v>
      </c>
      <c r="R75" s="116">
        <f t="shared" si="47"/>
        <v>56000</v>
      </c>
      <c r="S75" s="116">
        <f t="shared" si="47"/>
        <v>50000</v>
      </c>
      <c r="T75" s="116">
        <f t="shared" si="47"/>
        <v>50000</v>
      </c>
      <c r="U75" s="116">
        <f t="shared" si="47"/>
        <v>50000</v>
      </c>
      <c r="V75" s="116">
        <f t="shared" si="47"/>
        <v>50000</v>
      </c>
      <c r="W75" s="116">
        <f t="shared" si="47"/>
        <v>50000</v>
      </c>
      <c r="X75" s="116">
        <f t="shared" si="47"/>
        <v>0</v>
      </c>
      <c r="Y75" s="116">
        <f t="shared" si="47"/>
        <v>0</v>
      </c>
      <c r="Z75" s="116">
        <f t="shared" si="47"/>
        <v>0</v>
      </c>
      <c r="AA75" s="44"/>
      <c r="AB75" s="44"/>
      <c r="AC75" s="44"/>
      <c r="AD75" s="44"/>
      <c r="AE75" s="44"/>
      <c r="AF75" s="44"/>
      <c r="AG75" s="44"/>
      <c r="AM75" s="233"/>
    </row>
    <row r="76" spans="1:39" s="35" customFormat="1" x14ac:dyDescent="0.2">
      <c r="A76" s="113" t="s">
        <v>197</v>
      </c>
      <c r="B76" s="35" t="s">
        <v>280</v>
      </c>
      <c r="C76" s="35" t="s">
        <v>377</v>
      </c>
      <c r="F76" s="197"/>
      <c r="G76" s="197"/>
      <c r="H76" s="197"/>
      <c r="I76" s="202"/>
      <c r="J76" s="202"/>
      <c r="K76" s="202"/>
      <c r="L76" s="206">
        <v>35000</v>
      </c>
      <c r="M76" s="301">
        <v>45000</v>
      </c>
      <c r="N76" s="308">
        <v>60000</v>
      </c>
      <c r="O76" s="116">
        <v>60000</v>
      </c>
      <c r="P76" s="116">
        <v>50000</v>
      </c>
      <c r="Q76" s="116">
        <v>50000</v>
      </c>
      <c r="R76" s="116">
        <v>50000</v>
      </c>
      <c r="S76" s="116">
        <v>50000</v>
      </c>
      <c r="T76" s="116">
        <v>50000</v>
      </c>
      <c r="U76" s="116">
        <v>50000</v>
      </c>
      <c r="V76" s="116">
        <v>50000</v>
      </c>
      <c r="W76" s="116">
        <v>50000</v>
      </c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M76" s="233"/>
    </row>
    <row r="77" spans="1:39" s="107" customFormat="1" x14ac:dyDescent="0.2">
      <c r="A77" s="334" t="s">
        <v>381</v>
      </c>
      <c r="B77" s="107" t="s">
        <v>280</v>
      </c>
      <c r="C77" s="107" t="s">
        <v>378</v>
      </c>
      <c r="F77" s="335"/>
      <c r="G77" s="335"/>
      <c r="H77" s="335"/>
      <c r="I77" s="326"/>
      <c r="J77" s="326"/>
      <c r="K77" s="326"/>
      <c r="L77" s="326">
        <v>28400</v>
      </c>
      <c r="M77" s="327">
        <v>15800</v>
      </c>
      <c r="N77" s="336">
        <v>15200</v>
      </c>
      <c r="O77" s="337">
        <v>18000</v>
      </c>
      <c r="P77" s="337">
        <v>0</v>
      </c>
      <c r="Q77" s="337">
        <v>0</v>
      </c>
      <c r="R77" s="337">
        <v>0</v>
      </c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107" customFormat="1" x14ac:dyDescent="0.2">
      <c r="A78" s="334" t="s">
        <v>384</v>
      </c>
      <c r="B78" s="107" t="s">
        <v>280</v>
      </c>
      <c r="C78" s="107" t="s">
        <v>378</v>
      </c>
      <c r="F78" s="335"/>
      <c r="G78" s="335"/>
      <c r="H78" s="335"/>
      <c r="I78" s="326"/>
      <c r="J78" s="326"/>
      <c r="K78" s="326"/>
      <c r="L78" s="326"/>
      <c r="M78" s="327"/>
      <c r="N78" s="336"/>
      <c r="O78" s="337">
        <v>28900</v>
      </c>
      <c r="P78" s="337"/>
      <c r="Q78" s="337"/>
      <c r="R78" s="337"/>
      <c r="S78" s="330"/>
      <c r="T78" s="330"/>
      <c r="U78" s="330"/>
      <c r="V78" s="330"/>
      <c r="W78" s="330"/>
      <c r="X78" s="330"/>
      <c r="Y78" s="330"/>
      <c r="Z78" s="330"/>
      <c r="AA78" s="330"/>
      <c r="AB78" s="330"/>
      <c r="AC78" s="330"/>
      <c r="AD78" s="330"/>
      <c r="AE78" s="330"/>
      <c r="AF78" s="330"/>
      <c r="AG78" s="330"/>
      <c r="AM78" s="338"/>
    </row>
    <row r="79" spans="1:39" s="107" customFormat="1" x14ac:dyDescent="0.2">
      <c r="A79" s="334" t="s">
        <v>201</v>
      </c>
      <c r="B79" s="107" t="s">
        <v>280</v>
      </c>
      <c r="C79" s="107" t="s">
        <v>379</v>
      </c>
      <c r="F79" s="335"/>
      <c r="G79" s="335"/>
      <c r="H79" s="335"/>
      <c r="I79" s="326"/>
      <c r="J79" s="326"/>
      <c r="K79" s="326"/>
      <c r="L79" s="326">
        <v>27000</v>
      </c>
      <c r="M79" s="327">
        <v>27000</v>
      </c>
      <c r="N79" s="336">
        <v>12000</v>
      </c>
      <c r="O79" s="337">
        <v>12000</v>
      </c>
      <c r="P79" s="337">
        <v>12000</v>
      </c>
      <c r="Q79" s="337">
        <v>12000</v>
      </c>
      <c r="R79" s="337">
        <v>6000</v>
      </c>
      <c r="S79" s="330"/>
      <c r="T79" s="330"/>
      <c r="U79" s="330"/>
      <c r="V79" s="330"/>
      <c r="W79" s="330"/>
      <c r="X79" s="330"/>
      <c r="Y79" s="330"/>
      <c r="Z79" s="330"/>
      <c r="AA79" s="330"/>
      <c r="AB79" s="330"/>
      <c r="AC79" s="330"/>
      <c r="AD79" s="330"/>
      <c r="AE79" s="330"/>
      <c r="AF79" s="330"/>
      <c r="AG79" s="330"/>
      <c r="AM79" s="338"/>
    </row>
    <row r="80" spans="1:39" s="107" customFormat="1" x14ac:dyDescent="0.2">
      <c r="A80" s="334" t="s">
        <v>385</v>
      </c>
      <c r="B80" s="107" t="s">
        <v>280</v>
      </c>
      <c r="C80" s="107" t="s">
        <v>379</v>
      </c>
      <c r="F80" s="335"/>
      <c r="G80" s="335"/>
      <c r="H80" s="335"/>
      <c r="I80" s="326"/>
      <c r="J80" s="326"/>
      <c r="K80" s="326"/>
      <c r="L80" s="326">
        <v>64400</v>
      </c>
      <c r="M80" s="339">
        <v>23400</v>
      </c>
      <c r="N80" s="336">
        <v>13800</v>
      </c>
      <c r="O80" s="337">
        <v>17100</v>
      </c>
      <c r="P80" s="337"/>
      <c r="Q80" s="337"/>
      <c r="R80" s="337"/>
      <c r="S80" s="330"/>
      <c r="T80" s="330"/>
      <c r="U80" s="330"/>
      <c r="V80" s="330"/>
      <c r="W80" s="330"/>
      <c r="X80" s="330"/>
      <c r="Y80" s="330"/>
      <c r="Z80" s="330"/>
      <c r="AA80" s="330"/>
      <c r="AB80" s="330"/>
      <c r="AC80" s="330"/>
      <c r="AD80" s="330"/>
      <c r="AE80" s="330"/>
      <c r="AF80" s="330"/>
      <c r="AG80" s="330"/>
      <c r="AM80" s="338"/>
    </row>
    <row r="81" spans="1:39" s="35" customFormat="1" x14ac:dyDescent="0.2">
      <c r="A81" s="220" t="s">
        <v>341</v>
      </c>
      <c r="F81" s="197"/>
      <c r="G81" s="197"/>
      <c r="H81" s="197"/>
      <c r="I81" s="202"/>
      <c r="J81" s="202"/>
      <c r="K81" s="202"/>
      <c r="L81" s="202"/>
      <c r="M81" s="301"/>
      <c r="N81" s="308"/>
      <c r="O81" s="116">
        <f>SUM(O82:O85)</f>
        <v>59000</v>
      </c>
      <c r="P81" s="116">
        <f t="shared" ref="P81:Z81" si="48">SUM(P82:P85)</f>
        <v>59000</v>
      </c>
      <c r="Q81" s="116">
        <f t="shared" si="48"/>
        <v>59000</v>
      </c>
      <c r="R81" s="116">
        <f t="shared" si="48"/>
        <v>59000</v>
      </c>
      <c r="S81" s="116">
        <f t="shared" si="48"/>
        <v>59000</v>
      </c>
      <c r="T81" s="116">
        <f t="shared" si="48"/>
        <v>59000</v>
      </c>
      <c r="U81" s="116">
        <f t="shared" si="48"/>
        <v>59000</v>
      </c>
      <c r="V81" s="116">
        <f t="shared" si="48"/>
        <v>59000</v>
      </c>
      <c r="W81" s="116">
        <f t="shared" si="48"/>
        <v>59000</v>
      </c>
      <c r="X81" s="116">
        <f t="shared" si="48"/>
        <v>59000</v>
      </c>
      <c r="Y81" s="116">
        <f t="shared" si="48"/>
        <v>59000</v>
      </c>
      <c r="Z81" s="116">
        <f t="shared" si="48"/>
        <v>59000</v>
      </c>
      <c r="AA81" s="116"/>
      <c r="AB81" s="44"/>
      <c r="AC81" s="44"/>
      <c r="AD81" s="44"/>
      <c r="AE81" s="44"/>
      <c r="AF81" s="44"/>
      <c r="AG81" s="44"/>
      <c r="AM81" s="233"/>
    </row>
    <row r="82" spans="1:39" s="274" customFormat="1" x14ac:dyDescent="0.2">
      <c r="A82" s="282" t="s">
        <v>342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79">
        <f>'Stimulus Round 2'!$C$13*4/12</f>
        <v>9666.6666666666661</v>
      </c>
      <c r="P82" s="279">
        <f>'Stimulus Round 2'!$C$13*4/12</f>
        <v>9666.6666666666661</v>
      </c>
      <c r="Q82" s="279">
        <f>'Stimulus Round 2'!$C$13*4/12</f>
        <v>9666.6666666666661</v>
      </c>
      <c r="R82" s="279">
        <f>'Stimulus Round 2'!$C$13*4/12</f>
        <v>9666.6666666666661</v>
      </c>
      <c r="S82" s="279">
        <f>'Stimulus Round 2'!$C$13*4/12</f>
        <v>9666.6666666666661</v>
      </c>
      <c r="T82" s="279">
        <f>'Stimulus Round 2'!$C$13*4/12</f>
        <v>9666.6666666666661</v>
      </c>
      <c r="U82" s="279">
        <f>'Stimulus Round 2'!$C$13*4/12</f>
        <v>9666.6666666666661</v>
      </c>
      <c r="V82" s="279">
        <f>'Stimulus Round 2'!$C$13*4/12</f>
        <v>9666.6666666666661</v>
      </c>
      <c r="W82" s="279">
        <f>'Stimulus Round 2'!$C$13*4/12</f>
        <v>9666.6666666666661</v>
      </c>
      <c r="X82" s="279">
        <f>'Stimulus Round 2'!$C$13*4/12</f>
        <v>9666.6666666666661</v>
      </c>
      <c r="Y82" s="279">
        <f>'Stimulus Round 2'!$C$13*4/12</f>
        <v>9666.6666666666661</v>
      </c>
      <c r="Z82" s="279">
        <f>'Stimulus Round 2'!$C$13*4/12</f>
        <v>9666.6666666666661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274" customFormat="1" x14ac:dyDescent="0.2">
      <c r="A83" s="282" t="s">
        <v>343</v>
      </c>
      <c r="F83" s="197"/>
      <c r="G83" s="197"/>
      <c r="H83" s="197"/>
      <c r="I83" s="202"/>
      <c r="J83" s="202"/>
      <c r="K83" s="202"/>
      <c r="L83" s="202"/>
      <c r="M83" s="301"/>
      <c r="N83" s="308"/>
      <c r="O83" s="279">
        <f>'Stimulus Round 2'!$C$5*4/12</f>
        <v>27333.333333333332</v>
      </c>
      <c r="P83" s="279">
        <f>'Stimulus Round 2'!$C$5*4/12</f>
        <v>27333.333333333332</v>
      </c>
      <c r="Q83" s="279">
        <f>'Stimulus Round 2'!$C$5*4/12</f>
        <v>27333.333333333332</v>
      </c>
      <c r="R83" s="279">
        <f>'Stimulus Round 2'!$C$5*4/12</f>
        <v>27333.333333333332</v>
      </c>
      <c r="S83" s="279">
        <f>'Stimulus Round 2'!$C$5*4/12</f>
        <v>27333.333333333332</v>
      </c>
      <c r="T83" s="279">
        <f>'Stimulus Round 2'!$C$5*4/12</f>
        <v>27333.333333333332</v>
      </c>
      <c r="U83" s="279">
        <f>'Stimulus Round 2'!$C$5*4/12</f>
        <v>27333.333333333332</v>
      </c>
      <c r="V83" s="279">
        <f>'Stimulus Round 2'!$C$5*4/12</f>
        <v>27333.333333333332</v>
      </c>
      <c r="W83" s="279">
        <f>'Stimulus Round 2'!$C$5*4/12</f>
        <v>27333.333333333332</v>
      </c>
      <c r="X83" s="279">
        <f>'Stimulus Round 2'!$C$5*4/12</f>
        <v>27333.333333333332</v>
      </c>
      <c r="Y83" s="279">
        <f>'Stimulus Round 2'!$C$5*4/12</f>
        <v>27333.333333333332</v>
      </c>
      <c r="Z83" s="279">
        <f>'Stimulus Round 2'!$C$5*4/12</f>
        <v>27333.333333333332</v>
      </c>
      <c r="AA83" s="276"/>
      <c r="AB83" s="276"/>
      <c r="AC83" s="276"/>
      <c r="AD83" s="276"/>
      <c r="AE83" s="276"/>
      <c r="AF83" s="276"/>
      <c r="AG83" s="276"/>
      <c r="AM83" s="280"/>
    </row>
    <row r="84" spans="1:39" s="274" customFormat="1" x14ac:dyDescent="0.2">
      <c r="A84" s="282" t="s">
        <v>347</v>
      </c>
      <c r="F84" s="197"/>
      <c r="G84" s="197"/>
      <c r="H84" s="197"/>
      <c r="I84" s="202"/>
      <c r="J84" s="202"/>
      <c r="K84" s="202"/>
      <c r="L84" s="202"/>
      <c r="M84" s="301"/>
      <c r="N84" s="308"/>
      <c r="O84" s="279">
        <f>'Stimulus Round 2'!$C$10*4/12</f>
        <v>4000</v>
      </c>
      <c r="P84" s="279">
        <f>'Stimulus Round 2'!$C$10*4/12</f>
        <v>4000</v>
      </c>
      <c r="Q84" s="279">
        <f>'Stimulus Round 2'!$C$10*4/12</f>
        <v>4000</v>
      </c>
      <c r="R84" s="279">
        <f>'Stimulus Round 2'!$C$10*4/12</f>
        <v>4000</v>
      </c>
      <c r="S84" s="279">
        <f>'Stimulus Round 2'!$C$10*4/12</f>
        <v>4000</v>
      </c>
      <c r="T84" s="279">
        <f>'Stimulus Round 2'!$C$10*4/12</f>
        <v>4000</v>
      </c>
      <c r="U84" s="279">
        <f>'Stimulus Round 2'!$C$10*4/12</f>
        <v>4000</v>
      </c>
      <c r="V84" s="279">
        <f>'Stimulus Round 2'!$C$10*4/12</f>
        <v>4000</v>
      </c>
      <c r="W84" s="279">
        <f>'Stimulus Round 2'!$C$10*4/12</f>
        <v>4000</v>
      </c>
      <c r="X84" s="279">
        <f>'Stimulus Round 2'!$C$10*4/12</f>
        <v>4000</v>
      </c>
      <c r="Y84" s="279">
        <f>'Stimulus Round 2'!$C$10*4/12</f>
        <v>4000</v>
      </c>
      <c r="Z84" s="279">
        <f>'Stimulus Round 2'!$C$10*4/12</f>
        <v>4000</v>
      </c>
      <c r="AA84" s="276"/>
      <c r="AB84" s="276"/>
      <c r="AC84" s="276"/>
      <c r="AD84" s="276"/>
      <c r="AE84" s="276"/>
      <c r="AF84" s="276"/>
      <c r="AG84" s="276"/>
      <c r="AM84" s="280"/>
    </row>
    <row r="85" spans="1:39" s="274" customFormat="1" x14ac:dyDescent="0.2">
      <c r="A85" s="282" t="s">
        <v>349</v>
      </c>
      <c r="F85" s="197"/>
      <c r="G85" s="197"/>
      <c r="H85" s="197"/>
      <c r="I85" s="202"/>
      <c r="J85" s="202"/>
      <c r="K85" s="202"/>
      <c r="L85" s="202"/>
      <c r="M85" s="301"/>
      <c r="N85" s="308"/>
      <c r="O85" s="279">
        <f>'Stimulus Round 2'!$C$16*4/12</f>
        <v>18000</v>
      </c>
      <c r="P85" s="279">
        <f>'Stimulus Round 2'!$C$16*4/12</f>
        <v>18000</v>
      </c>
      <c r="Q85" s="279">
        <f>'Stimulus Round 2'!$C$16*4/12</f>
        <v>18000</v>
      </c>
      <c r="R85" s="279">
        <f>'Stimulus Round 2'!$C$16*4/12</f>
        <v>18000</v>
      </c>
      <c r="S85" s="279">
        <f>'Stimulus Round 2'!$C$16*4/12</f>
        <v>18000</v>
      </c>
      <c r="T85" s="279">
        <f>'Stimulus Round 2'!$C$16*4/12</f>
        <v>18000</v>
      </c>
      <c r="U85" s="279">
        <f>'Stimulus Round 2'!$C$16*4/12</f>
        <v>18000</v>
      </c>
      <c r="V85" s="279">
        <f>'Stimulus Round 2'!$C$16*4/12</f>
        <v>18000</v>
      </c>
      <c r="W85" s="279">
        <f>'Stimulus Round 2'!$C$16*4/12</f>
        <v>18000</v>
      </c>
      <c r="X85" s="279">
        <f>'Stimulus Round 2'!$C$16*4/12</f>
        <v>18000</v>
      </c>
      <c r="Y85" s="279">
        <f>'Stimulus Round 2'!$C$16*4/12</f>
        <v>18000</v>
      </c>
      <c r="Z85" s="279">
        <f>'Stimulus Round 2'!$C$16*4/12</f>
        <v>18000</v>
      </c>
      <c r="AA85" s="276"/>
      <c r="AB85" s="276"/>
      <c r="AC85" s="276"/>
      <c r="AD85" s="276"/>
      <c r="AE85" s="276"/>
      <c r="AF85" s="276"/>
      <c r="AG85" s="276"/>
      <c r="AM85" s="280"/>
    </row>
    <row r="86" spans="1:39" s="35" customFormat="1" x14ac:dyDescent="0.2">
      <c r="A86" s="145" t="s">
        <v>216</v>
      </c>
      <c r="B86" s="141"/>
      <c r="E86" s="141"/>
      <c r="F86" s="197"/>
      <c r="G86" s="197"/>
      <c r="H86" s="197"/>
      <c r="I86" s="202"/>
      <c r="J86" s="202"/>
      <c r="K86" s="202">
        <f>K69-K96</f>
        <v>204376</v>
      </c>
      <c r="L86" s="206">
        <f>L72+L74</f>
        <v>283950</v>
      </c>
      <c r="M86" s="206">
        <f>M72+M74</f>
        <v>291400</v>
      </c>
      <c r="N86" s="308">
        <f>N72+N74</f>
        <v>284151</v>
      </c>
      <c r="O86" s="144">
        <f t="shared" ref="O86:Z86" si="49">O72+O74</f>
        <v>375638.804</v>
      </c>
      <c r="P86" s="144">
        <f t="shared" si="49"/>
        <v>319529.75921599998</v>
      </c>
      <c r="Q86" s="144">
        <f t="shared" si="49"/>
        <v>320323.878252864</v>
      </c>
      <c r="R86" s="144">
        <f t="shared" si="49"/>
        <v>315121.17376587546</v>
      </c>
      <c r="S86" s="144">
        <f t="shared" si="49"/>
        <v>309921.65846093895</v>
      </c>
      <c r="T86" s="144">
        <f t="shared" si="49"/>
        <v>310725.34509478271</v>
      </c>
      <c r="U86" s="144">
        <f t="shared" si="49"/>
        <v>311532.24647516187</v>
      </c>
      <c r="V86" s="144">
        <f t="shared" si="49"/>
        <v>312342.37546106247</v>
      </c>
      <c r="W86" s="144">
        <f t="shared" si="49"/>
        <v>313155.7449629067</v>
      </c>
      <c r="X86" s="144">
        <f t="shared" si="49"/>
        <v>263972.36794275837</v>
      </c>
      <c r="Y86" s="144">
        <f t="shared" si="49"/>
        <v>264792.25741452933</v>
      </c>
      <c r="Z86" s="144">
        <f t="shared" si="49"/>
        <v>265615.42644418747</v>
      </c>
      <c r="AA86" s="44"/>
      <c r="AB86" s="44"/>
      <c r="AC86" s="44"/>
      <c r="AD86" s="44"/>
      <c r="AE86" s="44"/>
      <c r="AF86" s="44"/>
      <c r="AG86" s="44"/>
      <c r="AM86" s="233"/>
    </row>
    <row r="87" spans="1:39" s="35" customFormat="1" x14ac:dyDescent="0.2">
      <c r="F87" s="197"/>
      <c r="G87" s="197"/>
      <c r="H87" s="197"/>
      <c r="I87" s="197"/>
      <c r="J87" s="197"/>
      <c r="K87" s="197"/>
      <c r="L87" s="203"/>
      <c r="M87" s="301"/>
      <c r="N87" s="310"/>
      <c r="O87" s="135"/>
      <c r="P87" s="135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M87" s="233"/>
    </row>
    <row r="88" spans="1:39" s="35" customFormat="1" x14ac:dyDescent="0.2">
      <c r="A88" s="35" t="s">
        <v>17</v>
      </c>
      <c r="B88" s="35" t="s">
        <v>280</v>
      </c>
      <c r="C88" t="s">
        <v>314</v>
      </c>
      <c r="D88"/>
      <c r="F88" s="206">
        <v>1241.5999999999999</v>
      </c>
      <c r="G88" s="206">
        <v>1245.8</v>
      </c>
      <c r="H88" s="206">
        <v>1473.6</v>
      </c>
      <c r="I88" s="206">
        <v>1288.5</v>
      </c>
      <c r="J88" s="206">
        <v>1301.0999999999999</v>
      </c>
      <c r="K88" s="206">
        <v>1306.0999999999999</v>
      </c>
      <c r="L88" s="206">
        <v>1360.1</v>
      </c>
      <c r="M88" s="301">
        <v>1335.133</v>
      </c>
      <c r="N88" s="308">
        <f>VLOOKUP($C$88,'Haver NA'!$A$1:$J$34,10,0)/1000</f>
        <v>1333.307</v>
      </c>
      <c r="O88" s="116"/>
      <c r="P88" s="116"/>
      <c r="Q88" s="116"/>
      <c r="R88" s="116"/>
      <c r="S88" s="116"/>
      <c r="T88" s="116"/>
      <c r="U88" s="116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I88" s="44"/>
      <c r="AJ88" s="44"/>
      <c r="AK88" s="44"/>
      <c r="AL88" s="44"/>
      <c r="AM88" s="235"/>
    </row>
    <row r="89" spans="1:39" s="35" customFormat="1" x14ac:dyDescent="0.2">
      <c r="A89" s="114" t="s">
        <v>203</v>
      </c>
      <c r="B89" s="35" t="s">
        <v>280</v>
      </c>
      <c r="C89" t="s">
        <v>315</v>
      </c>
      <c r="D89"/>
      <c r="F89" s="197"/>
      <c r="G89" s="197"/>
      <c r="H89" s="197"/>
      <c r="I89" s="197"/>
      <c r="J89" s="197">
        <v>1447.9</v>
      </c>
      <c r="K89" s="197">
        <v>1452.6</v>
      </c>
      <c r="L89" s="197">
        <v>1504.8</v>
      </c>
      <c r="M89" s="301">
        <v>1487.0350000000001</v>
      </c>
      <c r="N89" s="301">
        <f>VLOOKUP($C$89,'Haver NA'!$A$1:$J$34,10,0)/1000</f>
        <v>1493.5530000000001</v>
      </c>
      <c r="O89">
        <v>1504.3514552807801</v>
      </c>
      <c r="P89">
        <v>1511.252602267454</v>
      </c>
      <c r="Q89">
        <v>1519.3368030232709</v>
      </c>
      <c r="R89">
        <v>1530.997960524671</v>
      </c>
      <c r="S89">
        <v>1544.2799915439159</v>
      </c>
      <c r="T89">
        <v>1557.72908484966</v>
      </c>
      <c r="U89">
        <v>1572.6694039177321</v>
      </c>
      <c r="V89">
        <v>1586.4153149483291</v>
      </c>
      <c r="W89">
        <v>1601.682526026475</v>
      </c>
      <c r="X89">
        <v>1615.690158481731</v>
      </c>
      <c r="Y89">
        <v>1631.2333657547081</v>
      </c>
      <c r="Z89">
        <v>1646.9554971985581</v>
      </c>
      <c r="AA89"/>
      <c r="AB89"/>
      <c r="AE89" s="44"/>
      <c r="AF89" s="44"/>
      <c r="AG89" s="44"/>
      <c r="AI89" s="44"/>
      <c r="AJ89" s="44"/>
      <c r="AK89" s="44"/>
      <c r="AL89" s="44"/>
      <c r="AM89" s="235"/>
    </row>
    <row r="90" spans="1:39" s="35" customFormat="1" x14ac:dyDescent="0.2">
      <c r="A90" s="114" t="s">
        <v>380</v>
      </c>
      <c r="C90"/>
      <c r="D90"/>
      <c r="F90" s="197"/>
      <c r="G90" s="197"/>
      <c r="H90" s="197"/>
      <c r="I90" s="197"/>
      <c r="J90" s="197"/>
      <c r="K90" s="197"/>
      <c r="L90" s="197"/>
      <c r="M90" s="302">
        <v>-1.1805555555555514E-2</v>
      </c>
      <c r="N90" s="311">
        <f>N88/M88-1</f>
        <v>-1.3676540090014067E-3</v>
      </c>
      <c r="O90" s="196">
        <v>4.0000000000000001E-3</v>
      </c>
      <c r="P90" s="196">
        <v>4.0000000000000001E-3</v>
      </c>
      <c r="Q90" s="196">
        <v>4.0000000000000001E-3</v>
      </c>
      <c r="R90" s="196">
        <v>4.0000000000000001E-3</v>
      </c>
      <c r="S90" s="196">
        <v>4.0000000000000001E-3</v>
      </c>
      <c r="T90" s="196">
        <v>4.0000000000000001E-3</v>
      </c>
      <c r="U90" s="196">
        <v>4.0000000000000001E-3</v>
      </c>
      <c r="V90" s="196">
        <v>4.0000000000000001E-3</v>
      </c>
      <c r="W90" s="196">
        <v>4.0000000000000001E-3</v>
      </c>
      <c r="X90" s="196">
        <v>4.0000000000000001E-3</v>
      </c>
      <c r="Y90" s="196">
        <v>4.0000000000000001E-3</v>
      </c>
      <c r="Z90" s="196">
        <v>4.0000000000000001E-3</v>
      </c>
      <c r="AA90"/>
      <c r="AB90"/>
      <c r="AE90" s="44"/>
      <c r="AF90" s="44"/>
      <c r="AG90" s="44"/>
      <c r="AI90" s="44"/>
      <c r="AJ90" s="44"/>
      <c r="AK90" s="44"/>
      <c r="AL90" s="44"/>
      <c r="AM90" s="235"/>
    </row>
    <row r="91" spans="1:39" s="185" customFormat="1" ht="12" x14ac:dyDescent="0.15">
      <c r="A91" s="169" t="s">
        <v>202</v>
      </c>
      <c r="F91" s="207"/>
      <c r="G91" s="207"/>
      <c r="H91" s="207"/>
      <c r="I91" s="207"/>
      <c r="J91" s="207"/>
      <c r="K91" s="207"/>
      <c r="L91" s="207"/>
      <c r="M91" s="302">
        <v>-1.1805555555555514E-2</v>
      </c>
      <c r="N91" s="311">
        <f>N89/M89-1</f>
        <v>4.3832189558417056E-3</v>
      </c>
      <c r="O91" s="196">
        <v>5.3394154743755307E-2</v>
      </c>
      <c r="P91" s="196">
        <v>-1.9703807284052632E-2</v>
      </c>
      <c r="Q91" s="196">
        <v>-4.084808403034379E-3</v>
      </c>
      <c r="R91" s="196">
        <v>0</v>
      </c>
      <c r="S91" s="196">
        <v>2.4739583333333037E-3</v>
      </c>
      <c r="T91" s="196">
        <v>1.6235874788934623E-3</v>
      </c>
      <c r="U91" s="196">
        <v>3.9551319457953316E-3</v>
      </c>
      <c r="V91" s="196">
        <v>3.8749677086025169E-3</v>
      </c>
      <c r="W91" s="196">
        <v>3.9243437982501295E-3</v>
      </c>
      <c r="X91" s="196">
        <v>3.0118551746236566E-3</v>
      </c>
      <c r="Y91" s="196">
        <v>3.9611551239457921E-3</v>
      </c>
      <c r="Z91" s="196">
        <v>5.027364133893153E-3</v>
      </c>
      <c r="AA91" s="186"/>
      <c r="AB91" s="186"/>
      <c r="AE91" s="187"/>
      <c r="AF91" s="187"/>
      <c r="AG91" s="187"/>
      <c r="AI91" s="187"/>
      <c r="AJ91" s="187"/>
      <c r="AK91" s="187"/>
      <c r="AL91" s="187"/>
      <c r="AM91" s="237"/>
    </row>
    <row r="92" spans="1:39" s="185" customFormat="1" x14ac:dyDescent="0.2">
      <c r="A92" s="114" t="s">
        <v>356</v>
      </c>
      <c r="F92" s="207"/>
      <c r="G92" s="207"/>
      <c r="H92" s="207"/>
      <c r="I92" s="207"/>
      <c r="J92" s="207"/>
      <c r="K92" s="207"/>
      <c r="L92" s="207"/>
      <c r="M92" s="302"/>
      <c r="N92" s="311"/>
      <c r="O92" s="102">
        <f>SUM(O93:O95)</f>
        <v>71400</v>
      </c>
      <c r="P92" s="102">
        <f t="shared" ref="P92:R92" si="50">SUM(P93:P95)</f>
        <v>71400</v>
      </c>
      <c r="Q92" s="102">
        <f t="shared" si="50"/>
        <v>30600</v>
      </c>
      <c r="R92" s="102">
        <f t="shared" si="50"/>
        <v>30600</v>
      </c>
      <c r="S92" s="186"/>
      <c r="T92" s="186"/>
      <c r="U92" s="186"/>
      <c r="V92" s="186"/>
      <c r="W92" s="186"/>
      <c r="X92" s="186"/>
      <c r="Y92" s="186"/>
      <c r="Z92" s="186"/>
      <c r="AA92" s="186"/>
      <c r="AB92" s="186"/>
      <c r="AE92" s="187"/>
      <c r="AF92" s="187"/>
      <c r="AG92" s="187"/>
      <c r="AI92" s="187"/>
      <c r="AJ92" s="187"/>
      <c r="AK92" s="187"/>
      <c r="AL92" s="187"/>
      <c r="AM92" s="237"/>
    </row>
    <row r="93" spans="1:39" s="285" customFormat="1" x14ac:dyDescent="0.2">
      <c r="A93" s="284" t="s">
        <v>352</v>
      </c>
      <c r="F93" s="300"/>
      <c r="G93" s="300"/>
      <c r="H93" s="300"/>
      <c r="I93" s="300"/>
      <c r="J93" s="300"/>
      <c r="K93" s="300"/>
      <c r="L93" s="300"/>
      <c r="M93" s="305"/>
      <c r="N93" s="312"/>
      <c r="O93" s="279">
        <f>('Stimulus Round 2'!$C7*0.7*4)/2</f>
        <v>30799.999999999996</v>
      </c>
      <c r="P93" s="279">
        <f>('Stimulus Round 2'!$C7*0.7*4)/2</f>
        <v>30799.999999999996</v>
      </c>
      <c r="Q93" s="279">
        <f>('Stimulus Round 2'!$C7*0.3*4)/2</f>
        <v>13200</v>
      </c>
      <c r="R93" s="279">
        <f>('Stimulus Round 2'!$C7*0.3*4)/2</f>
        <v>13200</v>
      </c>
      <c r="S93" s="286"/>
      <c r="T93" s="286"/>
      <c r="U93" s="286"/>
      <c r="V93" s="286"/>
      <c r="W93" s="286"/>
      <c r="X93" s="286"/>
      <c r="Y93" s="286"/>
      <c r="Z93" s="286"/>
      <c r="AA93" s="286"/>
      <c r="AB93" s="286"/>
      <c r="AE93" s="287"/>
      <c r="AF93" s="287"/>
      <c r="AG93" s="287"/>
      <c r="AI93" s="287"/>
      <c r="AJ93" s="287"/>
      <c r="AK93" s="287"/>
      <c r="AL93" s="287"/>
      <c r="AM93" s="288"/>
    </row>
    <row r="94" spans="1:39" s="285" customFormat="1" x14ac:dyDescent="0.2">
      <c r="A94" s="284" t="s">
        <v>353</v>
      </c>
      <c r="F94" s="300"/>
      <c r="G94" s="300"/>
      <c r="H94" s="300"/>
      <c r="I94" s="300"/>
      <c r="J94" s="300"/>
      <c r="K94" s="300"/>
      <c r="L94" s="300"/>
      <c r="M94" s="305"/>
      <c r="N94" s="312"/>
      <c r="O94" s="279">
        <f>('Stimulus Round 2'!$C8*0.7*4)/2</f>
        <v>28000</v>
      </c>
      <c r="P94" s="279">
        <f>('Stimulus Round 2'!$C8*0.7*4)/2</f>
        <v>28000</v>
      </c>
      <c r="Q94" s="279">
        <f>('Stimulus Round 2'!$C8*0.3*4)/2</f>
        <v>12000</v>
      </c>
      <c r="R94" s="279">
        <f>('Stimulus Round 2'!$C8*0.3*4)/2</f>
        <v>12000</v>
      </c>
      <c r="S94" s="286"/>
      <c r="T94" s="286"/>
      <c r="U94" s="286"/>
      <c r="V94" s="286"/>
      <c r="W94" s="286"/>
      <c r="X94" s="286"/>
      <c r="Y94" s="286"/>
      <c r="Z94" s="286"/>
      <c r="AA94" s="286"/>
      <c r="AB94" s="286"/>
      <c r="AE94" s="287"/>
      <c r="AF94" s="287"/>
      <c r="AG94" s="287"/>
      <c r="AI94" s="287"/>
      <c r="AJ94" s="287"/>
      <c r="AK94" s="287"/>
      <c r="AL94" s="287"/>
      <c r="AM94" s="288"/>
    </row>
    <row r="95" spans="1:39" s="285" customFormat="1" x14ac:dyDescent="0.2">
      <c r="A95" s="284" t="s">
        <v>354</v>
      </c>
      <c r="F95" s="300"/>
      <c r="G95" s="300"/>
      <c r="H95" s="300"/>
      <c r="I95" s="300"/>
      <c r="J95" s="300"/>
      <c r="K95" s="300"/>
      <c r="L95" s="300"/>
      <c r="M95" s="305"/>
      <c r="N95" s="312"/>
      <c r="O95" s="279">
        <f>('Stimulus Round 2'!$C9*0.7*4)/2</f>
        <v>12600</v>
      </c>
      <c r="P95" s="279">
        <f>('Stimulus Round 2'!$C9*0.7*4)/2</f>
        <v>12600</v>
      </c>
      <c r="Q95" s="279">
        <f>('Stimulus Round 2'!$C9*0.3*4)/2</f>
        <v>5400</v>
      </c>
      <c r="R95" s="279">
        <f>('Stimulus Round 2'!$C9*0.3*4)/2</f>
        <v>5400</v>
      </c>
      <c r="S95" s="286"/>
      <c r="T95" s="286"/>
      <c r="U95" s="286"/>
      <c r="V95" s="286"/>
      <c r="W95" s="286"/>
      <c r="X95" s="286"/>
      <c r="Y95" s="286"/>
      <c r="Z95" s="286"/>
      <c r="AA95" s="286"/>
      <c r="AB95" s="286"/>
      <c r="AE95" s="287"/>
      <c r="AF95" s="287"/>
      <c r="AG95" s="287"/>
      <c r="AI95" s="287"/>
      <c r="AJ95" s="287"/>
      <c r="AK95" s="287"/>
      <c r="AL95" s="287"/>
      <c r="AM95" s="288"/>
    </row>
    <row r="96" spans="1:39" s="35" customFormat="1" x14ac:dyDescent="0.2">
      <c r="A96" s="35" t="s">
        <v>204</v>
      </c>
      <c r="B96" s="35" t="s">
        <v>280</v>
      </c>
      <c r="C96" t="s">
        <v>316</v>
      </c>
      <c r="D96"/>
      <c r="F96" s="206">
        <v>389624</v>
      </c>
      <c r="G96" s="206">
        <v>404529</v>
      </c>
      <c r="H96" s="206">
        <v>419672</v>
      </c>
      <c r="I96" s="206">
        <v>418824</v>
      </c>
      <c r="J96" s="206">
        <v>411409</v>
      </c>
      <c r="K96" s="206">
        <v>423429</v>
      </c>
      <c r="L96" s="206">
        <v>512640</v>
      </c>
      <c r="M96" s="301">
        <v>486072</v>
      </c>
      <c r="N96" s="308">
        <f>VLOOKUP($C$96,'Haver NA'!$A$1:$J$34,10,0)</f>
        <v>512193</v>
      </c>
      <c r="O96" s="116">
        <f t="shared" ref="O96:S96" si="51">O103*0.74</f>
        <v>507477.24811825115</v>
      </c>
      <c r="P96" s="116">
        <f t="shared" si="51"/>
        <v>512541.31638321205</v>
      </c>
      <c r="Q96" s="116">
        <f t="shared" si="51"/>
        <v>512541.31638321205</v>
      </c>
      <c r="R96" s="116">
        <f t="shared" si="51"/>
        <v>512541.31638321205</v>
      </c>
      <c r="S96" s="116">
        <f t="shared" si="51"/>
        <v>512541.31638321205</v>
      </c>
      <c r="T96" s="116">
        <f>T103*0.68</f>
        <v>470983.91235214088</v>
      </c>
      <c r="U96" s="116">
        <f>U103*0.68</f>
        <v>470983.91235214088</v>
      </c>
      <c r="V96" s="116">
        <f>V103*0.68</f>
        <v>470983.91235214088</v>
      </c>
      <c r="W96" s="116"/>
      <c r="X96" s="116"/>
      <c r="Y96" s="116"/>
      <c r="Z96" s="116"/>
      <c r="AA96" s="116"/>
      <c r="AB96" s="116"/>
      <c r="AC96" s="44">
        <f>AVERAGE(F96:I96)/1000</f>
        <v>408.16224999999997</v>
      </c>
      <c r="AD96" s="45">
        <f>AVERAGE(J96:M96)</f>
        <v>458387.5</v>
      </c>
      <c r="AE96" s="45">
        <f>AVERAGE(N96:Q96)</f>
        <v>511188.22022116883</v>
      </c>
      <c r="AF96" s="45">
        <f>AVERAGE(R96:U96)</f>
        <v>491762.61436767643</v>
      </c>
      <c r="AH96" s="35">
        <v>409.42</v>
      </c>
      <c r="AI96" s="84">
        <f>'figuring out Medicaid'!G11</f>
        <v>466.24400000000003</v>
      </c>
      <c r="AJ96" s="84">
        <f>'figuring out Medicaid'!H11</f>
        <v>537.41499999999996</v>
      </c>
      <c r="AK96" s="84">
        <f>'figuring out Medicaid'!I11</f>
        <v>516.01800000000003</v>
      </c>
      <c r="AL96" s="84"/>
      <c r="AM96" s="233"/>
    </row>
    <row r="97" spans="1:39" s="35" customFormat="1" x14ac:dyDescent="0.2">
      <c r="A97" s="141" t="s">
        <v>161</v>
      </c>
      <c r="B97" s="141"/>
      <c r="E97" s="141"/>
      <c r="F97" s="201">
        <f t="shared" ref="F97:L97" si="52">F51+F47+F36+F42</f>
        <v>1440187</v>
      </c>
      <c r="G97" s="201">
        <f t="shared" si="52"/>
        <v>1503410</v>
      </c>
      <c r="H97" s="201">
        <f t="shared" si="52"/>
        <v>1508652</v>
      </c>
      <c r="I97" s="201">
        <f t="shared" si="52"/>
        <v>1513957</v>
      </c>
      <c r="J97" s="201">
        <f t="shared" si="52"/>
        <v>1521941</v>
      </c>
      <c r="K97" s="201">
        <f t="shared" si="52"/>
        <v>1574462</v>
      </c>
      <c r="L97" s="201">
        <f t="shared" si="52"/>
        <v>3729557.333333333</v>
      </c>
      <c r="M97" s="301">
        <v>2466001</v>
      </c>
      <c r="N97" s="306">
        <f>N51+N47+N36+N42+N37</f>
        <v>2027793</v>
      </c>
      <c r="O97" s="142">
        <f t="shared" ref="O97:Z97" si="53">O51+O47+O36+O42+O37+O38+O39</f>
        <v>3118501.3980484894</v>
      </c>
      <c r="P97" s="142">
        <f t="shared" si="53"/>
        <v>1874848.87398125</v>
      </c>
      <c r="Q97" s="142">
        <f t="shared" si="53"/>
        <v>1686467.5074263907</v>
      </c>
      <c r="R97" s="142">
        <f t="shared" si="53"/>
        <v>1683044.5200377863</v>
      </c>
      <c r="S97" s="142">
        <f t="shared" si="53"/>
        <v>1687990.187838353</v>
      </c>
      <c r="T97" s="142">
        <f t="shared" si="53"/>
        <v>1713310.0406559282</v>
      </c>
      <c r="U97" s="142">
        <f t="shared" si="53"/>
        <v>1739009.691265767</v>
      </c>
      <c r="V97" s="142">
        <f t="shared" si="53"/>
        <v>1756399.7881784246</v>
      </c>
      <c r="W97" s="142">
        <f t="shared" si="53"/>
        <v>0</v>
      </c>
      <c r="X97" s="142">
        <f t="shared" si="53"/>
        <v>0</v>
      </c>
      <c r="Y97" s="142">
        <f t="shared" si="53"/>
        <v>0</v>
      </c>
      <c r="Z97" s="142">
        <f t="shared" si="53"/>
        <v>0</v>
      </c>
      <c r="AM97" s="233"/>
    </row>
    <row r="98" spans="1:39" s="35" customFormat="1" x14ac:dyDescent="0.2">
      <c r="A98" s="141" t="s">
        <v>213</v>
      </c>
      <c r="B98" s="141"/>
      <c r="E98" s="141"/>
      <c r="F98" s="197"/>
      <c r="G98" s="197"/>
      <c r="H98" s="197"/>
      <c r="I98" s="197"/>
      <c r="J98" s="197"/>
      <c r="K98" s="197"/>
      <c r="L98" s="203">
        <f>L96+L35</f>
        <v>1336698</v>
      </c>
      <c r="M98" s="301">
        <v>1328805</v>
      </c>
      <c r="N98" s="310">
        <f t="shared" ref="N98:Z98" si="54">N96+N35</f>
        <v>1372787</v>
      </c>
      <c r="O98" s="143">
        <f t="shared" si="54"/>
        <v>1390610.1625906522</v>
      </c>
      <c r="P98" s="143">
        <f t="shared" si="54"/>
        <v>1418489.158978964</v>
      </c>
      <c r="Q98" s="143">
        <f t="shared" si="54"/>
        <v>1441583.4808422038</v>
      </c>
      <c r="R98" s="143">
        <f t="shared" si="54"/>
        <v>1483962.7404801806</v>
      </c>
      <c r="S98" s="143">
        <f t="shared" si="54"/>
        <v>1515727.7827888038</v>
      </c>
      <c r="T98" s="143">
        <f t="shared" si="54"/>
        <v>1506974.123618965</v>
      </c>
      <c r="U98" s="143">
        <f t="shared" si="54"/>
        <v>1540850.5361376633</v>
      </c>
      <c r="V98" s="143">
        <f t="shared" si="54"/>
        <v>1551631.6801380017</v>
      </c>
      <c r="W98" s="143">
        <f t="shared" si="54"/>
        <v>1091537.5543621723</v>
      </c>
      <c r="X98" s="143">
        <f t="shared" si="54"/>
        <v>1102537.0783156503</v>
      </c>
      <c r="Y98" s="143">
        <f t="shared" si="54"/>
        <v>1113647.4454798999</v>
      </c>
      <c r="Z98" s="143">
        <f t="shared" si="54"/>
        <v>0</v>
      </c>
      <c r="AM98" s="233"/>
    </row>
    <row r="99" spans="1:39" s="35" customFormat="1" x14ac:dyDescent="0.2">
      <c r="F99" s="197"/>
      <c r="G99" s="197"/>
      <c r="H99" s="197"/>
      <c r="I99" s="197"/>
      <c r="J99" s="197"/>
      <c r="K99" s="197"/>
      <c r="L99" s="197"/>
      <c r="M99" s="301"/>
      <c r="N99" s="301"/>
      <c r="AM99" s="233"/>
    </row>
    <row r="100" spans="1:39" s="35" customFormat="1" x14ac:dyDescent="0.2">
      <c r="A100" s="35" t="s">
        <v>15</v>
      </c>
      <c r="B100" s="35" t="s">
        <v>280</v>
      </c>
      <c r="C100" t="s">
        <v>317</v>
      </c>
      <c r="D100"/>
      <c r="F100" s="197">
        <v>728844</v>
      </c>
      <c r="G100" s="197">
        <v>738714</v>
      </c>
      <c r="H100" s="197">
        <v>755204</v>
      </c>
      <c r="I100" s="197">
        <v>763370</v>
      </c>
      <c r="J100" s="197">
        <v>760967</v>
      </c>
      <c r="K100" s="197">
        <v>767087</v>
      </c>
      <c r="L100" s="197">
        <v>812158</v>
      </c>
      <c r="M100" s="301">
        <v>828480</v>
      </c>
      <c r="N100" s="303">
        <f>VLOOKUP($C$100,'Haver NA'!$A$1:$J$34,10,0)</f>
        <v>818740</v>
      </c>
      <c r="O100" s="133">
        <f t="shared" ref="O100:U100" si="55">O101+O103</f>
        <v>831250.83502466371</v>
      </c>
      <c r="P100" s="133">
        <f t="shared" si="55"/>
        <v>838457.84744285408</v>
      </c>
      <c r="Q100" s="133">
        <f t="shared" si="55"/>
        <v>839187.01967747905</v>
      </c>
      <c r="R100" s="133">
        <f t="shared" si="55"/>
        <v>840286.24682117626</v>
      </c>
      <c r="S100" s="133">
        <f t="shared" si="55"/>
        <v>841762.8752842095</v>
      </c>
      <c r="T100" s="133">
        <f t="shared" si="55"/>
        <v>843107.97501111636</v>
      </c>
      <c r="U100" s="133">
        <f t="shared" si="55"/>
        <v>844539.45728929248</v>
      </c>
      <c r="V100" s="133">
        <f t="shared" ref="V100" si="56">V101+V103</f>
        <v>846032.64138980373</v>
      </c>
      <c r="AM100" s="233"/>
    </row>
    <row r="101" spans="1:39" s="35" customFormat="1" x14ac:dyDescent="0.2">
      <c r="A101" s="35" t="s">
        <v>229</v>
      </c>
      <c r="F101" s="203">
        <f t="shared" ref="F101:K101" si="57">F100-F103</f>
        <v>139025</v>
      </c>
      <c r="G101" s="203">
        <f t="shared" si="57"/>
        <v>139342</v>
      </c>
      <c r="H101" s="203">
        <f t="shared" si="57"/>
        <v>140228</v>
      </c>
      <c r="I101" s="203">
        <f t="shared" si="57"/>
        <v>141105</v>
      </c>
      <c r="J101" s="203">
        <f t="shared" si="57"/>
        <v>141335</v>
      </c>
      <c r="K101" s="203">
        <f t="shared" si="57"/>
        <v>142991</v>
      </c>
      <c r="L101" s="203">
        <f>L100-L103</f>
        <v>143335</v>
      </c>
      <c r="M101" s="301">
        <v>144777</v>
      </c>
      <c r="N101" s="303">
        <f>N100-N103</f>
        <v>145108</v>
      </c>
      <c r="O101" s="133">
        <f>N101*(1+O113)</f>
        <v>145470.76999999999</v>
      </c>
      <c r="P101" s="133">
        <f t="shared" ref="P101:S101" si="58">O101*(1+P113)</f>
        <v>145834.44692499997</v>
      </c>
      <c r="Q101" s="133">
        <f t="shared" si="58"/>
        <v>146563.61915962494</v>
      </c>
      <c r="R101" s="133">
        <f t="shared" si="58"/>
        <v>147662.84630332215</v>
      </c>
      <c r="S101" s="133">
        <f t="shared" si="58"/>
        <v>149139.47476635536</v>
      </c>
      <c r="T101" s="133">
        <f t="shared" ref="T101:V101" si="59">S101*(1+T112)</f>
        <v>150484.57449326222</v>
      </c>
      <c r="U101" s="133">
        <f t="shared" si="59"/>
        <v>151916.05677143831</v>
      </c>
      <c r="V101" s="133">
        <f t="shared" si="59"/>
        <v>153409.24087194959</v>
      </c>
      <c r="AM101" s="233"/>
    </row>
    <row r="102" spans="1:39" s="35" customFormat="1" x14ac:dyDescent="0.2">
      <c r="F102" s="203"/>
      <c r="G102" s="197"/>
      <c r="H102" s="197"/>
      <c r="I102" s="197"/>
      <c r="J102" s="197"/>
      <c r="K102" s="197"/>
      <c r="L102" s="197"/>
      <c r="M102" s="301"/>
      <c r="N102" s="301"/>
      <c r="AM102" s="233"/>
    </row>
    <row r="103" spans="1:39" s="35" customFormat="1" x14ac:dyDescent="0.2">
      <c r="A103" s="35" t="s">
        <v>226</v>
      </c>
      <c r="B103" s="35" t="s">
        <v>280</v>
      </c>
      <c r="C103" t="s">
        <v>318</v>
      </c>
      <c r="D103"/>
      <c r="F103" s="197">
        <v>589819</v>
      </c>
      <c r="G103" s="197">
        <v>599372</v>
      </c>
      <c r="H103" s="197">
        <v>614976</v>
      </c>
      <c r="I103" s="197">
        <v>622265</v>
      </c>
      <c r="J103" s="197">
        <v>619632</v>
      </c>
      <c r="K103" s="197">
        <v>624096</v>
      </c>
      <c r="L103" s="197">
        <v>668823</v>
      </c>
      <c r="M103" s="301">
        <v>683703</v>
      </c>
      <c r="N103" s="310">
        <f>VLOOKUP($C$103,'Haver NA'!$A$1:$J$34,10,0)</f>
        <v>673632</v>
      </c>
      <c r="O103" s="135">
        <f>N103*(($AJ$103/$AI$103)^0.18)</f>
        <v>685780.06502466369</v>
      </c>
      <c r="P103" s="135">
        <f>O103*(($AJ$103/$AI$103)^0.1)</f>
        <v>692623.40051785414</v>
      </c>
      <c r="Q103" s="135">
        <f>P103*(1+Q104)</f>
        <v>692623.40051785414</v>
      </c>
      <c r="R103" s="135">
        <f t="shared" ref="R103:V103" si="60">Q103*(1+R104)</f>
        <v>692623.40051785414</v>
      </c>
      <c r="S103" s="135">
        <f t="shared" si="60"/>
        <v>692623.40051785414</v>
      </c>
      <c r="T103" s="135">
        <f t="shared" si="60"/>
        <v>692623.40051785414</v>
      </c>
      <c r="U103" s="135">
        <f t="shared" si="60"/>
        <v>692623.40051785414</v>
      </c>
      <c r="V103" s="135">
        <f t="shared" si="60"/>
        <v>692623.40051785414</v>
      </c>
      <c r="AD103" s="45">
        <f>AVERAGE(J103:M103)/1000</f>
        <v>649.06349999999998</v>
      </c>
      <c r="AE103" s="45">
        <f>AVERAGE(N103:Q103)/1000</f>
        <v>686.16471651509301</v>
      </c>
      <c r="AF103" s="45">
        <f>AVERAGE(R103:U103)/1000</f>
        <v>692.62340051785418</v>
      </c>
      <c r="AH103" s="84"/>
      <c r="AI103" s="84">
        <f>'figuring out Medicaid'!G13</f>
        <v>657.17435271149407</v>
      </c>
      <c r="AJ103" s="84">
        <f>'figuring out Medicaid'!H13</f>
        <v>725.7777402928042</v>
      </c>
      <c r="AK103" s="84">
        <f>'figuring out Medicaid'!I13</f>
        <v>727.33117238501666</v>
      </c>
      <c r="AL103" s="84"/>
      <c r="AM103" s="233"/>
    </row>
    <row r="104" spans="1:39" s="185" customFormat="1" x14ac:dyDescent="0.2">
      <c r="A104" s="169" t="s">
        <v>268</v>
      </c>
      <c r="F104" s="207"/>
      <c r="G104" s="207"/>
      <c r="H104" s="207"/>
      <c r="I104" s="207"/>
      <c r="J104" s="200"/>
      <c r="K104" s="200"/>
      <c r="L104" s="200"/>
      <c r="M104" s="301"/>
      <c r="N104" s="302"/>
      <c r="O104" s="175"/>
      <c r="P104" s="175"/>
      <c r="Q104" s="175">
        <v>0</v>
      </c>
      <c r="R104" s="175">
        <v>0</v>
      </c>
      <c r="S104" s="175">
        <v>0</v>
      </c>
      <c r="T104" s="175">
        <v>0</v>
      </c>
      <c r="U104" s="175">
        <v>0</v>
      </c>
      <c r="V104" s="175">
        <v>0</v>
      </c>
      <c r="W104" s="175"/>
      <c r="AM104" s="234"/>
    </row>
    <row r="105" spans="1:39" s="153" customFormat="1" ht="12" x14ac:dyDescent="0.15">
      <c r="A105" s="153" t="s">
        <v>221</v>
      </c>
      <c r="F105" s="208">
        <f t="shared" ref="F105:L105" si="61">F96/F103</f>
        <v>0.66058231423538405</v>
      </c>
      <c r="G105" s="208">
        <f t="shared" si="61"/>
        <v>0.6749214177505789</v>
      </c>
      <c r="H105" s="208">
        <f t="shared" si="61"/>
        <v>0.68242012696430432</v>
      </c>
      <c r="I105" s="208">
        <f t="shared" si="61"/>
        <v>0.6730637268687778</v>
      </c>
      <c r="J105" s="208">
        <f t="shared" si="61"/>
        <v>0.66395699382859508</v>
      </c>
      <c r="K105" s="208">
        <f t="shared" si="61"/>
        <v>0.67846773573296415</v>
      </c>
      <c r="L105" s="208">
        <f t="shared" si="61"/>
        <v>0.76648081779484256</v>
      </c>
      <c r="M105" s="208">
        <v>0.71094027669909299</v>
      </c>
      <c r="N105" s="208">
        <f t="shared" ref="N105" si="62">N96/N103</f>
        <v>0.76034541114436371</v>
      </c>
      <c r="AD105" s="154"/>
      <c r="AE105" s="154"/>
      <c r="AF105" s="154"/>
      <c r="AH105" s="155"/>
      <c r="AI105" s="155"/>
      <c r="AJ105" s="155"/>
      <c r="AM105" s="238"/>
    </row>
    <row r="106" spans="1:39" s="35" customFormat="1" x14ac:dyDescent="0.2">
      <c r="A106" s="35" t="s">
        <v>18</v>
      </c>
      <c r="B106" s="35" t="s">
        <v>280</v>
      </c>
      <c r="C106" t="s">
        <v>319</v>
      </c>
      <c r="D106"/>
      <c r="F106" s="197">
        <v>1997.1</v>
      </c>
      <c r="G106" s="197">
        <v>2012.7</v>
      </c>
      <c r="H106" s="197">
        <v>2025.5</v>
      </c>
      <c r="I106" s="197">
        <v>2028.3</v>
      </c>
      <c r="J106" s="197">
        <v>2035.6</v>
      </c>
      <c r="K106" s="197">
        <v>2041</v>
      </c>
      <c r="L106" s="197">
        <v>2013.1</v>
      </c>
      <c r="M106" s="301">
        <v>1993.0509999999999</v>
      </c>
      <c r="N106" s="301">
        <f>VLOOKUP($C$106,'Haver NA'!$A$1:$J$34,10,0)/1000</f>
        <v>1984.547</v>
      </c>
      <c r="O106" s="35">
        <f>N106*(1+O108)</f>
        <v>2009.5840333646127</v>
      </c>
      <c r="P106" s="35">
        <f t="shared" ref="P106:V106" si="63">O106*(1+P108)</f>
        <v>2031.5173022625379</v>
      </c>
      <c r="Q106" s="35">
        <f t="shared" si="63"/>
        <v>2046.001536440413</v>
      </c>
      <c r="R106" s="35">
        <f t="shared" si="63"/>
        <v>2056.0370415493694</v>
      </c>
      <c r="S106" s="35">
        <f t="shared" si="63"/>
        <v>2065.9690878427696</v>
      </c>
      <c r="T106" s="35">
        <f t="shared" si="63"/>
        <v>2073.2112049317075</v>
      </c>
      <c r="U106" s="35">
        <f t="shared" si="63"/>
        <v>2077.6599340006264</v>
      </c>
      <c r="V106" s="35">
        <f t="shared" si="63"/>
        <v>2079.3152750495265</v>
      </c>
      <c r="AM106" s="233"/>
    </row>
    <row r="107" spans="1:39" s="185" customFormat="1" x14ac:dyDescent="0.2">
      <c r="A107" s="169" t="s">
        <v>284</v>
      </c>
      <c r="B107" s="35"/>
      <c r="C107" s="35"/>
      <c r="D107" s="35"/>
      <c r="F107" s="200"/>
      <c r="G107" s="200">
        <f t="shared" ref="G107:L107" si="64">(G106/F106)-1</f>
        <v>7.8113264233139468E-3</v>
      </c>
      <c r="H107" s="200">
        <f t="shared" si="64"/>
        <v>6.3596164356336526E-3</v>
      </c>
      <c r="I107" s="200">
        <f t="shared" si="64"/>
        <v>1.3823747222907468E-3</v>
      </c>
      <c r="J107" s="200">
        <f t="shared" si="64"/>
        <v>3.5990731154167399E-3</v>
      </c>
      <c r="K107" s="200">
        <f t="shared" si="64"/>
        <v>2.6527805069758159E-3</v>
      </c>
      <c r="L107" s="200">
        <f t="shared" si="64"/>
        <v>-1.36697697207252E-2</v>
      </c>
      <c r="M107" s="302">
        <v>-9.9592668024439668E-3</v>
      </c>
      <c r="N107" s="323">
        <f>(N106/M106)-1</f>
        <v>-4.2668250837534227E-3</v>
      </c>
      <c r="O107" s="252"/>
      <c r="P107" s="252"/>
      <c r="Q107" s="252"/>
      <c r="R107" s="252"/>
      <c r="S107" s="252"/>
      <c r="T107" s="252"/>
      <c r="U107" s="252"/>
      <c r="V107" s="252"/>
      <c r="W107" s="252"/>
      <c r="X107" s="252"/>
      <c r="Y107" s="252"/>
      <c r="AM107" s="234"/>
    </row>
    <row r="108" spans="1:39" s="185" customFormat="1" x14ac:dyDescent="0.2">
      <c r="A108" s="169" t="s">
        <v>285</v>
      </c>
      <c r="B108" s="35" t="s">
        <v>280</v>
      </c>
      <c r="C108" s="35"/>
      <c r="D108" s="35"/>
      <c r="F108" s="207"/>
      <c r="G108" s="207"/>
      <c r="H108" s="207"/>
      <c r="I108" s="207"/>
      <c r="J108" s="200"/>
      <c r="K108" s="200"/>
      <c r="L108" s="200"/>
      <c r="M108" s="301"/>
      <c r="N108" s="302"/>
      <c r="O108" s="196">
        <v>1.26159941611927E-2</v>
      </c>
      <c r="P108" s="196">
        <v>1.0914332784184499E-2</v>
      </c>
      <c r="Q108" s="196">
        <v>7.1297616622529904E-3</v>
      </c>
      <c r="R108" s="196">
        <v>4.9049352750809598E-3</v>
      </c>
      <c r="S108" s="196">
        <v>4.8306747848840797E-3</v>
      </c>
      <c r="T108" s="196">
        <v>3.5054334218038701E-3</v>
      </c>
      <c r="U108" s="196">
        <v>2.14581565946403E-3</v>
      </c>
      <c r="V108" s="196">
        <v>7.9673339308827796E-4</v>
      </c>
      <c r="W108" s="196">
        <v>3.9804955716982198E-4</v>
      </c>
      <c r="X108" s="196">
        <v>1.1439371331942701E-3</v>
      </c>
      <c r="Y108" s="196">
        <v>8.9423220229512001E-4</v>
      </c>
      <c r="Z108" s="185">
        <v>8.4379808408208102E-4</v>
      </c>
      <c r="AM108" s="234"/>
    </row>
    <row r="109" spans="1:39" s="35" customFormat="1" x14ac:dyDescent="0.2">
      <c r="A109" s="35" t="s">
        <v>215</v>
      </c>
      <c r="B109" s="35" t="s">
        <v>280</v>
      </c>
      <c r="C109" t="s">
        <v>320</v>
      </c>
      <c r="D109"/>
      <c r="F109" s="197"/>
      <c r="G109" s="197"/>
      <c r="H109" s="197"/>
      <c r="I109" s="197"/>
      <c r="J109" s="197">
        <v>2357.4</v>
      </c>
      <c r="K109" s="197">
        <v>2381.6</v>
      </c>
      <c r="L109" s="197">
        <v>2334.5</v>
      </c>
      <c r="M109" s="301">
        <v>2329.605</v>
      </c>
      <c r="N109" s="301">
        <f>VLOOKUP($C$109,'Haver NA'!$A$1:$J$34,10,0)/1000</f>
        <v>2337.201</v>
      </c>
      <c r="O109">
        <v>2469.9411956560398</v>
      </c>
      <c r="P109">
        <v>2511.3882460388099</v>
      </c>
      <c r="Q109">
        <v>2543.4204311910298</v>
      </c>
      <c r="R109">
        <v>2569.93355741499</v>
      </c>
      <c r="S109">
        <v>2599.1521046822099</v>
      </c>
      <c r="T109">
        <v>2626.53096564002</v>
      </c>
      <c r="U109">
        <v>2651.2044055545698</v>
      </c>
      <c r="V109">
        <v>2672.95599074239</v>
      </c>
      <c r="W109">
        <v>2693.9500580381</v>
      </c>
      <c r="X109">
        <v>2717.3248958518798</v>
      </c>
      <c r="Y109">
        <v>2740.4832999822002</v>
      </c>
      <c r="AM109" s="233"/>
    </row>
    <row r="110" spans="1:39" s="35" customFormat="1" x14ac:dyDescent="0.2">
      <c r="F110" s="197"/>
      <c r="G110" s="197"/>
      <c r="H110" s="197"/>
      <c r="I110" s="197"/>
      <c r="J110" s="197"/>
      <c r="K110" s="197"/>
      <c r="L110" s="197"/>
      <c r="M110" s="301"/>
      <c r="N110" s="301"/>
      <c r="O110">
        <f>N110*(1+O113)</f>
        <v>0</v>
      </c>
      <c r="P110">
        <f t="shared" ref="P110:S110" si="65">O110*(1+P113)</f>
        <v>0</v>
      </c>
      <c r="Q110">
        <f t="shared" si="65"/>
        <v>0</v>
      </c>
      <c r="R110">
        <f t="shared" si="65"/>
        <v>0</v>
      </c>
      <c r="S110">
        <f t="shared" si="65"/>
        <v>0</v>
      </c>
      <c r="T110">
        <f>S110*(1+T112)</f>
        <v>0</v>
      </c>
      <c r="U110">
        <f t="shared" ref="U110:V110" si="66">T110*(1+U112)</f>
        <v>0</v>
      </c>
      <c r="V110">
        <f t="shared" si="66"/>
        <v>0</v>
      </c>
      <c r="W110"/>
      <c r="X110"/>
      <c r="Y110"/>
      <c r="AM110" s="233"/>
    </row>
    <row r="111" spans="1:39" s="185" customFormat="1" x14ac:dyDescent="0.2">
      <c r="A111" s="169" t="s">
        <v>284</v>
      </c>
      <c r="B111" s="35"/>
      <c r="C111" s="35"/>
      <c r="D111" s="35"/>
      <c r="F111" s="200"/>
      <c r="G111" s="200"/>
      <c r="H111" s="200"/>
      <c r="I111" s="200"/>
      <c r="J111" s="200"/>
      <c r="K111" s="200">
        <f t="shared" ref="K111" si="67">(K109/J109)-1</f>
        <v>1.0265546788835067E-2</v>
      </c>
      <c r="L111" s="200">
        <f t="shared" ref="L111" si="68">(L109/K109)-1</f>
        <v>-1.9776620759153429E-2</v>
      </c>
      <c r="M111" s="302">
        <v>-8.3608921686818549E-3</v>
      </c>
      <c r="N111" s="323">
        <f>(((N109/M109))^4)-1</f>
        <v>1.3106483787577172E-2</v>
      </c>
      <c r="O111" s="252"/>
      <c r="P111" s="252"/>
      <c r="Q111" s="252"/>
      <c r="R111" s="252"/>
      <c r="S111" s="252"/>
      <c r="T111" s="252"/>
      <c r="U111" s="252"/>
      <c r="V111" s="252"/>
      <c r="W111" s="252"/>
      <c r="X111" s="252"/>
      <c r="Y111" s="252"/>
      <c r="AM111" s="234"/>
    </row>
    <row r="112" spans="1:39" s="185" customFormat="1" x14ac:dyDescent="0.2">
      <c r="A112" s="169" t="s">
        <v>285</v>
      </c>
      <c r="F112" s="207"/>
      <c r="G112" s="207"/>
      <c r="H112" s="207"/>
      <c r="I112" s="207"/>
      <c r="J112" s="207"/>
      <c r="K112" s="200"/>
      <c r="L112" s="200"/>
      <c r="M112" s="301"/>
      <c r="N112" s="302"/>
      <c r="O112" s="175">
        <v>9.408690138332787E-4</v>
      </c>
      <c r="P112" s="175">
        <v>9.1903906984696082E-3</v>
      </c>
      <c r="Q112" s="175">
        <v>7.4547841924690328E-3</v>
      </c>
      <c r="R112" s="175">
        <v>7.6518814378809807E-3</v>
      </c>
      <c r="S112" s="175">
        <v>8.511703592439579E-3</v>
      </c>
      <c r="T112" s="175">
        <v>9.0190724421828072E-3</v>
      </c>
      <c r="U112" s="175">
        <v>9.512485136741855E-3</v>
      </c>
      <c r="V112" s="175">
        <v>9.8290077576053125E-3</v>
      </c>
      <c r="W112" s="175">
        <v>1.0779069299762689E-2</v>
      </c>
      <c r="X112" s="175">
        <v>1.1818073295929432E-2</v>
      </c>
      <c r="Y112" s="175">
        <v>1.2112631744533475E-2</v>
      </c>
      <c r="Z112" s="175">
        <v>1.2395088591855785E-2</v>
      </c>
      <c r="AM112" s="234"/>
    </row>
    <row r="113" spans="1:39" s="185" customFormat="1" x14ac:dyDescent="0.2">
      <c r="A113" s="169" t="s">
        <v>372</v>
      </c>
      <c r="F113" s="207"/>
      <c r="G113" s="207"/>
      <c r="H113" s="207"/>
      <c r="I113" s="207"/>
      <c r="J113" s="207"/>
      <c r="K113" s="200"/>
      <c r="L113" s="200"/>
      <c r="M113" s="301"/>
      <c r="N113" s="302"/>
      <c r="O113" s="175">
        <v>2.5000000000000001E-3</v>
      </c>
      <c r="P113" s="175">
        <v>2.5000000000000001E-3</v>
      </c>
      <c r="Q113" s="175">
        <v>5.0000000000000001E-3</v>
      </c>
      <c r="R113" s="175">
        <v>7.4999999999999997E-3</v>
      </c>
      <c r="S113" s="175">
        <v>0.01</v>
      </c>
      <c r="T113" s="175"/>
      <c r="U113" s="175"/>
      <c r="V113" s="175"/>
      <c r="AM113" s="234"/>
    </row>
    <row r="114" spans="1:39" s="35" customFormat="1" x14ac:dyDescent="0.2">
      <c r="A114" s="35" t="s">
        <v>163</v>
      </c>
      <c r="F114" s="201">
        <f t="shared" ref="F114:L114" si="69">F100+F46-F96</f>
        <v>339220</v>
      </c>
      <c r="G114" s="201">
        <f t="shared" si="69"/>
        <v>334185</v>
      </c>
      <c r="H114" s="201">
        <f t="shared" si="69"/>
        <v>335532</v>
      </c>
      <c r="I114" s="201">
        <f t="shared" si="69"/>
        <v>344546</v>
      </c>
      <c r="J114" s="201">
        <f t="shared" si="69"/>
        <v>349558</v>
      </c>
      <c r="K114" s="201">
        <f t="shared" si="69"/>
        <v>343658</v>
      </c>
      <c r="L114" s="201">
        <f t="shared" si="69"/>
        <v>560584.66666666674</v>
      </c>
      <c r="M114" s="301">
        <v>528408</v>
      </c>
      <c r="N114" s="306">
        <f t="shared" ref="N114:Y114" si="70">N100+N46-N96</f>
        <v>343247</v>
      </c>
      <c r="O114" s="215">
        <f t="shared" si="70"/>
        <v>383773.58690641256</v>
      </c>
      <c r="P114" s="215">
        <f t="shared" si="70"/>
        <v>369916.53105964203</v>
      </c>
      <c r="Q114" s="215">
        <f t="shared" si="70"/>
        <v>370645.703294267</v>
      </c>
      <c r="R114" s="215">
        <f t="shared" si="70"/>
        <v>371744.93043796421</v>
      </c>
      <c r="S114" s="215">
        <f t="shared" si="70"/>
        <v>373221.55890099745</v>
      </c>
      <c r="T114" s="215">
        <f t="shared" si="70"/>
        <v>416124.06265897548</v>
      </c>
      <c r="U114" s="215">
        <f t="shared" si="70"/>
        <v>417555.5449371516</v>
      </c>
      <c r="V114" s="215">
        <f t="shared" si="70"/>
        <v>419048.72903766285</v>
      </c>
      <c r="W114" s="215">
        <f t="shared" si="70"/>
        <v>0</v>
      </c>
      <c r="X114" s="215">
        <f t="shared" si="70"/>
        <v>0</v>
      </c>
      <c r="Y114" s="215">
        <f t="shared" si="70"/>
        <v>0</v>
      </c>
      <c r="AM114" s="233"/>
    </row>
    <row r="115" spans="1:39" s="35" customFormat="1" x14ac:dyDescent="0.2">
      <c r="A115" s="141" t="s">
        <v>212</v>
      </c>
      <c r="B115" s="141"/>
      <c r="E115" s="141"/>
      <c r="F115" s="201">
        <f t="shared" ref="F115:L115" si="71">F103-F96</f>
        <v>200195</v>
      </c>
      <c r="G115" s="201">
        <f t="shared" si="71"/>
        <v>194843</v>
      </c>
      <c r="H115" s="201">
        <f t="shared" si="71"/>
        <v>195304</v>
      </c>
      <c r="I115" s="201">
        <f t="shared" si="71"/>
        <v>203441</v>
      </c>
      <c r="J115" s="201">
        <f t="shared" si="71"/>
        <v>208223</v>
      </c>
      <c r="K115" s="201">
        <f t="shared" si="71"/>
        <v>200667</v>
      </c>
      <c r="L115" s="201">
        <f t="shared" si="71"/>
        <v>156183</v>
      </c>
      <c r="M115" s="301">
        <v>197631</v>
      </c>
      <c r="N115" s="306">
        <f>N103-N96</f>
        <v>161439</v>
      </c>
      <c r="O115" s="142">
        <f t="shared" ref="O115:Y115" si="72">O103-O96</f>
        <v>178302.81690641254</v>
      </c>
      <c r="P115" s="142">
        <f t="shared" si="72"/>
        <v>180082.08413464209</v>
      </c>
      <c r="Q115" s="142">
        <f t="shared" si="72"/>
        <v>180082.08413464209</v>
      </c>
      <c r="R115" s="142">
        <f t="shared" si="72"/>
        <v>180082.08413464209</v>
      </c>
      <c r="S115" s="142">
        <f t="shared" si="72"/>
        <v>180082.08413464209</v>
      </c>
      <c r="T115" s="142">
        <f t="shared" si="72"/>
        <v>221639.48816571326</v>
      </c>
      <c r="U115" s="142">
        <f t="shared" si="72"/>
        <v>221639.48816571326</v>
      </c>
      <c r="V115" s="142">
        <f t="shared" si="72"/>
        <v>221639.48816571326</v>
      </c>
      <c r="W115" s="142">
        <f t="shared" si="72"/>
        <v>0</v>
      </c>
      <c r="X115" s="142">
        <f t="shared" si="72"/>
        <v>0</v>
      </c>
      <c r="Y115" s="142">
        <f t="shared" si="72"/>
        <v>0</v>
      </c>
      <c r="AM115" s="233"/>
    </row>
    <row r="116" spans="1:39" s="141" customFormat="1" x14ac:dyDescent="0.2">
      <c r="A116" s="141" t="s">
        <v>230</v>
      </c>
      <c r="C116" s="35"/>
      <c r="D116" s="35"/>
      <c r="F116" s="201">
        <f t="shared" ref="F116:K116" si="73">F114-F115</f>
        <v>139025</v>
      </c>
      <c r="G116" s="201">
        <f t="shared" si="73"/>
        <v>139342</v>
      </c>
      <c r="H116" s="201">
        <f t="shared" si="73"/>
        <v>140228</v>
      </c>
      <c r="I116" s="201">
        <f t="shared" si="73"/>
        <v>141105</v>
      </c>
      <c r="J116" s="201">
        <f t="shared" si="73"/>
        <v>141335</v>
      </c>
      <c r="K116" s="201">
        <f t="shared" si="73"/>
        <v>142991</v>
      </c>
      <c r="L116" s="201">
        <f>L114-L115</f>
        <v>404401.66666666674</v>
      </c>
      <c r="M116" s="306">
        <v>330777</v>
      </c>
      <c r="N116" s="306">
        <f>N114-N115</f>
        <v>181808</v>
      </c>
      <c r="O116" s="142">
        <f t="shared" ref="O116:Y116" si="74">O114-O115</f>
        <v>205470.77000000002</v>
      </c>
      <c r="P116" s="142">
        <f t="shared" si="74"/>
        <v>189834.44692499994</v>
      </c>
      <c r="Q116" s="142">
        <f t="shared" si="74"/>
        <v>190563.61915962491</v>
      </c>
      <c r="R116" s="142">
        <f t="shared" si="74"/>
        <v>191662.84630332212</v>
      </c>
      <c r="S116" s="142">
        <f t="shared" si="74"/>
        <v>193139.47476635536</v>
      </c>
      <c r="T116" s="142">
        <f t="shared" si="74"/>
        <v>194484.57449326222</v>
      </c>
      <c r="U116" s="142">
        <f t="shared" si="74"/>
        <v>195916.05677143834</v>
      </c>
      <c r="V116" s="142">
        <f t="shared" si="74"/>
        <v>197409.24087194959</v>
      </c>
      <c r="W116" s="142">
        <f t="shared" si="74"/>
        <v>0</v>
      </c>
      <c r="X116" s="142">
        <f t="shared" si="74"/>
        <v>0</v>
      </c>
      <c r="Y116" s="142">
        <f t="shared" si="74"/>
        <v>0</v>
      </c>
      <c r="AM116" s="256"/>
    </row>
    <row r="117" spans="1:39" s="35" customFormat="1" x14ac:dyDescent="0.2">
      <c r="A117"/>
      <c r="F117" s="213"/>
      <c r="G117" s="213"/>
      <c r="H117" s="213"/>
      <c r="I117" s="213"/>
      <c r="J117" s="213"/>
      <c r="K117" s="213"/>
      <c r="L117" s="135"/>
      <c r="M117" s="135"/>
      <c r="N117" s="94"/>
      <c r="O117" s="94"/>
      <c r="P117" s="94"/>
      <c r="Q117" s="94"/>
      <c r="R117" s="94"/>
      <c r="S117" s="94"/>
      <c r="T117" s="94"/>
      <c r="U117" s="94"/>
      <c r="V117"/>
      <c r="AM117" s="233"/>
    </row>
    <row r="118" spans="1:39" s="185" customFormat="1" x14ac:dyDescent="0.2">
      <c r="A118" s="169"/>
      <c r="F118" s="193"/>
      <c r="G118" s="193"/>
      <c r="H118" s="193"/>
      <c r="I118" s="193"/>
      <c r="J118" s="193"/>
      <c r="K118" s="193"/>
      <c r="L118" s="193"/>
      <c r="M118" s="214"/>
      <c r="N118" s="193"/>
      <c r="O118" s="193"/>
      <c r="P118" s="193"/>
      <c r="Q118" s="193"/>
      <c r="R118" s="193"/>
      <c r="S118" s="193"/>
      <c r="T118" s="193"/>
      <c r="U118" s="193"/>
      <c r="AM118" s="234"/>
    </row>
    <row r="119" spans="1:39" x14ac:dyDescent="0.2">
      <c r="A119" t="s">
        <v>158</v>
      </c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2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2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  <row r="122" spans="1:39" x14ac:dyDescent="0.2"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</row>
    <row r="123" spans="1:39" x14ac:dyDescent="0.2"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</row>
    <row r="124" spans="1:39" x14ac:dyDescent="0.2"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2" sqref="C2:C19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355</v>
      </c>
      <c r="B1" s="97" t="s">
        <v>357</v>
      </c>
      <c r="C1" s="97" t="s">
        <v>358</v>
      </c>
    </row>
    <row r="2" spans="1:3" x14ac:dyDescent="0.2">
      <c r="A2" s="289" t="s">
        <v>360</v>
      </c>
      <c r="B2" s="289">
        <v>325</v>
      </c>
      <c r="C2" s="290">
        <f>B2*1000</f>
        <v>325000</v>
      </c>
    </row>
    <row r="3" spans="1:3" x14ac:dyDescent="0.2">
      <c r="A3" s="289" t="s">
        <v>361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20</v>
      </c>
      <c r="B4" s="289">
        <v>166</v>
      </c>
      <c r="C4" s="290">
        <f t="shared" si="0"/>
        <v>166000</v>
      </c>
    </row>
    <row r="5" spans="1:3" x14ac:dyDescent="0.2">
      <c r="A5" s="289" t="s">
        <v>198</v>
      </c>
      <c r="B5" s="289">
        <v>82</v>
      </c>
      <c r="C5" s="290">
        <f t="shared" si="0"/>
        <v>82000</v>
      </c>
    </row>
    <row r="6" spans="1:3" x14ac:dyDescent="0.2">
      <c r="A6" s="289" t="s">
        <v>362</v>
      </c>
      <c r="B6" s="289">
        <v>63</v>
      </c>
      <c r="C6" s="290">
        <f t="shared" si="0"/>
        <v>63000</v>
      </c>
    </row>
    <row r="7" spans="1:3" x14ac:dyDescent="0.2">
      <c r="A7" s="291" t="s">
        <v>352</v>
      </c>
      <c r="B7">
        <v>22</v>
      </c>
      <c r="C7" s="290">
        <f>B7*1000</f>
        <v>22000</v>
      </c>
    </row>
    <row r="8" spans="1:3" x14ac:dyDescent="0.2">
      <c r="A8" s="176" t="s">
        <v>353</v>
      </c>
      <c r="B8">
        <v>20</v>
      </c>
      <c r="C8" s="290">
        <f>B8*1000</f>
        <v>20000</v>
      </c>
    </row>
    <row r="9" spans="1:3" x14ac:dyDescent="0.2">
      <c r="A9" s="176" t="s">
        <v>354</v>
      </c>
      <c r="B9">
        <v>9</v>
      </c>
      <c r="C9" s="290">
        <f>B9*1000</f>
        <v>9000</v>
      </c>
    </row>
    <row r="10" spans="1:3" x14ac:dyDescent="0.2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363</v>
      </c>
      <c r="B11" s="289">
        <v>45</v>
      </c>
      <c r="C11" s="290">
        <f t="shared" si="0"/>
        <v>45000</v>
      </c>
    </row>
    <row r="12" spans="1:3" x14ac:dyDescent="0.2">
      <c r="A12" s="291" t="s">
        <v>364</v>
      </c>
      <c r="B12" s="289">
        <v>16</v>
      </c>
      <c r="C12" s="290">
        <f t="shared" si="0"/>
        <v>16000</v>
      </c>
    </row>
    <row r="13" spans="1:3" x14ac:dyDescent="0.2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365</v>
      </c>
      <c r="B14" s="289">
        <v>80</v>
      </c>
      <c r="C14" s="290">
        <f t="shared" si="0"/>
        <v>80000</v>
      </c>
    </row>
    <row r="15" spans="1:3" x14ac:dyDescent="0.2">
      <c r="A15" s="291" t="s">
        <v>346</v>
      </c>
      <c r="B15" s="289">
        <v>26</v>
      </c>
      <c r="C15" s="290">
        <f t="shared" si="0"/>
        <v>26000</v>
      </c>
    </row>
    <row r="16" spans="1:3" x14ac:dyDescent="0.2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366</v>
      </c>
      <c r="B17">
        <v>30</v>
      </c>
      <c r="C17" s="290">
        <f t="shared" si="0"/>
        <v>30000</v>
      </c>
    </row>
    <row r="18" spans="1:3" x14ac:dyDescent="0.2">
      <c r="A18" s="291" t="s">
        <v>367</v>
      </c>
      <c r="B18">
        <v>20</v>
      </c>
      <c r="C18" s="290">
        <f t="shared" si="0"/>
        <v>20000</v>
      </c>
    </row>
    <row r="19" spans="1:3" x14ac:dyDescent="0.2">
      <c r="A19" s="291" t="s">
        <v>368</v>
      </c>
      <c r="B19">
        <v>5</v>
      </c>
      <c r="C19" s="290">
        <f t="shared" si="0"/>
        <v>5000</v>
      </c>
    </row>
    <row r="20" spans="1:3" ht="16" thickBot="1" x14ac:dyDescent="0.25">
      <c r="A20" s="293" t="s">
        <v>369</v>
      </c>
      <c r="B20" s="294">
        <v>5</v>
      </c>
      <c r="C20" s="295">
        <f t="shared" si="0"/>
        <v>5000</v>
      </c>
    </row>
    <row r="21" spans="1:3" x14ac:dyDescent="0.2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X73"/>
  <sheetViews>
    <sheetView zoomScale="130" zoomScaleNormal="130" workbookViewId="0">
      <pane xSplit="2" ySplit="8" topLeftCell="C51" activePane="bottomRight" state="frozen"/>
      <selection pane="topRight" activeCell="C1" sqref="C1"/>
      <selection pane="bottomLeft" activeCell="A9" sqref="A9"/>
      <selection pane="bottomRight" activeCell="E68" sqref="E68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50" ht="19" x14ac:dyDescent="0.25">
      <c r="A1" s="349" t="s">
        <v>206</v>
      </c>
      <c r="B1" s="350"/>
      <c r="C1" s="35"/>
      <c r="H1"/>
      <c r="I1" s="240"/>
      <c r="J1" s="357" t="s">
        <v>279</v>
      </c>
      <c r="V1" s="341"/>
      <c r="W1" s="341"/>
      <c r="X1" s="341"/>
      <c r="Y1" s="341"/>
    </row>
    <row r="2" spans="1:50" x14ac:dyDescent="0.2">
      <c r="A2" s="351" t="s">
        <v>191</v>
      </c>
      <c r="B2" s="126"/>
      <c r="C2" t="s">
        <v>192</v>
      </c>
      <c r="I2" s="241"/>
      <c r="J2" s="357"/>
    </row>
    <row r="3" spans="1:50" x14ac:dyDescent="0.2">
      <c r="A3" s="352"/>
      <c r="B3" s="127"/>
      <c r="C3" t="s">
        <v>193</v>
      </c>
      <c r="I3" s="241"/>
      <c r="J3" s="357"/>
    </row>
    <row r="4" spans="1:50" x14ac:dyDescent="0.2">
      <c r="A4" s="352"/>
      <c r="B4" s="128"/>
      <c r="C4" t="s">
        <v>194</v>
      </c>
    </row>
    <row r="5" spans="1:50" x14ac:dyDescent="0.2">
      <c r="A5" s="353"/>
      <c r="B5" s="129"/>
      <c r="C5" t="s">
        <v>181</v>
      </c>
    </row>
    <row r="7" spans="1:50" x14ac:dyDescent="0.2">
      <c r="C7" s="354" t="s">
        <v>160</v>
      </c>
      <c r="D7" s="355"/>
      <c r="E7" s="355"/>
      <c r="F7" s="356"/>
      <c r="G7" s="354" t="s">
        <v>165</v>
      </c>
      <c r="H7" s="355"/>
      <c r="I7" s="355"/>
      <c r="J7" s="356"/>
      <c r="K7" s="354" t="s">
        <v>176</v>
      </c>
      <c r="L7" s="355"/>
      <c r="M7" s="355"/>
      <c r="N7" s="355"/>
      <c r="O7" s="354" t="s">
        <v>269</v>
      </c>
      <c r="P7" s="355"/>
      <c r="Q7" s="355"/>
      <c r="R7" s="355"/>
      <c r="S7" s="354" t="s">
        <v>273</v>
      </c>
      <c r="T7" s="355"/>
      <c r="U7" s="355"/>
      <c r="V7" s="355"/>
      <c r="W7" s="354" t="s">
        <v>274</v>
      </c>
      <c r="X7" s="355"/>
      <c r="Y7" s="355"/>
      <c r="Z7" s="355"/>
      <c r="AA7" s="222" t="s">
        <v>275</v>
      </c>
    </row>
    <row r="8" spans="1:50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50" s="2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50" ht="16" x14ac:dyDescent="0.2">
      <c r="B10" s="86" t="s">
        <v>170</v>
      </c>
      <c r="D10">
        <v>200.67099999999999</v>
      </c>
      <c r="E10">
        <v>156.16</v>
      </c>
      <c r="F10">
        <v>197.62799999999999</v>
      </c>
      <c r="G10">
        <v>161.40700000000001</v>
      </c>
      <c r="H10">
        <v>165.59009035050261</v>
      </c>
      <c r="I10">
        <v>169.77318070100509</v>
      </c>
      <c r="J10">
        <v>173.95627105150791</v>
      </c>
      <c r="K10">
        <v>174.54654357698769</v>
      </c>
      <c r="L10">
        <v>175.13681610246749</v>
      </c>
      <c r="M10">
        <v>175.72708862794721</v>
      </c>
      <c r="N10">
        <v>176.31736115342699</v>
      </c>
      <c r="O10">
        <v>174.4074844576952</v>
      </c>
      <c r="P10">
        <v>172.49760776196339</v>
      </c>
      <c r="Q10">
        <v>170.58773106623161</v>
      </c>
      <c r="R10">
        <v>168.67785437049989</v>
      </c>
      <c r="S10">
        <v>169.67544494515229</v>
      </c>
      <c r="T10">
        <v>170.6730355198049</v>
      </c>
      <c r="U10">
        <v>171.6706260944575</v>
      </c>
      <c r="V10">
        <v>172.66821666911011</v>
      </c>
      <c r="W10">
        <v>175.2342089258436</v>
      </c>
      <c r="X10">
        <v>177.8002011825771</v>
      </c>
      <c r="Y10">
        <v>180.36619343931071</v>
      </c>
      <c r="Z10">
        <v>182.93218569604429</v>
      </c>
      <c r="AA10">
        <v>185.48754704600071</v>
      </c>
      <c r="AB10">
        <v>188.04290839595731</v>
      </c>
      <c r="AC10">
        <v>190.59826974591391</v>
      </c>
      <c r="AD10">
        <v>193.1536310958704</v>
      </c>
      <c r="AE10">
        <v>196.08321751100041</v>
      </c>
      <c r="AF10">
        <v>199.01280392613029</v>
      </c>
      <c r="AG10">
        <v>201.94239034126039</v>
      </c>
      <c r="AH10">
        <v>204.87197675639041</v>
      </c>
      <c r="AI10">
        <v>207.82531124553029</v>
      </c>
      <c r="AJ10">
        <v>210.77864573467019</v>
      </c>
      <c r="AK10">
        <v>213.7319802238101</v>
      </c>
      <c r="AL10">
        <v>216.68531471295</v>
      </c>
      <c r="AM10">
        <v>219.73698508977679</v>
      </c>
      <c r="AN10">
        <v>222.7886554666039</v>
      </c>
      <c r="AO10">
        <v>225.8403258434308</v>
      </c>
      <c r="AP10">
        <v>228.89199622025771</v>
      </c>
      <c r="AQ10">
        <v>232.11178924377541</v>
      </c>
      <c r="AR10">
        <v>235.3315822672931</v>
      </c>
      <c r="AS10">
        <v>238.55137529081071</v>
      </c>
      <c r="AT10">
        <v>241.77116831432841</v>
      </c>
      <c r="AU10">
        <v>245.1168175567866</v>
      </c>
      <c r="AV10">
        <v>248.46246679924459</v>
      </c>
      <c r="AW10">
        <v>251.80811604170259</v>
      </c>
      <c r="AX10">
        <v>255.15376528416061</v>
      </c>
    </row>
    <row r="11" spans="1:50" ht="16" x14ac:dyDescent="0.2">
      <c r="B11" s="86" t="s">
        <v>171</v>
      </c>
      <c r="D11">
        <v>186.4</v>
      </c>
      <c r="E11">
        <v>393.066666666667</v>
      </c>
      <c r="F11">
        <v>224.8</v>
      </c>
      <c r="G11">
        <v>145.9</v>
      </c>
      <c r="H11">
        <v>123.187827611359</v>
      </c>
      <c r="I11">
        <v>100.480777097718</v>
      </c>
      <c r="J11">
        <v>79.837867818451997</v>
      </c>
      <c r="K11">
        <v>93.489948668704102</v>
      </c>
      <c r="L11">
        <v>109.273410154041</v>
      </c>
      <c r="M11">
        <v>125.589838709288</v>
      </c>
      <c r="N11">
        <v>141.02956247526899</v>
      </c>
      <c r="O11">
        <v>155.44938450061099</v>
      </c>
      <c r="P11">
        <v>169.623729184957</v>
      </c>
      <c r="Q11">
        <v>184.56957408385901</v>
      </c>
      <c r="R11">
        <v>199.44528259961899</v>
      </c>
      <c r="S11">
        <v>199.260283817746</v>
      </c>
      <c r="T11">
        <v>199.496103334721</v>
      </c>
      <c r="U11">
        <v>200.117672958973</v>
      </c>
      <c r="V11">
        <v>201.300333648356</v>
      </c>
      <c r="W11">
        <v>200.51814947922099</v>
      </c>
      <c r="X11">
        <v>199.66582892694501</v>
      </c>
      <c r="Y11">
        <v>199.09405390723401</v>
      </c>
      <c r="Z11">
        <v>198.83789261165899</v>
      </c>
      <c r="AA11">
        <v>198.46322698311701</v>
      </c>
      <c r="AB11">
        <v>197.98335677986299</v>
      </c>
      <c r="AC11">
        <v>198.029509450169</v>
      </c>
      <c r="AD11">
        <v>198.25100307832901</v>
      </c>
      <c r="AE11">
        <v>198.216850774449</v>
      </c>
      <c r="AF11">
        <v>198.077493895857</v>
      </c>
      <c r="AG11">
        <v>198.113477975119</v>
      </c>
      <c r="AH11">
        <v>198.11439386281</v>
      </c>
      <c r="AI11">
        <v>197.81902910740601</v>
      </c>
      <c r="AJ11">
        <v>197.66393711828599</v>
      </c>
      <c r="AK11">
        <v>197.508845129165</v>
      </c>
      <c r="AL11">
        <v>197.31868494847399</v>
      </c>
      <c r="AM11">
        <v>196.515441346898</v>
      </c>
      <c r="AN11">
        <v>195.71219774532199</v>
      </c>
      <c r="AO11">
        <v>194.979090526888</v>
      </c>
      <c r="AP11">
        <v>194.10571054217101</v>
      </c>
      <c r="AQ11">
        <v>192.16216718659399</v>
      </c>
      <c r="AR11">
        <v>190.3588965973</v>
      </c>
      <c r="AS11">
        <v>188.38028505015299</v>
      </c>
      <c r="AT11">
        <v>186.47180988614599</v>
      </c>
    </row>
    <row r="12" spans="1:50" ht="16" x14ac:dyDescent="0.2">
      <c r="B12" s="86" t="s">
        <v>172</v>
      </c>
      <c r="D12">
        <v>1862.4</v>
      </c>
      <c r="E12">
        <v>1779.8</v>
      </c>
      <c r="F12">
        <v>1871.3</v>
      </c>
      <c r="G12">
        <v>1890.6</v>
      </c>
      <c r="H12">
        <v>1921.95543744052</v>
      </c>
      <c r="I12">
        <v>1952.51729994875</v>
      </c>
      <c r="J12">
        <v>1985.18305878908</v>
      </c>
      <c r="K12">
        <v>2007.0617351197</v>
      </c>
      <c r="L12">
        <v>2027.0856607365099</v>
      </c>
      <c r="M12">
        <v>2046.9065788124999</v>
      </c>
      <c r="N12">
        <v>2067.6318032066802</v>
      </c>
      <c r="O12">
        <v>2088.6615389120698</v>
      </c>
      <c r="P12">
        <v>2109.80200600337</v>
      </c>
      <c r="Q12">
        <v>2130.0658496229598</v>
      </c>
      <c r="R12">
        <v>2151.7784288747298</v>
      </c>
      <c r="S12">
        <v>2174.7275086023901</v>
      </c>
      <c r="T12">
        <v>2198.8484954974701</v>
      </c>
      <c r="U12">
        <v>2222.5450120799501</v>
      </c>
      <c r="V12">
        <v>2246.0385211215998</v>
      </c>
      <c r="W12">
        <v>2269.9657280913698</v>
      </c>
      <c r="X12">
        <v>2295.0463869975802</v>
      </c>
      <c r="Y12">
        <v>2320.4223295995298</v>
      </c>
      <c r="Z12">
        <v>2346.0474178197501</v>
      </c>
      <c r="AA12">
        <v>2371.8939688117698</v>
      </c>
      <c r="AB12">
        <v>2397.9527549600998</v>
      </c>
      <c r="AC12">
        <v>2424.1776381872801</v>
      </c>
      <c r="AD12">
        <v>2450.6055289552701</v>
      </c>
      <c r="AE12">
        <v>2477.2825653415298</v>
      </c>
      <c r="AF12">
        <v>2504.2179749615598</v>
      </c>
      <c r="AG12">
        <v>2531.3933025843799</v>
      </c>
      <c r="AH12">
        <v>2558.8915967493999</v>
      </c>
      <c r="AI12">
        <v>2586.43602899187</v>
      </c>
      <c r="AJ12">
        <v>2613.4268043048501</v>
      </c>
      <c r="AK12">
        <v>2639.6885979939998</v>
      </c>
      <c r="AL12">
        <v>2665.71970129585</v>
      </c>
      <c r="AM12">
        <v>2691.7508045977002</v>
      </c>
      <c r="AN12">
        <v>2717.4958518193098</v>
      </c>
      <c r="AO12">
        <v>2743.4623618127198</v>
      </c>
      <c r="AP12">
        <v>2769.5949688849801</v>
      </c>
      <c r="AQ12">
        <v>2795.9029006515798</v>
      </c>
      <c r="AR12">
        <v>2822.44152280548</v>
      </c>
      <c r="AS12">
        <v>2849.1277868072302</v>
      </c>
      <c r="AT12">
        <v>2875.95246504137</v>
      </c>
    </row>
    <row r="13" spans="1:50" ht="16" x14ac:dyDescent="0.2">
      <c r="B13" s="86" t="s">
        <v>173</v>
      </c>
      <c r="D13">
        <v>62.7</v>
      </c>
      <c r="E13">
        <v>54.2</v>
      </c>
      <c r="F13">
        <v>90.2</v>
      </c>
      <c r="G13">
        <v>69.033333333333303</v>
      </c>
      <c r="H13">
        <v>70.178245194458697</v>
      </c>
      <c r="I13">
        <v>71.2941804752259</v>
      </c>
      <c r="J13">
        <v>72.486937387640197</v>
      </c>
      <c r="K13">
        <v>73.285814969373106</v>
      </c>
      <c r="L13">
        <v>74.016968217943401</v>
      </c>
      <c r="M13">
        <v>74.740708852933807</v>
      </c>
      <c r="N13">
        <v>75.497469312053099</v>
      </c>
      <c r="O13">
        <v>76.2653486915424</v>
      </c>
      <c r="P13">
        <v>77.037271314802595</v>
      </c>
      <c r="Q13">
        <v>77.777184924876593</v>
      </c>
      <c r="R13">
        <v>78.569997640953105</v>
      </c>
      <c r="S13">
        <v>79.407959912471199</v>
      </c>
      <c r="T13">
        <v>80.288713180564699</v>
      </c>
      <c r="U13">
        <v>81.153967347536394</v>
      </c>
      <c r="V13">
        <v>82.011808900928202</v>
      </c>
      <c r="W13">
        <v>82.885486492422601</v>
      </c>
      <c r="X13">
        <v>83.801281206530504</v>
      </c>
      <c r="Y13">
        <v>84.727857904027502</v>
      </c>
      <c r="Z13">
        <v>85.663531900009005</v>
      </c>
      <c r="AA13">
        <v>86.607292383532197</v>
      </c>
      <c r="AB13">
        <v>87.558802417616405</v>
      </c>
      <c r="AC13">
        <v>88.516377317356898</v>
      </c>
      <c r="AD13">
        <v>89.481364830677407</v>
      </c>
      <c r="AE13">
        <v>90.455449642482407</v>
      </c>
      <c r="AF13">
        <v>91.438968689752798</v>
      </c>
      <c r="AG13">
        <v>92.431248098526794</v>
      </c>
      <c r="AH13">
        <v>93.435320301632601</v>
      </c>
      <c r="AI13">
        <v>94.441077189642996</v>
      </c>
      <c r="AJ13">
        <v>95.426617858798807</v>
      </c>
      <c r="AK13">
        <v>96.385540506463002</v>
      </c>
      <c r="AL13">
        <v>97.336039729604394</v>
      </c>
      <c r="AM13">
        <v>98.286538952745801</v>
      </c>
      <c r="AN13">
        <v>99.226593129479099</v>
      </c>
      <c r="AO13">
        <v>100.174733793754</v>
      </c>
      <c r="AP13">
        <v>101.128939323686</v>
      </c>
      <c r="AQ13">
        <v>102.089546656254</v>
      </c>
      <c r="AR13">
        <v>103.058577413346</v>
      </c>
      <c r="AS13">
        <v>104.032999162132</v>
      </c>
      <c r="AT13">
        <v>105.012474965631</v>
      </c>
    </row>
    <row r="14" spans="1:50" ht="16" x14ac:dyDescent="0.2">
      <c r="B14" s="86" t="s">
        <v>175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1365.228724966064</v>
      </c>
      <c r="I14">
        <v>1357.664449932128</v>
      </c>
      <c r="J14">
        <v>1350.1001748981921</v>
      </c>
      <c r="K14">
        <v>1379.0396158890269</v>
      </c>
      <c r="L14">
        <v>1407.979056879863</v>
      </c>
      <c r="M14">
        <v>1436.918497870698</v>
      </c>
      <c r="N14">
        <v>1465.857938861534</v>
      </c>
      <c r="O14">
        <v>1477.7858704800731</v>
      </c>
      <c r="P14">
        <v>1489.7138020986119</v>
      </c>
      <c r="Q14">
        <v>1501.6417337171511</v>
      </c>
      <c r="R14">
        <v>1513.569665335689</v>
      </c>
      <c r="S14">
        <v>1523.810291133271</v>
      </c>
      <c r="T14">
        <v>1534.0509169308521</v>
      </c>
      <c r="U14">
        <v>1544.2915427284329</v>
      </c>
      <c r="V14">
        <v>1554.5321685260139</v>
      </c>
      <c r="W14">
        <v>1592.5682674016571</v>
      </c>
      <c r="X14">
        <v>1630.6043662772991</v>
      </c>
      <c r="Y14">
        <v>1668.640465152941</v>
      </c>
      <c r="Z14">
        <v>1706.6765640285839</v>
      </c>
      <c r="AA14">
        <v>1735.126996577955</v>
      </c>
      <c r="AB14">
        <v>1763.577429127326</v>
      </c>
      <c r="AC14">
        <v>1792.027861676698</v>
      </c>
      <c r="AD14">
        <v>1820.478294226069</v>
      </c>
      <c r="AE14">
        <v>1851.8765870702759</v>
      </c>
      <c r="AF14">
        <v>1883.2748799144831</v>
      </c>
      <c r="AG14">
        <v>1914.67317275869</v>
      </c>
      <c r="AH14">
        <v>1946.071465602897</v>
      </c>
      <c r="AI14">
        <v>1995.873954252166</v>
      </c>
      <c r="AJ14">
        <v>2045.6764429014349</v>
      </c>
      <c r="AK14">
        <v>2095.4789315507051</v>
      </c>
      <c r="AL14">
        <v>2145.281420199974</v>
      </c>
      <c r="AM14">
        <v>2145.0480738955612</v>
      </c>
      <c r="AN14">
        <v>2144.8147275911479</v>
      </c>
      <c r="AO14">
        <v>2144.581381286735</v>
      </c>
      <c r="AP14">
        <v>2144.3480349823212</v>
      </c>
      <c r="AQ14">
        <v>2194.8302571509271</v>
      </c>
      <c r="AR14">
        <v>2245.312479319532</v>
      </c>
      <c r="AS14">
        <v>2295.794701488137</v>
      </c>
      <c r="AT14">
        <v>2346.2769236567419</v>
      </c>
      <c r="AU14">
        <v>2390.3190668283441</v>
      </c>
      <c r="AV14">
        <v>2434.3612099999468</v>
      </c>
      <c r="AW14">
        <v>2478.403353171549</v>
      </c>
      <c r="AX14">
        <v>2522.4454963431522</v>
      </c>
    </row>
    <row r="15" spans="1:50" ht="16" x14ac:dyDescent="0.2">
      <c r="B15" s="86" t="s">
        <v>166</v>
      </c>
      <c r="D15">
        <v>1574.4</v>
      </c>
      <c r="E15">
        <v>3741.5333333333301</v>
      </c>
      <c r="F15">
        <v>2572.1999999999998</v>
      </c>
      <c r="G15">
        <v>2063.6999999999998</v>
      </c>
      <c r="H15">
        <v>1819.81390083411</v>
      </c>
      <c r="I15">
        <v>1623.62521731378</v>
      </c>
      <c r="J15">
        <v>1487.1097724132001</v>
      </c>
      <c r="K15">
        <v>1525.56477563047</v>
      </c>
      <c r="L15">
        <v>1537.45597233026</v>
      </c>
      <c r="M15">
        <v>1532.4524351376299</v>
      </c>
      <c r="N15">
        <v>1504.0551108309301</v>
      </c>
      <c r="O15">
        <v>1504.76699307077</v>
      </c>
      <c r="P15">
        <v>1506.4554877129101</v>
      </c>
      <c r="Q15">
        <v>1508.8118867247699</v>
      </c>
      <c r="R15">
        <v>1513.08196729581</v>
      </c>
      <c r="S15">
        <v>1528.86684944985</v>
      </c>
      <c r="T15">
        <v>1544.00925390971</v>
      </c>
      <c r="U15">
        <v>1556.1560335270599</v>
      </c>
      <c r="V15">
        <v>1566.4665870005299</v>
      </c>
      <c r="W15">
        <v>1601.9073637173799</v>
      </c>
      <c r="X15">
        <v>1631.30402307299</v>
      </c>
      <c r="Y15">
        <v>1655.34640968285</v>
      </c>
      <c r="Z15">
        <v>1673.4583263601301</v>
      </c>
      <c r="AA15">
        <v>1682.7628887994099</v>
      </c>
      <c r="AB15">
        <v>1693.56588941872</v>
      </c>
      <c r="AC15">
        <v>1707.07457155099</v>
      </c>
      <c r="AD15">
        <v>1722.68635045423</v>
      </c>
      <c r="AE15">
        <v>1735.8137825215699</v>
      </c>
      <c r="AF15">
        <v>1749.2248374552801</v>
      </c>
      <c r="AG15">
        <v>1761.02815510048</v>
      </c>
      <c r="AH15">
        <v>1772.41066492001</v>
      </c>
      <c r="AI15">
        <v>1805.0361022818399</v>
      </c>
      <c r="AJ15">
        <v>1833.15435247449</v>
      </c>
      <c r="AK15">
        <v>1857.5703695928801</v>
      </c>
      <c r="AL15">
        <v>1877.6331160100301</v>
      </c>
      <c r="AM15">
        <v>1853.42810148629</v>
      </c>
      <c r="AN15">
        <v>1839.9120282056999</v>
      </c>
      <c r="AO15">
        <v>1838.3860538377</v>
      </c>
      <c r="AP15">
        <v>1848.20267890064</v>
      </c>
      <c r="AQ15">
        <v>1906.4392549448801</v>
      </c>
      <c r="AR15">
        <v>1955.0223742324899</v>
      </c>
      <c r="AS15">
        <v>1988.91857610285</v>
      </c>
      <c r="AT15">
        <v>2011.1030125773</v>
      </c>
    </row>
    <row r="16" spans="1:50" ht="16" x14ac:dyDescent="0.2">
      <c r="B16" s="86" t="s">
        <v>169</v>
      </c>
      <c r="D16">
        <v>74.5</v>
      </c>
      <c r="E16">
        <v>1085.9000000000001</v>
      </c>
      <c r="F16">
        <v>1212.9000000000001</v>
      </c>
      <c r="G16">
        <v>609.9</v>
      </c>
      <c r="H16">
        <v>612.6833822665883</v>
      </c>
      <c r="I16">
        <v>615.55472695243679</v>
      </c>
      <c r="J16">
        <v>618.4920434527304</v>
      </c>
      <c r="K16">
        <v>621.4890487375219</v>
      </c>
      <c r="L16">
        <v>624.52061068702278</v>
      </c>
      <c r="M16">
        <v>627.53332354668225</v>
      </c>
      <c r="N16">
        <v>630.49891368173814</v>
      </c>
      <c r="O16">
        <v>633.44565472695251</v>
      </c>
      <c r="P16">
        <v>636.38611274221967</v>
      </c>
      <c r="Q16">
        <v>639.3359953024077</v>
      </c>
      <c r="R16">
        <v>642.31415149735767</v>
      </c>
      <c r="S16">
        <v>645.32058132706993</v>
      </c>
      <c r="T16">
        <v>648.34586024662372</v>
      </c>
      <c r="U16">
        <v>651.36485613623017</v>
      </c>
      <c r="V16">
        <v>654.39327657075751</v>
      </c>
      <c r="W16">
        <v>657.42798003523194</v>
      </c>
      <c r="X16">
        <v>660.45954198473294</v>
      </c>
      <c r="Y16">
        <v>663.45340575455089</v>
      </c>
      <c r="Z16">
        <v>666.42527891955376</v>
      </c>
      <c r="AA16">
        <v>669.37516147974168</v>
      </c>
      <c r="AB16">
        <v>672.30619495008807</v>
      </c>
      <c r="AC16">
        <v>675.20895478567229</v>
      </c>
      <c r="AD16">
        <v>678.10857310628319</v>
      </c>
      <c r="AE16">
        <v>681.01133294186729</v>
      </c>
      <c r="AF16">
        <v>683.91723429242518</v>
      </c>
      <c r="AG16">
        <v>686.82627715795672</v>
      </c>
      <c r="AH16">
        <v>689.75416911332968</v>
      </c>
      <c r="AI16">
        <v>692.68834409864951</v>
      </c>
      <c r="AJ16">
        <v>695.63508514386388</v>
      </c>
      <c r="AK16">
        <v>698.61952436876106</v>
      </c>
      <c r="AL16">
        <v>701.63537874339409</v>
      </c>
      <c r="AM16">
        <v>704.68578978273661</v>
      </c>
      <c r="AN16">
        <v>707.76447445684096</v>
      </c>
      <c r="AO16">
        <v>710.8651497357605</v>
      </c>
      <c r="AP16">
        <v>713.9626834997066</v>
      </c>
      <c r="AQ16">
        <v>717.05393423370526</v>
      </c>
      <c r="AR16">
        <v>720.14832648267759</v>
      </c>
      <c r="AS16">
        <v>723.2427187316498</v>
      </c>
      <c r="AT16">
        <v>726.33711098062236</v>
      </c>
      <c r="AU16">
        <v>729.44092777451556</v>
      </c>
      <c r="AV16">
        <v>732.5478860833822</v>
      </c>
      <c r="AW16">
        <v>735.66112742219616</v>
      </c>
      <c r="AX16">
        <v>738.77122724603657</v>
      </c>
    </row>
    <row r="17" spans="1:47" x14ac:dyDescent="0.2">
      <c r="B17" t="s">
        <v>195</v>
      </c>
      <c r="D17">
        <v>204.37100000000001</v>
      </c>
      <c r="E17">
        <v>279.25</v>
      </c>
      <c r="F17">
        <v>300.60000000000002</v>
      </c>
      <c r="G17">
        <v>303.95100000000002</v>
      </c>
      <c r="H17">
        <v>257.15358627705501</v>
      </c>
      <c r="I17">
        <v>228.45877209582619</v>
      </c>
      <c r="J17">
        <v>212.05070141102621</v>
      </c>
      <c r="K17">
        <v>217.20219820767471</v>
      </c>
      <c r="L17">
        <v>223.05909969580759</v>
      </c>
      <c r="M17">
        <v>228.5975776874576</v>
      </c>
      <c r="N17">
        <v>234.17911675344899</v>
      </c>
      <c r="O17">
        <v>247.8674048768593</v>
      </c>
      <c r="P17">
        <v>261.5571401329762</v>
      </c>
      <c r="Q17">
        <v>275.39010761536798</v>
      </c>
      <c r="R17">
        <v>289.36457004926609</v>
      </c>
      <c r="S17">
        <v>294.30374747872452</v>
      </c>
      <c r="T17">
        <v>299.40325070867152</v>
      </c>
      <c r="U17">
        <v>304.56298146943863</v>
      </c>
      <c r="V17">
        <v>309.82454061176958</v>
      </c>
      <c r="W17">
        <v>310.20067961913003</v>
      </c>
      <c r="X17">
        <v>310.61458852425028</v>
      </c>
      <c r="Y17">
        <v>311.07683450531948</v>
      </c>
      <c r="Z17">
        <v>311.57998240336798</v>
      </c>
      <c r="AA17">
        <v>312.18613989479883</v>
      </c>
      <c r="AB17">
        <v>312.85179437427092</v>
      </c>
      <c r="AC17">
        <v>313.5571751108431</v>
      </c>
      <c r="AD17">
        <v>314.35073176196499</v>
      </c>
      <c r="AE17">
        <v>314.03962853354523</v>
      </c>
      <c r="AF17">
        <v>313.81919364422993</v>
      </c>
      <c r="AG17">
        <v>313.67545173227802</v>
      </c>
      <c r="AH17">
        <v>313.63800269013319</v>
      </c>
      <c r="AI17">
        <v>313.61481713311082</v>
      </c>
      <c r="AJ17">
        <v>313.63894028646979</v>
      </c>
      <c r="AK17">
        <v>313.76823805739161</v>
      </c>
      <c r="AL17">
        <v>313.99473719374708</v>
      </c>
      <c r="AM17">
        <v>314.01168097553119</v>
      </c>
      <c r="AN17">
        <v>314.10042288402173</v>
      </c>
      <c r="AO17">
        <v>314.27500302878121</v>
      </c>
      <c r="AP17">
        <v>314.49957053448128</v>
      </c>
      <c r="AQ17">
        <v>314.24368766036622</v>
      </c>
      <c r="AR17">
        <v>314.0470716382373</v>
      </c>
      <c r="AS17">
        <v>313.90526484059939</v>
      </c>
      <c r="AT17">
        <v>313.81836568920642</v>
      </c>
      <c r="AU17">
        <v>313.40886978539112</v>
      </c>
    </row>
    <row r="19" spans="1:47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7" ht="19" x14ac:dyDescent="0.2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7" x14ac:dyDescent="0.2">
      <c r="B21" t="s">
        <v>184</v>
      </c>
      <c r="D21" s="102">
        <f>main!L115/1000</f>
        <v>156.18299999999999</v>
      </c>
      <c r="E21" s="104">
        <f>main!M115/1000</f>
        <v>197.631</v>
      </c>
      <c r="F21" s="104">
        <f>main!N115/1000</f>
        <v>161.43899999999999</v>
      </c>
      <c r="G21" s="149">
        <f>main!O115/1000</f>
        <v>178.30281690641254</v>
      </c>
      <c r="H21" s="104">
        <f>main!P115/1000</f>
        <v>180.08208413464209</v>
      </c>
      <c r="I21" s="104">
        <f>main!Q115/1000</f>
        <v>180.08208413464209</v>
      </c>
      <c r="J21" s="104">
        <f>main!R115/1000</f>
        <v>180.08208413464209</v>
      </c>
      <c r="K21" s="149">
        <f>main!S115/1000</f>
        <v>180.08208413464209</v>
      </c>
      <c r="L21" s="104">
        <f>main!T115/1000</f>
        <v>221.63948816571326</v>
      </c>
      <c r="M21" s="223">
        <f>main!U115/1000</f>
        <v>221.63948816571326</v>
      </c>
      <c r="N21" s="104">
        <f>M21*(1+N23)</f>
        <v>222.38398180893643</v>
      </c>
      <c r="O21" s="149">
        <f t="shared" ref="O21:AA21" si="0">N21*(1+O23)</f>
        <v>219.97510963898975</v>
      </c>
      <c r="P21" s="104">
        <f t="shared" si="0"/>
        <v>217.56623746904302</v>
      </c>
      <c r="Q21" s="104">
        <f t="shared" si="0"/>
        <v>215.15736529909634</v>
      </c>
      <c r="R21" s="104">
        <f t="shared" si="0"/>
        <v>212.74849312914972</v>
      </c>
      <c r="S21" s="149">
        <f t="shared" si="0"/>
        <v>214.00672523264191</v>
      </c>
      <c r="T21" s="104">
        <f t="shared" si="0"/>
        <v>215.26495733613436</v>
      </c>
      <c r="U21" s="104">
        <f t="shared" si="0"/>
        <v>216.5231894396268</v>
      </c>
      <c r="V21" s="104">
        <f t="shared" si="0"/>
        <v>217.78142154311925</v>
      </c>
      <c r="W21" s="149">
        <f t="shared" si="0"/>
        <v>221.01783327030444</v>
      </c>
      <c r="X21" s="104">
        <f t="shared" si="0"/>
        <v>224.25424499748959</v>
      </c>
      <c r="Y21" s="104">
        <f t="shared" si="0"/>
        <v>227.49065672467492</v>
      </c>
      <c r="Z21" s="104">
        <f t="shared" si="0"/>
        <v>230.72706845186019</v>
      </c>
      <c r="AA21" s="149">
        <f t="shared" si="0"/>
        <v>233.9500717241782</v>
      </c>
      <c r="AB21" s="95"/>
    </row>
    <row r="22" spans="1:47" x14ac:dyDescent="0.2">
      <c r="B22" t="s">
        <v>177</v>
      </c>
      <c r="D22" s="102">
        <f t="shared" ref="D22:AA22" si="1">D10</f>
        <v>200.67099999999999</v>
      </c>
      <c r="E22" s="104">
        <f t="shared" si="1"/>
        <v>156.16</v>
      </c>
      <c r="F22" s="104">
        <f t="shared" si="1"/>
        <v>197.62799999999999</v>
      </c>
      <c r="G22" s="149">
        <f t="shared" si="1"/>
        <v>161.40700000000001</v>
      </c>
      <c r="H22" s="104">
        <f t="shared" si="1"/>
        <v>165.59009035050261</v>
      </c>
      <c r="I22" s="104">
        <f t="shared" si="1"/>
        <v>169.77318070100509</v>
      </c>
      <c r="J22" s="104">
        <f t="shared" si="1"/>
        <v>173.95627105150791</v>
      </c>
      <c r="K22" s="149">
        <f t="shared" si="1"/>
        <v>174.54654357698769</v>
      </c>
      <c r="L22" s="104">
        <f t="shared" si="1"/>
        <v>175.13681610246749</v>
      </c>
      <c r="M22" s="223">
        <f t="shared" si="1"/>
        <v>175.72708862794721</v>
      </c>
      <c r="N22" s="104">
        <f t="shared" si="1"/>
        <v>176.31736115342699</v>
      </c>
      <c r="O22" s="149">
        <f t="shared" si="1"/>
        <v>174.4074844576952</v>
      </c>
      <c r="P22" s="104">
        <f t="shared" si="1"/>
        <v>172.49760776196339</v>
      </c>
      <c r="Q22" s="104">
        <f t="shared" si="1"/>
        <v>170.58773106623161</v>
      </c>
      <c r="R22" s="104">
        <f t="shared" si="1"/>
        <v>168.67785437049989</v>
      </c>
      <c r="S22" s="149">
        <f t="shared" si="1"/>
        <v>169.67544494515229</v>
      </c>
      <c r="T22" s="104">
        <f t="shared" si="1"/>
        <v>170.6730355198049</v>
      </c>
      <c r="U22" s="104">
        <f t="shared" si="1"/>
        <v>171.6706260944575</v>
      </c>
      <c r="V22" s="104">
        <f t="shared" si="1"/>
        <v>172.66821666911011</v>
      </c>
      <c r="W22" s="149">
        <f t="shared" si="1"/>
        <v>175.2342089258436</v>
      </c>
      <c r="X22" s="104">
        <f t="shared" si="1"/>
        <v>177.8002011825771</v>
      </c>
      <c r="Y22" s="104">
        <f t="shared" si="1"/>
        <v>180.36619343931071</v>
      </c>
      <c r="Z22" s="104">
        <f t="shared" si="1"/>
        <v>182.93218569604429</v>
      </c>
      <c r="AA22" s="149">
        <f t="shared" si="1"/>
        <v>185.48754704600071</v>
      </c>
      <c r="AB22" s="95"/>
    </row>
    <row r="23" spans="1:47" s="170" customFormat="1" ht="12" x14ac:dyDescent="0.15">
      <c r="B23" s="210" t="s">
        <v>277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3.3590297892518439E-3</v>
      </c>
      <c r="O23" s="246">
        <f t="shared" ref="O23" si="3">(O22/N22)-1</f>
        <v>-1.0832039926402137E-2</v>
      </c>
      <c r="P23" s="230">
        <f t="shared" ref="P23" si="4">(P22/O22)-1</f>
        <v>-1.0950657889885917E-2</v>
      </c>
      <c r="Q23" s="230">
        <f t="shared" ref="Q23" si="5">(Q22/P22)-1</f>
        <v>-1.1071902506423759E-2</v>
      </c>
      <c r="R23" s="230">
        <f t="shared" ref="R23" si="6">(R22/Q22)-1</f>
        <v>-1.1195861998951173E-2</v>
      </c>
      <c r="S23" s="246">
        <f t="shared" ref="S23" si="7">(S22/R22)-1</f>
        <v>5.9141763355681221E-3</v>
      </c>
      <c r="T23" s="230">
        <f t="shared" ref="T23" si="8">(T22/S22)-1</f>
        <v>5.8794045006045348E-3</v>
      </c>
      <c r="U23" s="230">
        <f t="shared" ref="U23" si="9">(U22/T22)-1</f>
        <v>5.8450391511133404E-3</v>
      </c>
      <c r="V23" s="230">
        <f t="shared" ref="V23" si="10">(V22/U22)-1</f>
        <v>5.8110732007450316E-3</v>
      </c>
      <c r="W23" s="246">
        <f t="shared" ref="W23" si="11">(W22/V22)-1</f>
        <v>1.4860825612456496E-2</v>
      </c>
      <c r="X23" s="230">
        <f t="shared" ref="X23" si="12">(X22/W22)-1</f>
        <v>1.4643215342840854E-2</v>
      </c>
      <c r="Y23" s="230">
        <f t="shared" ref="Y23" si="13">(Y22/X22)-1</f>
        <v>1.4431886126488047E-2</v>
      </c>
      <c r="Z23" s="230">
        <f t="shared" ref="Z23" si="14">(Z22/Y22)-1</f>
        <v>1.4226569889866703E-2</v>
      </c>
      <c r="AA23" s="246">
        <f t="shared" ref="AA23" si="15">(AA22/Z22)-1</f>
        <v>1.3968899678498126E-2</v>
      </c>
      <c r="AB23" s="243"/>
    </row>
    <row r="24" spans="1:47" s="97" customFormat="1" x14ac:dyDescent="0.2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16.895816906412534</v>
      </c>
      <c r="H24" s="217">
        <f t="shared" ref="H24" si="18">H21-H22</f>
        <v>14.491993784139481</v>
      </c>
      <c r="I24" s="217">
        <f t="shared" ref="I24" si="19">I21-I22</f>
        <v>10.308903433636999</v>
      </c>
      <c r="J24" s="217">
        <f t="shared" ref="J24" si="20">J21-J22</f>
        <v>6.1258130831341759</v>
      </c>
      <c r="K24" s="150">
        <f t="shared" ref="K24:AA24" si="21">K21-K22</f>
        <v>5.5355405576544001</v>
      </c>
      <c r="L24" s="217">
        <f t="shared" si="21"/>
        <v>46.502672063245768</v>
      </c>
      <c r="M24" s="239">
        <f t="shared" si="21"/>
        <v>45.912399537766049</v>
      </c>
      <c r="N24" s="217">
        <f t="shared" si="21"/>
        <v>46.066620655509439</v>
      </c>
      <c r="O24" s="150">
        <f t="shared" si="21"/>
        <v>45.567625181294545</v>
      </c>
      <c r="P24" s="217">
        <f t="shared" si="21"/>
        <v>45.068629707079623</v>
      </c>
      <c r="Q24" s="217">
        <f t="shared" si="21"/>
        <v>44.569634232864729</v>
      </c>
      <c r="R24" s="217">
        <f t="shared" si="21"/>
        <v>44.070638758649835</v>
      </c>
      <c r="S24" s="150">
        <f t="shared" si="21"/>
        <v>44.331280287489619</v>
      </c>
      <c r="T24" s="217">
        <f t="shared" si="21"/>
        <v>44.59192181632946</v>
      </c>
      <c r="U24" s="217">
        <f t="shared" si="21"/>
        <v>44.852563345169301</v>
      </c>
      <c r="V24" s="217">
        <f t="shared" si="21"/>
        <v>45.113204874009142</v>
      </c>
      <c r="W24" s="150">
        <f t="shared" si="21"/>
        <v>45.783624344460833</v>
      </c>
      <c r="X24" s="217">
        <f t="shared" si="21"/>
        <v>46.454043814912495</v>
      </c>
      <c r="Y24" s="217">
        <f t="shared" si="21"/>
        <v>47.124463285364214</v>
      </c>
      <c r="Z24" s="217">
        <f t="shared" si="21"/>
        <v>47.794882755815905</v>
      </c>
      <c r="AA24" s="150">
        <f t="shared" si="21"/>
        <v>48.462524678177488</v>
      </c>
      <c r="AB24" s="244"/>
    </row>
    <row r="25" spans="1:47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7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7" ht="19" x14ac:dyDescent="0.2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7" x14ac:dyDescent="0.2">
      <c r="B28" t="s">
        <v>187</v>
      </c>
      <c r="D28" s="102"/>
      <c r="E28" s="104">
        <f>main!L116/1000</f>
        <v>404.40166666666676</v>
      </c>
      <c r="F28" s="104">
        <f>main!M116/1000</f>
        <v>330.77699999999999</v>
      </c>
      <c r="G28" s="104">
        <f>main!N116/1000</f>
        <v>181.80799999999999</v>
      </c>
      <c r="H28" s="104">
        <f>main!O116/1000</f>
        <v>205.47077000000002</v>
      </c>
      <c r="I28" s="104">
        <f>main!P116/1000</f>
        <v>189.83444692499995</v>
      </c>
      <c r="J28" s="104">
        <f>main!Q116/1000</f>
        <v>190.56361915962492</v>
      </c>
      <c r="K28" s="104">
        <f>main!R116/1000</f>
        <v>191.66284630332211</v>
      </c>
      <c r="L28" s="104">
        <f>main!S116/1000</f>
        <v>193.13947476635536</v>
      </c>
      <c r="M28" s="104">
        <f>L28*(1 + M30)</f>
        <v>221.97857145768003</v>
      </c>
      <c r="N28" s="104">
        <f t="shared" ref="N28:AA28" si="22">M28*(1 + N30)</f>
        <v>249.26810268486034</v>
      </c>
      <c r="O28" s="104">
        <f t="shared" si="22"/>
        <v>274.75496951067691</v>
      </c>
      <c r="P28" s="104">
        <f t="shared" si="22"/>
        <v>299.80795800653038</v>
      </c>
      <c r="Q28" s="104">
        <f t="shared" si="22"/>
        <v>326.22456411083431</v>
      </c>
      <c r="R28" s="104">
        <f t="shared" si="22"/>
        <v>352.51720497800534</v>
      </c>
      <c r="S28" s="104">
        <f t="shared" si="22"/>
        <v>352.19022179414571</v>
      </c>
      <c r="T28" s="104">
        <f t="shared" si="22"/>
        <v>352.607030033076</v>
      </c>
      <c r="U28" s="104">
        <f t="shared" si="22"/>
        <v>353.70564707622975</v>
      </c>
      <c r="V28" s="104">
        <f t="shared" si="22"/>
        <v>355.79598601643715</v>
      </c>
      <c r="W28" s="104">
        <f t="shared" si="22"/>
        <v>354.4134846431906</v>
      </c>
      <c r="X28" s="104">
        <f t="shared" si="22"/>
        <v>352.90701803281308</v>
      </c>
      <c r="Y28" s="104">
        <f t="shared" si="22"/>
        <v>351.89641237096151</v>
      </c>
      <c r="Z28" s="104">
        <f t="shared" si="22"/>
        <v>351.44365027620228</v>
      </c>
      <c r="AA28" s="104">
        <f t="shared" si="22"/>
        <v>350.7814331585376</v>
      </c>
      <c r="AB28" s="95"/>
    </row>
    <row r="29" spans="1:47" x14ac:dyDescent="0.2">
      <c r="B29" t="s">
        <v>177</v>
      </c>
      <c r="D29" s="102">
        <f t="shared" ref="D29:AA29" si="23">D11</f>
        <v>186.4</v>
      </c>
      <c r="E29" s="104">
        <f t="shared" si="23"/>
        <v>393.066666666667</v>
      </c>
      <c r="F29" s="104">
        <f t="shared" si="23"/>
        <v>224.8</v>
      </c>
      <c r="G29" s="149">
        <f t="shared" si="23"/>
        <v>145.9</v>
      </c>
      <c r="H29" s="104">
        <f t="shared" si="23"/>
        <v>123.187827611359</v>
      </c>
      <c r="I29" s="104">
        <f t="shared" si="23"/>
        <v>100.480777097718</v>
      </c>
      <c r="J29" s="104">
        <f t="shared" si="23"/>
        <v>79.837867818451997</v>
      </c>
      <c r="K29" s="149">
        <f t="shared" si="23"/>
        <v>93.489948668704102</v>
      </c>
      <c r="L29" s="223">
        <f t="shared" si="23"/>
        <v>109.273410154041</v>
      </c>
      <c r="M29" s="104">
        <f t="shared" si="23"/>
        <v>125.589838709288</v>
      </c>
      <c r="N29" s="104">
        <f t="shared" si="23"/>
        <v>141.02956247526899</v>
      </c>
      <c r="O29" s="149">
        <f t="shared" si="23"/>
        <v>155.44938450061099</v>
      </c>
      <c r="P29" s="104">
        <f t="shared" si="23"/>
        <v>169.623729184957</v>
      </c>
      <c r="Q29" s="104">
        <f t="shared" si="23"/>
        <v>184.56957408385901</v>
      </c>
      <c r="R29" s="104">
        <f t="shared" si="23"/>
        <v>199.44528259961899</v>
      </c>
      <c r="S29" s="149">
        <f t="shared" si="23"/>
        <v>199.260283817746</v>
      </c>
      <c r="T29" s="104">
        <f t="shared" si="23"/>
        <v>199.496103334721</v>
      </c>
      <c r="U29" s="104">
        <f t="shared" si="23"/>
        <v>200.117672958973</v>
      </c>
      <c r="V29" s="104">
        <f t="shared" si="23"/>
        <v>201.300333648356</v>
      </c>
      <c r="W29" s="149">
        <f t="shared" si="23"/>
        <v>200.51814947922099</v>
      </c>
      <c r="X29" s="104">
        <f t="shared" si="23"/>
        <v>199.66582892694501</v>
      </c>
      <c r="Y29" s="104">
        <f t="shared" si="23"/>
        <v>199.09405390723401</v>
      </c>
      <c r="Z29" s="104">
        <f t="shared" si="23"/>
        <v>198.83789261165899</v>
      </c>
      <c r="AA29" s="149">
        <f t="shared" si="23"/>
        <v>198.46322698311701</v>
      </c>
      <c r="AB29" s="95"/>
    </row>
    <row r="30" spans="1:47" s="170" customFormat="1" ht="12" x14ac:dyDescent="0.15">
      <c r="B30" s="210" t="s">
        <v>277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0.14931746462607864</v>
      </c>
      <c r="N30" s="230">
        <f t="shared" ref="N30" si="25">(N29/M29)-1</f>
        <v>0.12293768289423834</v>
      </c>
      <c r="O30" s="246">
        <f t="shared" ref="O30" si="26">(O29/N29)-1</f>
        <v>0.10224680394843211</v>
      </c>
      <c r="P30" s="230">
        <f t="shared" ref="P30" si="27">(P29/O29)-1</f>
        <v>9.1183022241495548E-2</v>
      </c>
      <c r="Q30" s="230">
        <f t="shared" ref="Q30" si="28">(Q29/P29)-1</f>
        <v>8.811175753956646E-2</v>
      </c>
      <c r="R30" s="230">
        <f t="shared" ref="R30" si="29">(R29/Q29)-1</f>
        <v>8.0596753769400786E-2</v>
      </c>
      <c r="S30" s="246">
        <f t="shared" ref="S30" si="30">(S29/R29)-1</f>
        <v>-9.2756659601911373E-4</v>
      </c>
      <c r="T30" s="230">
        <f t="shared" ref="T30" si="31">(T29/S29)-1</f>
        <v>1.1834747620389496E-3</v>
      </c>
      <c r="U30" s="230">
        <f t="shared" ref="U30" si="32">(U29/T29)-1</f>
        <v>3.1156980705990822E-3</v>
      </c>
      <c r="V30" s="230">
        <f t="shared" ref="V30" si="33">(V29/U29)-1</f>
        <v>5.909826313168498E-3</v>
      </c>
      <c r="W30" s="246">
        <f t="shared" ref="W30" si="34">(W29/V29)-1</f>
        <v>-3.8856575891293987E-3</v>
      </c>
      <c r="X30" s="230">
        <f t="shared" ref="X30" si="35">(X29/W29)-1</f>
        <v>-4.2505905549676815E-3</v>
      </c>
      <c r="Y30" s="230">
        <f t="shared" ref="Y30" si="36">(Y29/X29)-1</f>
        <v>-2.8636598599963703E-3</v>
      </c>
      <c r="Z30" s="230">
        <f t="shared" ref="Z30" si="37">(Z29/Y29)-1</f>
        <v>-1.2866345857540651E-3</v>
      </c>
      <c r="AA30" s="246">
        <f t="shared" ref="AA30" si="38">(AA29/Z29)-1</f>
        <v>-1.8842768026802181E-3</v>
      </c>
      <c r="AB30" s="243"/>
    </row>
    <row r="31" spans="1:47" s="97" customFormat="1" x14ac:dyDescent="0.2">
      <c r="B31" s="99" t="s">
        <v>178</v>
      </c>
      <c r="D31" s="103"/>
      <c r="E31" s="217"/>
      <c r="F31" s="217">
        <f t="shared" ref="F31" si="39">F28-F29</f>
        <v>105.97699999999998</v>
      </c>
      <c r="G31" s="150">
        <f t="shared" ref="G31" si="40">G28-G29</f>
        <v>35.907999999999987</v>
      </c>
      <c r="H31" s="217">
        <f t="shared" ref="H31" si="41">H28-H29</f>
        <v>82.282942388641018</v>
      </c>
      <c r="I31" s="217">
        <f t="shared" ref="I31" si="42">I28-I29</f>
        <v>89.353669827281948</v>
      </c>
      <c r="J31" s="217">
        <f t="shared" ref="J31" si="43">J28-J29</f>
        <v>110.72575134117292</v>
      </c>
      <c r="K31" s="150">
        <f t="shared" ref="K31:N31" si="44">K28-K29</f>
        <v>98.17289763461801</v>
      </c>
      <c r="L31" s="239">
        <f t="shared" si="44"/>
        <v>83.866064612314361</v>
      </c>
      <c r="M31" s="217">
        <f t="shared" si="44"/>
        <v>96.38873274839203</v>
      </c>
      <c r="N31" s="217">
        <f t="shared" si="44"/>
        <v>108.23854020959135</v>
      </c>
      <c r="O31" s="150">
        <f t="shared" ref="O31:AA31" si="45">O28-O29</f>
        <v>119.30558501006593</v>
      </c>
      <c r="P31" s="150">
        <f t="shared" si="45"/>
        <v>130.18422882157338</v>
      </c>
      <c r="Q31" s="150">
        <f t="shared" si="45"/>
        <v>141.6549900269753</v>
      </c>
      <c r="R31" s="150">
        <f t="shared" si="45"/>
        <v>153.07192237838635</v>
      </c>
      <c r="S31" s="150">
        <f t="shared" si="45"/>
        <v>152.92993797639971</v>
      </c>
      <c r="T31" s="150">
        <f t="shared" si="45"/>
        <v>153.110926698355</v>
      </c>
      <c r="U31" s="150">
        <f t="shared" si="45"/>
        <v>153.58797411725675</v>
      </c>
      <c r="V31" s="150">
        <f t="shared" si="45"/>
        <v>154.49565236808115</v>
      </c>
      <c r="W31" s="150">
        <f t="shared" si="45"/>
        <v>153.89533516396961</v>
      </c>
      <c r="X31" s="150">
        <f t="shared" si="45"/>
        <v>153.24118910586807</v>
      </c>
      <c r="Y31" s="150">
        <f t="shared" si="45"/>
        <v>152.8023584637275</v>
      </c>
      <c r="Z31" s="150">
        <f t="shared" si="45"/>
        <v>152.60575766454329</v>
      </c>
      <c r="AA31" s="150">
        <f t="shared" si="45"/>
        <v>152.31820617542058</v>
      </c>
      <c r="AB31" s="244"/>
    </row>
    <row r="32" spans="1:47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270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177</v>
      </c>
      <c r="D36" s="102">
        <f t="shared" ref="D36:K36" si="46">D12</f>
        <v>1862.4</v>
      </c>
      <c r="E36" s="104">
        <f t="shared" si="46"/>
        <v>1779.8</v>
      </c>
      <c r="F36" s="104">
        <f t="shared" si="46"/>
        <v>1871.3</v>
      </c>
      <c r="G36" s="149">
        <f t="shared" si="46"/>
        <v>1890.6</v>
      </c>
      <c r="H36" s="104">
        <f t="shared" si="46"/>
        <v>1921.95543744052</v>
      </c>
      <c r="I36" s="104">
        <f t="shared" si="46"/>
        <v>1952.51729994875</v>
      </c>
      <c r="J36" s="104">
        <f t="shared" si="46"/>
        <v>1985.18305878908</v>
      </c>
      <c r="K36" s="149">
        <f t="shared" si="46"/>
        <v>2007.0617351197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-19.250999999999976</v>
      </c>
      <c r="H37" s="217">
        <f t="shared" si="47"/>
        <v>-18.249119132365195</v>
      </c>
      <c r="I37" s="217">
        <f t="shared" si="47"/>
        <v>-29.295528487588854</v>
      </c>
      <c r="J37" s="217">
        <f t="shared" si="47"/>
        <v>-34.116917561397258</v>
      </c>
      <c r="K37" s="150">
        <f t="shared" si="47"/>
        <v>-30.059208161437255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270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177</v>
      </c>
      <c r="D42" s="102">
        <f t="shared" ref="D42:K42" si="48">D13</f>
        <v>62.7</v>
      </c>
      <c r="E42" s="104">
        <f t="shared" si="48"/>
        <v>54.2</v>
      </c>
      <c r="F42" s="104">
        <f t="shared" si="48"/>
        <v>90.2</v>
      </c>
      <c r="G42" s="149">
        <f t="shared" si="48"/>
        <v>69.033333333333303</v>
      </c>
      <c r="H42" s="104">
        <f t="shared" si="48"/>
        <v>70.178245194458697</v>
      </c>
      <c r="I42" s="104">
        <f t="shared" si="48"/>
        <v>71.2941804752259</v>
      </c>
      <c r="J42" s="104">
        <f t="shared" si="48"/>
        <v>72.486937387640197</v>
      </c>
      <c r="K42" s="149">
        <f t="shared" si="48"/>
        <v>73.285814969373106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22.484070765805583</v>
      </c>
      <c r="H43" s="217">
        <f t="shared" si="49"/>
        <v>22.921577670592825</v>
      </c>
      <c r="I43" s="217">
        <f t="shared" si="49"/>
        <v>22.760036045087944</v>
      </c>
      <c r="J43" s="217">
        <f t="shared" si="49"/>
        <v>22.928994365806858</v>
      </c>
      <c r="K43" s="150">
        <f t="shared" si="49"/>
        <v>23.39852299466142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188</v>
      </c>
      <c r="D47" s="102"/>
      <c r="E47" s="104">
        <f>main!L98/1000</f>
        <v>1336.6980000000001</v>
      </c>
      <c r="F47" s="104">
        <f>main!M98/1000</f>
        <v>1328.8050000000001</v>
      </c>
      <c r="G47" s="149">
        <f>main!N98/1000</f>
        <v>1372.787</v>
      </c>
      <c r="H47" s="104">
        <f>main!O98/1000</f>
        <v>1390.6101625906522</v>
      </c>
      <c r="I47" s="104">
        <f>main!P98/1000</f>
        <v>1418.489158978964</v>
      </c>
      <c r="J47" s="223">
        <f>main!Q98/1000</f>
        <v>1441.5834808422039</v>
      </c>
      <c r="K47" s="149">
        <f>J47*(1+K49)</f>
        <v>1472.4838694599159</v>
      </c>
      <c r="L47" s="104">
        <f t="shared" ref="L47:AA47" si="50">K47*(1+L49)</f>
        <v>1503.3842580776295</v>
      </c>
      <c r="M47" s="104">
        <f t="shared" si="50"/>
        <v>1534.2846466953417</v>
      </c>
      <c r="N47" s="104">
        <f t="shared" si="50"/>
        <v>1565.1850353130551</v>
      </c>
      <c r="O47" s="149">
        <f t="shared" si="50"/>
        <v>1577.9212081553392</v>
      </c>
      <c r="P47" s="104">
        <f t="shared" si="50"/>
        <v>1590.6573809976228</v>
      </c>
      <c r="Q47" s="104">
        <f t="shared" si="50"/>
        <v>1603.3935538399071</v>
      </c>
      <c r="R47" s="104">
        <f t="shared" si="50"/>
        <v>1616.1297266821898</v>
      </c>
      <c r="S47" s="149">
        <f t="shared" si="50"/>
        <v>1627.0642612135953</v>
      </c>
      <c r="T47" s="104">
        <f t="shared" si="50"/>
        <v>1637.9987957449996</v>
      </c>
      <c r="U47" s="104">
        <f t="shared" si="50"/>
        <v>1648.9333302764039</v>
      </c>
      <c r="V47" s="104">
        <f t="shared" si="50"/>
        <v>1659.8678648078082</v>
      </c>
      <c r="W47" s="149">
        <f t="shared" si="50"/>
        <v>1700.4813043393915</v>
      </c>
      <c r="X47" s="104">
        <f t="shared" si="50"/>
        <v>1741.0947438709736</v>
      </c>
      <c r="Y47" s="104">
        <f t="shared" si="50"/>
        <v>1781.7081834025557</v>
      </c>
      <c r="Z47" s="104">
        <f t="shared" si="50"/>
        <v>1822.3216229341388</v>
      </c>
      <c r="AA47" s="149">
        <f t="shared" si="50"/>
        <v>1852.6998677107395</v>
      </c>
      <c r="AB47" s="95"/>
    </row>
    <row r="48" spans="1:28" x14ac:dyDescent="0.2">
      <c r="B48" t="s">
        <v>177</v>
      </c>
      <c r="D48" s="102">
        <f t="shared" ref="D48:AA48" si="51">D14</f>
        <v>1228.1289999999999</v>
      </c>
      <c r="E48" s="104">
        <f t="shared" si="51"/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1365.228724966064</v>
      </c>
      <c r="I48" s="104">
        <f t="shared" si="51"/>
        <v>1357.664449932128</v>
      </c>
      <c r="J48" s="223">
        <f t="shared" si="51"/>
        <v>1350.1001748981921</v>
      </c>
      <c r="K48" s="149">
        <f t="shared" si="51"/>
        <v>1379.0396158890269</v>
      </c>
      <c r="L48" s="104">
        <f t="shared" si="51"/>
        <v>1407.979056879863</v>
      </c>
      <c r="M48" s="104">
        <f t="shared" si="51"/>
        <v>1436.918497870698</v>
      </c>
      <c r="N48" s="104">
        <f t="shared" si="51"/>
        <v>1465.857938861534</v>
      </c>
      <c r="O48" s="149">
        <f t="shared" si="51"/>
        <v>1477.7858704800731</v>
      </c>
      <c r="P48" s="104">
        <f t="shared" si="51"/>
        <v>1489.7138020986119</v>
      </c>
      <c r="Q48" s="104">
        <f t="shared" si="51"/>
        <v>1501.6417337171511</v>
      </c>
      <c r="R48" s="104">
        <f t="shared" si="51"/>
        <v>1513.569665335689</v>
      </c>
      <c r="S48" s="149">
        <f t="shared" si="51"/>
        <v>1523.810291133271</v>
      </c>
      <c r="T48" s="104">
        <f t="shared" si="51"/>
        <v>1534.0509169308521</v>
      </c>
      <c r="U48" s="104">
        <f t="shared" si="51"/>
        <v>1544.2915427284329</v>
      </c>
      <c r="V48" s="104">
        <f t="shared" si="51"/>
        <v>1554.5321685260139</v>
      </c>
      <c r="W48" s="149">
        <f t="shared" si="51"/>
        <v>1592.5682674016571</v>
      </c>
      <c r="X48" s="104">
        <f t="shared" si="51"/>
        <v>1630.6043662772991</v>
      </c>
      <c r="Y48" s="104">
        <f t="shared" si="51"/>
        <v>1668.640465152941</v>
      </c>
      <c r="Z48" s="104">
        <f t="shared" si="51"/>
        <v>1706.6765640285839</v>
      </c>
      <c r="AA48" s="149">
        <f t="shared" si="51"/>
        <v>1735.126996577955</v>
      </c>
      <c r="AB48" s="95"/>
    </row>
    <row r="49" spans="1:32" s="170" customFormat="1" ht="12" x14ac:dyDescent="0.15">
      <c r="B49" s="210" t="s">
        <v>277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2.1435032398997356E-2</v>
      </c>
      <c r="L49" s="230">
        <f t="shared" ref="L49" si="53">(L48/K48)-1</f>
        <v>2.0985213664206359E-2</v>
      </c>
      <c r="M49" s="230">
        <f t="shared" ref="M49" si="54">(M48/L48)-1</f>
        <v>2.0553885975382213E-2</v>
      </c>
      <c r="N49" s="230">
        <f t="shared" ref="N49" si="55">(N48/M48)-1</f>
        <v>2.0139932107297698E-2</v>
      </c>
      <c r="O49" s="246">
        <f t="shared" ref="O49" si="56">(O48/N48)-1</f>
        <v>8.1371675264814147E-3</v>
      </c>
      <c r="P49" s="230">
        <f t="shared" ref="P49" si="57">(P48/O48)-1</f>
        <v>8.071488472591648E-3</v>
      </c>
      <c r="Q49" s="230">
        <f t="shared" ref="Q49" si="58">(Q48/P48)-1</f>
        <v>8.0068611848369553E-3</v>
      </c>
      <c r="R49" s="230">
        <f t="shared" ref="R49" si="59">(R48/Q48)-1</f>
        <v>7.9432605998579486E-3</v>
      </c>
      <c r="S49" s="246">
        <f t="shared" ref="S49" si="60">(S48/R48)-1</f>
        <v>6.7658767429847888E-3</v>
      </c>
      <c r="T49" s="230">
        <f t="shared" ref="T49" si="61">(T48/S48)-1</f>
        <v>6.7204072955597827E-3</v>
      </c>
      <c r="U49" s="230">
        <f t="shared" ref="U49" si="62">(U48/T48)-1</f>
        <v>6.6755449148123702E-3</v>
      </c>
      <c r="V49" s="230">
        <f t="shared" ref="V49" si="63">(V48/U48)-1</f>
        <v>6.6312775238592803E-3</v>
      </c>
      <c r="W49" s="246">
        <f t="shared" ref="W49" si="64">(W48/V48)-1</f>
        <v>2.4467875059612565E-2</v>
      </c>
      <c r="X49" s="230">
        <f t="shared" ref="X49" si="65">(X48/W48)-1</f>
        <v>2.3883496647650437E-2</v>
      </c>
      <c r="Y49" s="230">
        <f t="shared" ref="Y49" si="66">(Y48/X48)-1</f>
        <v>2.3326381102780402E-2</v>
      </c>
      <c r="Z49" s="230">
        <f t="shared" ref="Z49" si="67">(Z48/Y48)-1</f>
        <v>2.2794664081310367E-2</v>
      </c>
      <c r="AA49" s="246">
        <f t="shared" ref="AA49" si="68">(AA48/Z48)-1</f>
        <v>1.667007864818526E-2</v>
      </c>
      <c r="AB49" s="243"/>
    </row>
    <row r="50" spans="1:32" s="97" customFormat="1" x14ac:dyDescent="0.2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25.381437624588216</v>
      </c>
      <c r="I50" s="217">
        <f t="shared" ref="I50" si="72">I47-I48</f>
        <v>60.824709046836006</v>
      </c>
      <c r="J50" s="239">
        <f t="shared" ref="J50" si="73">J47-J48</f>
        <v>91.483305944011818</v>
      </c>
      <c r="K50" s="150">
        <f t="shared" ref="K50:AA50" si="74">K47-K48</f>
        <v>93.444253570889032</v>
      </c>
      <c r="L50" s="217">
        <f t="shared" si="74"/>
        <v>95.405201197766473</v>
      </c>
      <c r="M50" s="217">
        <f t="shared" si="74"/>
        <v>97.366148824643687</v>
      </c>
      <c r="N50" s="217">
        <f t="shared" si="74"/>
        <v>99.327096451521129</v>
      </c>
      <c r="O50" s="150">
        <f t="shared" si="74"/>
        <v>100.1353376752661</v>
      </c>
      <c r="P50" s="217">
        <f t="shared" si="74"/>
        <v>100.94357889901084</v>
      </c>
      <c r="Q50" s="217">
        <f t="shared" si="74"/>
        <v>101.75182012275604</v>
      </c>
      <c r="R50" s="217">
        <f t="shared" si="74"/>
        <v>102.56006134650079</v>
      </c>
      <c r="S50" s="150">
        <f t="shared" si="74"/>
        <v>103.25397008032428</v>
      </c>
      <c r="T50" s="217">
        <f t="shared" si="74"/>
        <v>103.94787881414754</v>
      </c>
      <c r="U50" s="217">
        <f t="shared" si="74"/>
        <v>104.64178754797103</v>
      </c>
      <c r="V50" s="217">
        <f t="shared" si="74"/>
        <v>105.3356962817943</v>
      </c>
      <c r="W50" s="150">
        <f t="shared" si="74"/>
        <v>107.91303693773443</v>
      </c>
      <c r="X50" s="217">
        <f t="shared" si="74"/>
        <v>110.49037759367457</v>
      </c>
      <c r="Y50" s="217">
        <f t="shared" si="74"/>
        <v>113.0677182496147</v>
      </c>
      <c r="Z50" s="217">
        <f t="shared" si="74"/>
        <v>115.64505890555483</v>
      </c>
      <c r="AA50" s="150">
        <f t="shared" si="74"/>
        <v>117.57287113278448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189</v>
      </c>
      <c r="D54" s="102">
        <f>main!K97/1000</f>
        <v>1574.462</v>
      </c>
      <c r="E54" s="104">
        <f>main!L97/1000</f>
        <v>3729.5573333333332</v>
      </c>
      <c r="F54" s="104">
        <f>main!M97/1000</f>
        <v>2466.0010000000002</v>
      </c>
      <c r="G54" s="149">
        <f>main!N97/1000</f>
        <v>2027.7929999999999</v>
      </c>
      <c r="H54" s="104">
        <f>main!O97/1000</f>
        <v>3118.5013980484891</v>
      </c>
      <c r="I54" s="104">
        <f>main!P97/1000</f>
        <v>1874.8488739812499</v>
      </c>
      <c r="J54" s="104">
        <f>main!Q97/1000</f>
        <v>1686.4675074263907</v>
      </c>
      <c r="K54" s="263">
        <f>main!R97/1000</f>
        <v>1683.0445200377862</v>
      </c>
      <c r="L54" s="104">
        <f>K54*(1+L56)</f>
        <v>1696.1632113985002</v>
      </c>
      <c r="M54" s="104">
        <f t="shared" ref="M54:AA54" si="75">L54*(1+M56)</f>
        <v>1690.6431731887944</v>
      </c>
      <c r="N54" s="104">
        <f t="shared" si="75"/>
        <v>1659.3144732728074</v>
      </c>
      <c r="O54" s="104">
        <f t="shared" si="75"/>
        <v>1660.0998411062906</v>
      </c>
      <c r="P54" s="104">
        <f t="shared" si="75"/>
        <v>1661.9626342829306</v>
      </c>
      <c r="Q54" s="104">
        <f t="shared" si="75"/>
        <v>1664.5622777115709</v>
      </c>
      <c r="R54" s="104">
        <f t="shared" si="75"/>
        <v>1669.27314664353</v>
      </c>
      <c r="S54" s="104">
        <f t="shared" si="75"/>
        <v>1686.6874576142454</v>
      </c>
      <c r="T54" s="104">
        <f t="shared" si="75"/>
        <v>1703.3929697324252</v>
      </c>
      <c r="U54" s="104">
        <f t="shared" si="75"/>
        <v>1716.7936271136491</v>
      </c>
      <c r="V54" s="104">
        <f t="shared" si="75"/>
        <v>1728.1685099106835</v>
      </c>
      <c r="W54" s="104">
        <f t="shared" si="75"/>
        <v>1767.2677379421684</v>
      </c>
      <c r="X54" s="104">
        <f t="shared" si="75"/>
        <v>1799.6989314425757</v>
      </c>
      <c r="Y54" s="104">
        <f t="shared" si="75"/>
        <v>1826.2231457392986</v>
      </c>
      <c r="Z54" s="104">
        <f t="shared" si="75"/>
        <v>1846.2047044367848</v>
      </c>
      <c r="AA54" s="104">
        <f t="shared" si="75"/>
        <v>1856.4697505855511</v>
      </c>
      <c r="AB54" s="95"/>
    </row>
    <row r="55" spans="1:32" x14ac:dyDescent="0.2">
      <c r="B55" t="s">
        <v>177</v>
      </c>
      <c r="D55" s="102">
        <f t="shared" ref="D55:AA55" si="76">D15</f>
        <v>1574.4</v>
      </c>
      <c r="E55" s="104">
        <f t="shared" si="76"/>
        <v>3741.5333333333301</v>
      </c>
      <c r="F55" s="104">
        <f t="shared" si="76"/>
        <v>2572.1999999999998</v>
      </c>
      <c r="G55" s="149">
        <f t="shared" si="76"/>
        <v>2063.6999999999998</v>
      </c>
      <c r="H55" s="104">
        <f t="shared" si="76"/>
        <v>1819.81390083411</v>
      </c>
      <c r="I55" s="104">
        <f t="shared" si="76"/>
        <v>1623.62521731378</v>
      </c>
      <c r="J55" s="104">
        <f t="shared" si="76"/>
        <v>1487.1097724132001</v>
      </c>
      <c r="K55" s="263">
        <f t="shared" si="76"/>
        <v>1525.56477563047</v>
      </c>
      <c r="L55" s="104">
        <f t="shared" si="76"/>
        <v>1537.45597233026</v>
      </c>
      <c r="M55" s="104">
        <f t="shared" si="76"/>
        <v>1532.4524351376299</v>
      </c>
      <c r="N55" s="104">
        <f t="shared" si="76"/>
        <v>1504.0551108309301</v>
      </c>
      <c r="O55" s="149">
        <f t="shared" si="76"/>
        <v>1504.76699307077</v>
      </c>
      <c r="P55" s="104">
        <f t="shared" si="76"/>
        <v>1506.4554877129101</v>
      </c>
      <c r="Q55" s="104">
        <f t="shared" si="76"/>
        <v>1508.8118867247699</v>
      </c>
      <c r="R55" s="104">
        <f t="shared" si="76"/>
        <v>1513.08196729581</v>
      </c>
      <c r="S55" s="149">
        <f t="shared" si="76"/>
        <v>1528.86684944985</v>
      </c>
      <c r="T55" s="104">
        <f t="shared" si="76"/>
        <v>1544.00925390971</v>
      </c>
      <c r="U55" s="104">
        <f t="shared" si="76"/>
        <v>1556.1560335270599</v>
      </c>
      <c r="V55" s="104">
        <f t="shared" si="76"/>
        <v>1566.4665870005299</v>
      </c>
      <c r="W55" s="149">
        <f t="shared" si="76"/>
        <v>1601.9073637173799</v>
      </c>
      <c r="X55" s="104">
        <f t="shared" si="76"/>
        <v>1631.30402307299</v>
      </c>
      <c r="Y55" s="104">
        <f t="shared" si="76"/>
        <v>1655.34640968285</v>
      </c>
      <c r="Z55" s="104">
        <f t="shared" si="76"/>
        <v>1673.4583263601301</v>
      </c>
      <c r="AA55" s="149">
        <f t="shared" si="76"/>
        <v>1682.7628887994099</v>
      </c>
      <c r="AB55" s="95"/>
    </row>
    <row r="56" spans="1:32" s="170" customFormat="1" ht="12" x14ac:dyDescent="0.15">
      <c r="B56" s="210" t="s">
        <v>277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7.7946193368785277E-3</v>
      </c>
      <c r="M56" s="230">
        <f t="shared" ref="M56" si="78">(M55/L55)-1</f>
        <v>-3.2544263267887397E-3</v>
      </c>
      <c r="N56" s="230">
        <f t="shared" ref="N56" si="79">(N55/M55)-1</f>
        <v>-1.8530639943907579E-2</v>
      </c>
      <c r="O56" s="246">
        <f t="shared" ref="O56" si="80">(O55/N55)-1</f>
        <v>4.7330861396877033E-4</v>
      </c>
      <c r="P56" s="230">
        <f t="shared" ref="P56" si="81">(P55/O55)-1</f>
        <v>1.1220970754377557E-3</v>
      </c>
      <c r="Q56" s="230">
        <f t="shared" ref="Q56" si="82">(Q55/P55)-1</f>
        <v>1.5642008881637803E-3</v>
      </c>
      <c r="R56" s="230">
        <f t="shared" ref="R56" si="83">(R55/Q55)-1</f>
        <v>2.8300947312320801E-3</v>
      </c>
      <c r="S56" s="246">
        <f t="shared" ref="S56" si="84">(S55/R55)-1</f>
        <v>1.0432271678084026E-2</v>
      </c>
      <c r="T56" s="230">
        <f t="shared" ref="T56" si="85">(T55/S55)-1</f>
        <v>9.9043317377891515E-3</v>
      </c>
      <c r="U56" s="230">
        <f t="shared" ref="U56" si="86">(U55/T55)-1</f>
        <v>7.8670380935814688E-3</v>
      </c>
      <c r="V56" s="230">
        <f t="shared" ref="V56" si="87">(V55/U55)-1</f>
        <v>6.6256553014809594E-3</v>
      </c>
      <c r="W56" s="246">
        <f t="shared" ref="W56" si="88">(W55/V55)-1</f>
        <v>2.2624661777632893E-2</v>
      </c>
      <c r="X56" s="230">
        <f t="shared" ref="X56" si="89">(X55/W55)-1</f>
        <v>1.8351035784861081E-2</v>
      </c>
      <c r="Y56" s="230">
        <f t="shared" ref="Y56" si="90">(Y55/X55)-1</f>
        <v>1.4738139715103404E-2</v>
      </c>
      <c r="Z56" s="230">
        <f t="shared" ref="Z56" si="91">(Z55/Y55)-1</f>
        <v>1.0941466131400457E-2</v>
      </c>
      <c r="AA56" s="246">
        <f t="shared" ref="AA56" si="92">(AA55/Z55)-1</f>
        <v>5.5600801601780603E-3</v>
      </c>
      <c r="AB56" s="243"/>
    </row>
    <row r="57" spans="1:32" s="97" customFormat="1" x14ac:dyDescent="0.2">
      <c r="B57" s="99" t="s">
        <v>178</v>
      </c>
      <c r="D57" s="103"/>
      <c r="E57" s="217"/>
      <c r="F57" s="217">
        <f t="shared" ref="F57" si="93">F54-F55</f>
        <v>-106.19899999999961</v>
      </c>
      <c r="G57" s="150">
        <f t="shared" ref="G57" si="94">G54-G55</f>
        <v>-35.906999999999925</v>
      </c>
      <c r="H57" s="217">
        <f t="shared" ref="H57" si="95">H54-H55</f>
        <v>1298.6874972143792</v>
      </c>
      <c r="I57" s="217">
        <f t="shared" ref="I57" si="96">I54-I55</f>
        <v>251.22365666746987</v>
      </c>
      <c r="J57" s="217">
        <f t="shared" ref="J57" si="97">J54-J55</f>
        <v>199.35773501319068</v>
      </c>
      <c r="K57" s="264">
        <f t="shared" ref="K57" si="98">K54-K55</f>
        <v>157.47974440731628</v>
      </c>
      <c r="L57" s="217">
        <f t="shared" ref="L57:AA57" si="99">L54-L55</f>
        <v>158.70723906824014</v>
      </c>
      <c r="M57" s="217">
        <f t="shared" si="99"/>
        <v>158.19073805116454</v>
      </c>
      <c r="N57" s="217">
        <f t="shared" si="99"/>
        <v>155.25936244187733</v>
      </c>
      <c r="O57" s="150">
        <f t="shared" si="99"/>
        <v>155.33284803552056</v>
      </c>
      <c r="P57" s="217">
        <f t="shared" si="99"/>
        <v>155.5071465700205</v>
      </c>
      <c r="Q57" s="217">
        <f t="shared" si="99"/>
        <v>155.75039098680099</v>
      </c>
      <c r="R57" s="217">
        <f t="shared" si="99"/>
        <v>156.19117934771998</v>
      </c>
      <c r="S57" s="150">
        <f t="shared" si="99"/>
        <v>157.82060816439548</v>
      </c>
      <c r="T57" s="217">
        <f t="shared" si="99"/>
        <v>159.3837158227152</v>
      </c>
      <c r="U57" s="217">
        <f t="shared" si="99"/>
        <v>160.63759358658922</v>
      </c>
      <c r="V57" s="217">
        <f t="shared" si="99"/>
        <v>161.7019229101536</v>
      </c>
      <c r="W57" s="150">
        <f t="shared" si="99"/>
        <v>165.36037422478853</v>
      </c>
      <c r="X57" s="217">
        <f t="shared" si="99"/>
        <v>168.39490836958566</v>
      </c>
      <c r="Y57" s="217">
        <f t="shared" si="99"/>
        <v>170.87673605644864</v>
      </c>
      <c r="Z57" s="217">
        <f t="shared" si="99"/>
        <v>172.74637807665476</v>
      </c>
      <c r="AA57" s="150">
        <f t="shared" si="99"/>
        <v>173.70686178614119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210</v>
      </c>
      <c r="D61" s="100"/>
      <c r="E61" s="104">
        <f>main!L55/1000</f>
        <v>1086.548</v>
      </c>
      <c r="F61" s="104">
        <f>main!M55/1000</f>
        <v>1213.48</v>
      </c>
      <c r="G61" s="149">
        <f>main!N55/1000</f>
        <v>610.53599999999994</v>
      </c>
      <c r="H61" s="104">
        <f>main!O55/1000</f>
        <v>794.08358333333342</v>
      </c>
      <c r="I61" s="104">
        <f>main!P55/1000</f>
        <v>794.08358333333342</v>
      </c>
      <c r="J61" s="104">
        <f>main!Q55/1000</f>
        <v>144.08358333333331</v>
      </c>
      <c r="K61" s="149">
        <f>main!R55/1000</f>
        <v>122.75024999999999</v>
      </c>
      <c r="L61" s="223">
        <f>main!S55/1000</f>
        <v>77.330250000000007</v>
      </c>
      <c r="M61" s="231">
        <f>L61*(1+M63)</f>
        <v>77.703294275287249</v>
      </c>
      <c r="N61" s="231">
        <f>M61*(1+N63)</f>
        <v>78.07050365575769</v>
      </c>
      <c r="O61" s="247">
        <f>N61*(1+O63)</f>
        <v>78.435379078301409</v>
      </c>
      <c r="P61" s="231">
        <f>O61*(1+P63)</f>
        <v>78.799476514869554</v>
      </c>
      <c r="Q61" s="231">
        <f t="shared" ref="Q61:AA61" si="100">P61*(1+Q63)</f>
        <v>79.164740930401067</v>
      </c>
      <c r="R61" s="231">
        <f t="shared" si="100"/>
        <v>79.533506282822628</v>
      </c>
      <c r="S61" s="247">
        <f t="shared" si="100"/>
        <v>79.905772572134296</v>
      </c>
      <c r="T61" s="231">
        <f t="shared" si="100"/>
        <v>80.280372819372687</v>
      </c>
      <c r="U61" s="231">
        <f t="shared" si="100"/>
        <v>80.654195080635475</v>
      </c>
      <c r="V61" s="231">
        <f t="shared" si="100"/>
        <v>81.029184320861646</v>
      </c>
      <c r="W61" s="247">
        <f t="shared" si="100"/>
        <v>81.404951547063376</v>
      </c>
      <c r="X61" s="231">
        <f t="shared" si="100"/>
        <v>81.780329780277327</v>
      </c>
      <c r="Y61" s="231">
        <f t="shared" si="100"/>
        <v>82.151040097637846</v>
      </c>
      <c r="Z61" s="231">
        <f t="shared" si="100"/>
        <v>82.519027464083834</v>
      </c>
      <c r="AA61" s="247">
        <f t="shared" si="100"/>
        <v>82.884291879615333</v>
      </c>
      <c r="AB61" s="95"/>
    </row>
    <row r="62" spans="1:32" x14ac:dyDescent="0.2">
      <c r="B62" t="s">
        <v>177</v>
      </c>
      <c r="D62" s="102">
        <f t="shared" ref="D62:AA62" si="101">D16</f>
        <v>74.5</v>
      </c>
      <c r="E62" s="104">
        <f t="shared" si="101"/>
        <v>1085.9000000000001</v>
      </c>
      <c r="F62" s="104">
        <f t="shared" si="101"/>
        <v>1212.9000000000001</v>
      </c>
      <c r="G62" s="149">
        <f t="shared" si="101"/>
        <v>609.9</v>
      </c>
      <c r="H62" s="104">
        <f t="shared" si="101"/>
        <v>612.6833822665883</v>
      </c>
      <c r="I62" s="104">
        <f t="shared" si="101"/>
        <v>615.55472695243679</v>
      </c>
      <c r="J62" s="104">
        <f t="shared" si="101"/>
        <v>618.4920434527304</v>
      </c>
      <c r="K62" s="149">
        <f t="shared" si="101"/>
        <v>621.4890487375219</v>
      </c>
      <c r="L62" s="223">
        <f t="shared" si="101"/>
        <v>624.52061068702278</v>
      </c>
      <c r="M62" s="104">
        <f t="shared" si="101"/>
        <v>627.53332354668225</v>
      </c>
      <c r="N62" s="104">
        <f t="shared" si="101"/>
        <v>630.49891368173814</v>
      </c>
      <c r="O62" s="149">
        <f t="shared" si="101"/>
        <v>633.44565472695251</v>
      </c>
      <c r="P62" s="104">
        <f t="shared" si="101"/>
        <v>636.38611274221967</v>
      </c>
      <c r="Q62" s="104">
        <f t="shared" si="101"/>
        <v>639.3359953024077</v>
      </c>
      <c r="R62" s="104">
        <f t="shared" si="101"/>
        <v>642.31415149735767</v>
      </c>
      <c r="S62" s="149">
        <f t="shared" si="101"/>
        <v>645.32058132706993</v>
      </c>
      <c r="T62" s="104">
        <f t="shared" si="101"/>
        <v>648.34586024662372</v>
      </c>
      <c r="U62" s="104">
        <f t="shared" si="101"/>
        <v>651.36485613623017</v>
      </c>
      <c r="V62" s="104">
        <f t="shared" si="101"/>
        <v>654.39327657075751</v>
      </c>
      <c r="W62" s="149">
        <f t="shared" si="101"/>
        <v>657.42798003523194</v>
      </c>
      <c r="X62" s="104">
        <f t="shared" si="101"/>
        <v>660.45954198473294</v>
      </c>
      <c r="Y62" s="104">
        <f t="shared" si="101"/>
        <v>663.45340575455089</v>
      </c>
      <c r="Z62" s="104">
        <f t="shared" si="101"/>
        <v>666.42527891955376</v>
      </c>
      <c r="AA62" s="149">
        <f t="shared" si="101"/>
        <v>669.37516147974168</v>
      </c>
      <c r="AB62" s="95"/>
    </row>
    <row r="63" spans="1:32" s="170" customFormat="1" ht="12" x14ac:dyDescent="0.15">
      <c r="B63" s="210" t="s">
        <v>277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4.8240407251656237E-3</v>
      </c>
      <c r="N63" s="230">
        <f t="shared" si="102"/>
        <v>4.7257890916374556E-3</v>
      </c>
      <c r="O63" s="246">
        <f t="shared" si="102"/>
        <v>4.6736655389414405E-3</v>
      </c>
      <c r="P63" s="230">
        <f t="shared" si="102"/>
        <v>4.6420051875399881E-3</v>
      </c>
      <c r="Q63" s="230">
        <f t="shared" si="102"/>
        <v>4.6353660162017363E-3</v>
      </c>
      <c r="R63" s="230">
        <f t="shared" si="102"/>
        <v>4.6582019733478752E-3</v>
      </c>
      <c r="S63" s="246">
        <f t="shared" si="102"/>
        <v>4.6806221265773829E-3</v>
      </c>
      <c r="T63" s="230">
        <f t="shared" si="102"/>
        <v>4.6880248470186903E-3</v>
      </c>
      <c r="U63" s="230">
        <f t="shared" si="102"/>
        <v>4.6564589592013039E-3</v>
      </c>
      <c r="V63" s="230">
        <f t="shared" si="102"/>
        <v>4.6493457637419855E-3</v>
      </c>
      <c r="W63" s="246">
        <f t="shared" si="102"/>
        <v>4.6374306905738738E-3</v>
      </c>
      <c r="X63" s="230">
        <f t="shared" si="102"/>
        <v>4.6112457053295586E-3</v>
      </c>
      <c r="Y63" s="230">
        <f t="shared" si="102"/>
        <v>4.5330010083906025E-3</v>
      </c>
      <c r="Z63" s="230">
        <f t="shared" si="102"/>
        <v>4.4793999687482433E-3</v>
      </c>
      <c r="AA63" s="246">
        <f t="shared" si="102"/>
        <v>4.4264265679874182E-3</v>
      </c>
      <c r="AB63" s="243"/>
    </row>
    <row r="64" spans="1:32" s="97" customFormat="1" x14ac:dyDescent="0.2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0.63599999999996726</v>
      </c>
      <c r="H64" s="217">
        <f t="shared" si="103"/>
        <v>181.40020106674513</v>
      </c>
      <c r="I64" s="217">
        <f t="shared" si="103"/>
        <v>178.52885638089663</v>
      </c>
      <c r="J64" s="217">
        <f t="shared" si="103"/>
        <v>-474.40846011939709</v>
      </c>
      <c r="K64" s="150">
        <f t="shared" si="103"/>
        <v>-498.7387987375219</v>
      </c>
      <c r="L64" s="217">
        <f t="shared" si="103"/>
        <v>-547.1903606870228</v>
      </c>
      <c r="M64" s="217">
        <f t="shared" si="103"/>
        <v>-549.83002927139501</v>
      </c>
      <c r="N64" s="217">
        <f t="shared" si="103"/>
        <v>-552.4284100259805</v>
      </c>
      <c r="O64" s="150">
        <f t="shared" si="103"/>
        <v>-555.01027564865115</v>
      </c>
      <c r="P64" s="217">
        <f t="shared" si="103"/>
        <v>-557.58663622735014</v>
      </c>
      <c r="Q64" s="217">
        <f t="shared" si="103"/>
        <v>-560.17125437200662</v>
      </c>
      <c r="R64" s="217">
        <f t="shared" si="103"/>
        <v>-562.78064521453507</v>
      </c>
      <c r="S64" s="150">
        <f t="shared" si="103"/>
        <v>-565.41480875493562</v>
      </c>
      <c r="T64" s="217">
        <f t="shared" si="103"/>
        <v>-568.06548742725101</v>
      </c>
      <c r="U64" s="217">
        <f t="shared" si="103"/>
        <v>-570.71066105559476</v>
      </c>
      <c r="V64" s="217">
        <f t="shared" si="103"/>
        <v>-573.36409224989586</v>
      </c>
      <c r="W64" s="150">
        <f t="shared" si="103"/>
        <v>-576.02302848816862</v>
      </c>
      <c r="X64" s="217">
        <f t="shared" si="103"/>
        <v>-578.67921220445555</v>
      </c>
      <c r="Y64" s="217">
        <f t="shared" si="103"/>
        <v>-581.30236565691303</v>
      </c>
      <c r="Z64" s="217">
        <f t="shared" si="103"/>
        <v>-583.90625145546994</v>
      </c>
      <c r="AA64" s="150">
        <f t="shared" si="103"/>
        <v>-586.4908696001263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207</v>
      </c>
      <c r="D68" s="100"/>
      <c r="E68" s="218">
        <f>main!L86/1000</f>
        <v>283.95</v>
      </c>
      <c r="F68" s="218">
        <f>main!M86/1000</f>
        <v>291.39999999999998</v>
      </c>
      <c r="G68" s="151">
        <f>main!N86/1000</f>
        <v>284.15100000000001</v>
      </c>
      <c r="H68" s="218">
        <f>main!O86/1000</f>
        <v>375.63880399999999</v>
      </c>
      <c r="I68" s="218">
        <f>main!P86/1000</f>
        <v>319.529759216</v>
      </c>
      <c r="J68" s="218">
        <f>main!Q86/1000</f>
        <v>320.32387825286401</v>
      </c>
      <c r="K68" s="151">
        <f>main!R86/1000</f>
        <v>315.12117376587548</v>
      </c>
      <c r="L68" s="218">
        <f>main!S86/1000</f>
        <v>309.92165846093894</v>
      </c>
      <c r="M68" s="218">
        <f>main!T86/1000</f>
        <v>310.72534509478271</v>
      </c>
      <c r="N68" s="218">
        <f>main!U86/1000</f>
        <v>311.53224647516186</v>
      </c>
      <c r="O68" s="151">
        <f>main!V86/1000</f>
        <v>312.34237546106249</v>
      </c>
      <c r="P68" s="248">
        <f>main!W86/1000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336.23224086572151</v>
      </c>
      <c r="U68" s="248">
        <f t="shared" si="104"/>
        <v>342.02665970336</v>
      </c>
      <c r="V68" s="248">
        <f t="shared" si="104"/>
        <v>347.93543262645312</v>
      </c>
      <c r="W68" s="249">
        <f t="shared" si="104"/>
        <v>348.35783973466744</v>
      </c>
      <c r="X68" s="248">
        <f t="shared" si="104"/>
        <v>348.8226627396063</v>
      </c>
      <c r="Y68" s="248">
        <f t="shared" si="104"/>
        <v>349.34176866674034</v>
      </c>
      <c r="Z68" s="248">
        <f t="shared" si="104"/>
        <v>349.90680777318727</v>
      </c>
      <c r="AA68" s="249">
        <f t="shared" si="104"/>
        <v>350.58752747539137</v>
      </c>
      <c r="AB68" s="95"/>
    </row>
    <row r="69" spans="1:28" x14ac:dyDescent="0.2">
      <c r="B69" t="s">
        <v>177</v>
      </c>
      <c r="D69" s="102">
        <f t="shared" ref="D69:O69" si="105">D17</f>
        <v>204.37100000000001</v>
      </c>
      <c r="E69" s="104">
        <f t="shared" si="105"/>
        <v>279.25</v>
      </c>
      <c r="F69" s="104">
        <f t="shared" si="105"/>
        <v>300.60000000000002</v>
      </c>
      <c r="G69" s="149">
        <f t="shared" si="105"/>
        <v>303.95100000000002</v>
      </c>
      <c r="H69" s="104">
        <f t="shared" si="105"/>
        <v>257.15358627705501</v>
      </c>
      <c r="I69" s="104">
        <f t="shared" si="105"/>
        <v>228.45877209582619</v>
      </c>
      <c r="J69" s="104">
        <f t="shared" si="105"/>
        <v>212.05070141102621</v>
      </c>
      <c r="K69" s="149">
        <f t="shared" si="105"/>
        <v>217.20219820767471</v>
      </c>
      <c r="L69" s="104">
        <f t="shared" si="105"/>
        <v>223.05909969580759</v>
      </c>
      <c r="M69" s="104">
        <f t="shared" si="105"/>
        <v>228.5975776874576</v>
      </c>
      <c r="N69" s="104">
        <f t="shared" si="105"/>
        <v>234.17911675344899</v>
      </c>
      <c r="O69" s="149">
        <f t="shared" si="105"/>
        <v>247.8674048768593</v>
      </c>
      <c r="P69" s="231">
        <f t="shared" ref="P69:AA69" si="106">P17</f>
        <v>261.5571401329762</v>
      </c>
      <c r="Q69" s="231">
        <f t="shared" si="106"/>
        <v>275.39010761536798</v>
      </c>
      <c r="R69" s="231">
        <f t="shared" si="106"/>
        <v>289.36457004926609</v>
      </c>
      <c r="S69" s="245">
        <f t="shared" si="106"/>
        <v>294.30374747872452</v>
      </c>
      <c r="T69" s="231">
        <f t="shared" si="106"/>
        <v>299.40325070867152</v>
      </c>
      <c r="U69" s="231">
        <f t="shared" si="106"/>
        <v>304.56298146943863</v>
      </c>
      <c r="V69" s="231">
        <f t="shared" si="106"/>
        <v>309.82454061176958</v>
      </c>
      <c r="W69" s="247">
        <f t="shared" si="106"/>
        <v>310.20067961913003</v>
      </c>
      <c r="X69" s="231">
        <f t="shared" si="106"/>
        <v>310.61458852425028</v>
      </c>
      <c r="Y69" s="231">
        <f t="shared" si="106"/>
        <v>311.07683450531948</v>
      </c>
      <c r="Z69" s="231">
        <f t="shared" si="106"/>
        <v>311.57998240336798</v>
      </c>
      <c r="AA69" s="247">
        <f t="shared" si="106"/>
        <v>312.18613989479883</v>
      </c>
      <c r="AB69" s="95"/>
    </row>
    <row r="70" spans="1:28" s="170" customFormat="1" ht="12" x14ac:dyDescent="0.15">
      <c r="B70" s="210" t="s">
        <v>277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5.2886980930281879E-2</v>
      </c>
      <c r="R70" s="230">
        <f t="shared" ref="R70" si="108">(R69/Q69)-1</f>
        <v>5.0744242612432489E-2</v>
      </c>
      <c r="S70" s="246">
        <f t="shared" ref="S70" si="109">(S69/R69)-1</f>
        <v>1.7069046941778243E-2</v>
      </c>
      <c r="T70" s="230">
        <f t="shared" ref="T70" si="110">(T69/S69)-1</f>
        <v>1.7327347251382408E-2</v>
      </c>
      <c r="U70" s="230">
        <f t="shared" ref="U70" si="111">(U69/T69)-1</f>
        <v>1.723338256533391E-2</v>
      </c>
      <c r="V70" s="230">
        <f t="shared" ref="V70" si="112">(V69/U69)-1</f>
        <v>1.7275767123585695E-2</v>
      </c>
      <c r="W70" s="246">
        <f t="shared" ref="W70" si="113">(W69/V69)-1</f>
        <v>1.2140387802004327E-3</v>
      </c>
      <c r="X70" s="230">
        <f t="shared" ref="X70" si="114">(X69/W69)-1</f>
        <v>1.3343262356113605E-3</v>
      </c>
      <c r="Y70" s="230">
        <f t="shared" ref="Y70" si="115">(Y69/X69)-1</f>
        <v>1.4881657145124905E-3</v>
      </c>
      <c r="Z70" s="230">
        <f t="shared" ref="Z70" si="116">(Z69/Y69)-1</f>
        <v>1.6174393019288136E-3</v>
      </c>
      <c r="AA70" s="246">
        <f t="shared" ref="AA70" si="117">(AA69/Z69)-1</f>
        <v>1.9454314322611133E-3</v>
      </c>
      <c r="AB70" s="243"/>
    </row>
    <row r="71" spans="1:28" s="97" customFormat="1" x14ac:dyDescent="0.2">
      <c r="B71" s="99" t="s">
        <v>178</v>
      </c>
      <c r="D71" s="103"/>
      <c r="E71" s="217"/>
      <c r="F71" s="217">
        <f>F68-F69</f>
        <v>-9.2000000000000455</v>
      </c>
      <c r="G71" s="150">
        <f t="shared" ref="G71:K71" si="118">G68-G69</f>
        <v>-19.800000000000011</v>
      </c>
      <c r="H71" s="217">
        <f t="shared" si="118"/>
        <v>118.48521772294498</v>
      </c>
      <c r="I71" s="217">
        <f t="shared" si="118"/>
        <v>91.070987120173811</v>
      </c>
      <c r="J71" s="217">
        <f t="shared" si="118"/>
        <v>108.2731768418378</v>
      </c>
      <c r="K71" s="150">
        <f t="shared" si="118"/>
        <v>97.918975558200771</v>
      </c>
      <c r="L71" s="217">
        <f t="shared" ref="L71:N71" si="119">L68-L69</f>
        <v>86.862558765131354</v>
      </c>
      <c r="M71" s="217">
        <f t="shared" si="119"/>
        <v>82.127767407325109</v>
      </c>
      <c r="N71" s="217">
        <f t="shared" si="119"/>
        <v>77.353129721712861</v>
      </c>
      <c r="O71" s="150">
        <f t="shared" ref="O71:AA71" si="120">O68-O69</f>
        <v>64.474970584203191</v>
      </c>
      <c r="P71" s="250">
        <f t="shared" si="120"/>
        <v>51.59860482993048</v>
      </c>
      <c r="Q71" s="250">
        <f t="shared" si="120"/>
        <v>55.115350410659346</v>
      </c>
      <c r="R71" s="250">
        <f t="shared" si="120"/>
        <v>41.140887976761235</v>
      </c>
      <c r="S71" s="239">
        <f t="shared" si="120"/>
        <v>36.20171054730281</v>
      </c>
      <c r="T71" s="250">
        <f t="shared" si="120"/>
        <v>36.828990157049986</v>
      </c>
      <c r="U71" s="250">
        <f t="shared" si="120"/>
        <v>37.463678233921371</v>
      </c>
      <c r="V71" s="250">
        <f t="shared" si="120"/>
        <v>38.110892014683543</v>
      </c>
      <c r="W71" s="251">
        <f t="shared" si="120"/>
        <v>38.157160115537408</v>
      </c>
      <c r="X71" s="250">
        <f t="shared" si="120"/>
        <v>38.208074215356021</v>
      </c>
      <c r="Y71" s="250">
        <f t="shared" si="120"/>
        <v>38.264934161420854</v>
      </c>
      <c r="Z71" s="250">
        <f t="shared" si="120"/>
        <v>38.326825369819289</v>
      </c>
      <c r="AA71" s="251">
        <f t="shared" si="120"/>
        <v>38.401387580592541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topLeftCell="A2" zoomScale="120" zoomScaleNormal="120" workbookViewId="0">
      <pane xSplit="1" topLeftCell="I1" activePane="topRight" state="frozen"/>
      <selection pane="topRight" activeCell="M5" sqref="M5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255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286</v>
      </c>
      <c r="J1" t="s">
        <v>272</v>
      </c>
      <c r="K1" t="s">
        <v>288</v>
      </c>
      <c r="L1" t="s">
        <v>289</v>
      </c>
      <c r="M1" t="s">
        <v>290</v>
      </c>
      <c r="N1" t="s">
        <v>345</v>
      </c>
      <c r="O1" t="s">
        <v>359</v>
      </c>
      <c r="P1" t="s">
        <v>370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283.95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105.97699999999998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-106.19899999999961</v>
      </c>
      <c r="H3">
        <f t="array" ref="H3:H24">TRANSPOSE('add-ons calculations'!F64:AA64)</f>
        <v>0.57999999999992724</v>
      </c>
      <c r="I3">
        <f t="array" ref="I3:I24">TRANSPOSE('add-ons calculations'!F71:AA71)</f>
        <v>-9.2000000000000455</v>
      </c>
      <c r="J3" s="102">
        <f>'add-ons calculations'!F68</f>
        <v>291.39999999999998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16.895816906412534</v>
      </c>
      <c r="C4">
        <v>35.907999999999987</v>
      </c>
      <c r="D4">
        <v>-19.250999999999976</v>
      </c>
      <c r="E4">
        <v>22.484070765805583</v>
      </c>
      <c r="F4">
        <v>-5.9999999998581188E-3</v>
      </c>
      <c r="G4">
        <v>-35.906999999999925</v>
      </c>
      <c r="H4">
        <v>0.63599999999996726</v>
      </c>
      <c r="I4">
        <v>-19.800000000000011</v>
      </c>
      <c r="J4" s="151">
        <f>'add-ons calculations'!G68</f>
        <v>284.15100000000001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14.491993784139481</v>
      </c>
      <c r="C5">
        <v>82.282942388641018</v>
      </c>
      <c r="D5">
        <v>-18.249119132365195</v>
      </c>
      <c r="E5">
        <v>22.921577670592825</v>
      </c>
      <c r="F5">
        <v>25.381437624588216</v>
      </c>
      <c r="G5">
        <v>1298.6874972143792</v>
      </c>
      <c r="H5">
        <v>181.40020106674513</v>
      </c>
      <c r="I5">
        <v>118.48521772294498</v>
      </c>
      <c r="K5" s="102">
        <v>544.4</v>
      </c>
      <c r="L5" s="102">
        <v>473.5</v>
      </c>
      <c r="M5" s="102">
        <f t="shared" si="0"/>
        <v>70.899999999999977</v>
      </c>
      <c r="N5">
        <v>59</v>
      </c>
      <c r="O5">
        <f>71400/1000</f>
        <v>71.400000000000006</v>
      </c>
      <c r="P5" s="296">
        <f>main!$O$37/1000</f>
        <v>664</v>
      </c>
    </row>
    <row r="6" spans="1:16" x14ac:dyDescent="0.2">
      <c r="A6" s="188">
        <v>44377</v>
      </c>
      <c r="B6">
        <v>10.308903433636999</v>
      </c>
      <c r="C6">
        <v>89.353669827281948</v>
      </c>
      <c r="D6">
        <v>-29.295528487588854</v>
      </c>
      <c r="E6">
        <v>22.760036045087944</v>
      </c>
      <c r="F6">
        <v>60.824709046836006</v>
      </c>
      <c r="G6">
        <v>251.22365666746987</v>
      </c>
      <c r="H6">
        <v>178.52885638089663</v>
      </c>
      <c r="I6">
        <v>91.070987120173811</v>
      </c>
      <c r="K6" s="102">
        <f t="shared" ref="K6:K24" si="1">SUM(L6:M6)</f>
        <v>152</v>
      </c>
      <c r="L6" s="102">
        <f>main!P$42/1000</f>
        <v>108</v>
      </c>
      <c r="M6" s="102">
        <f>main!P$46/1000</f>
        <v>44</v>
      </c>
      <c r="N6">
        <v>59</v>
      </c>
      <c r="O6">
        <f>71400/1000</f>
        <v>71.400000000000006</v>
      </c>
      <c r="P6">
        <v>0</v>
      </c>
    </row>
    <row r="7" spans="1:16" x14ac:dyDescent="0.2">
      <c r="A7" s="188">
        <v>44469</v>
      </c>
      <c r="B7">
        <v>6.1258130831341759</v>
      </c>
      <c r="C7">
        <v>110.72575134117292</v>
      </c>
      <c r="D7">
        <v>-34.116917561397258</v>
      </c>
      <c r="E7">
        <v>22.928994365806858</v>
      </c>
      <c r="F7">
        <v>91.483305944011818</v>
      </c>
      <c r="G7">
        <v>199.35773501319068</v>
      </c>
      <c r="H7">
        <v>-474.40846011939709</v>
      </c>
      <c r="I7">
        <v>108.2731768418378</v>
      </c>
      <c r="K7" s="102">
        <f t="shared" si="1"/>
        <v>44</v>
      </c>
      <c r="L7" s="102">
        <f>main!Q$42</f>
        <v>0</v>
      </c>
      <c r="M7" s="102">
        <f>main!Q$46/1000</f>
        <v>44</v>
      </c>
      <c r="N7">
        <v>59</v>
      </c>
      <c r="O7">
        <f>30600/1000</f>
        <v>30.6</v>
      </c>
      <c r="P7">
        <v>0</v>
      </c>
    </row>
    <row r="8" spans="1:16" x14ac:dyDescent="0.2">
      <c r="A8" s="188">
        <v>44561</v>
      </c>
      <c r="B8">
        <v>5.5355405576544001</v>
      </c>
      <c r="C8">
        <v>98.17289763461801</v>
      </c>
      <c r="D8">
        <v>-30.059208161437255</v>
      </c>
      <c r="E8">
        <v>23.39852299466142</v>
      </c>
      <c r="F8">
        <v>93.444253570889032</v>
      </c>
      <c r="G8">
        <v>157.47974440731628</v>
      </c>
      <c r="H8">
        <v>-498.7387987375219</v>
      </c>
      <c r="I8">
        <v>97.918975558200771</v>
      </c>
      <c r="K8" s="102">
        <f t="shared" si="1"/>
        <v>44</v>
      </c>
      <c r="L8" s="102">
        <f>main!R$42</f>
        <v>0</v>
      </c>
      <c r="M8" s="102">
        <f>main!R$46/1000</f>
        <v>44</v>
      </c>
      <c r="N8">
        <v>59</v>
      </c>
      <c r="O8">
        <f>30600/1000</f>
        <v>30.6</v>
      </c>
      <c r="P8">
        <v>0</v>
      </c>
    </row>
    <row r="9" spans="1:16" x14ac:dyDescent="0.2">
      <c r="A9" s="188">
        <v>44651</v>
      </c>
      <c r="B9">
        <v>46.502672063245768</v>
      </c>
      <c r="C9">
        <v>83.866064612314361</v>
      </c>
      <c r="D9">
        <v>0</v>
      </c>
      <c r="E9">
        <v>0</v>
      </c>
      <c r="F9">
        <v>95.405201197766473</v>
      </c>
      <c r="G9">
        <v>158.70723906824014</v>
      </c>
      <c r="H9">
        <v>-547.1903606870228</v>
      </c>
      <c r="I9">
        <v>86.862558765131354</v>
      </c>
      <c r="K9" s="102">
        <f t="shared" si="1"/>
        <v>44</v>
      </c>
      <c r="L9" s="102">
        <f>main!S$42</f>
        <v>0</v>
      </c>
      <c r="M9" s="102">
        <f>main!S$46/1000</f>
        <v>44</v>
      </c>
      <c r="N9">
        <v>59</v>
      </c>
      <c r="O9">
        <v>0</v>
      </c>
      <c r="P9">
        <v>0</v>
      </c>
    </row>
    <row r="10" spans="1:16" x14ac:dyDescent="0.2">
      <c r="A10" s="188">
        <v>44742</v>
      </c>
      <c r="B10">
        <v>45.912399537766049</v>
      </c>
      <c r="C10">
        <v>96.38873274839203</v>
      </c>
      <c r="D10">
        <v>0</v>
      </c>
      <c r="E10">
        <v>0</v>
      </c>
      <c r="F10">
        <v>97.366148824643687</v>
      </c>
      <c r="G10">
        <v>158.19073805116454</v>
      </c>
      <c r="H10">
        <v>-549.83002927139501</v>
      </c>
      <c r="I10">
        <v>82.127767407325109</v>
      </c>
      <c r="K10" s="102">
        <f t="shared" si="1"/>
        <v>44</v>
      </c>
      <c r="L10" s="102">
        <f>main!T$42</f>
        <v>0</v>
      </c>
      <c r="M10" s="102">
        <f>main!T$46/1000</f>
        <v>44</v>
      </c>
      <c r="N10">
        <v>59</v>
      </c>
      <c r="O10">
        <v>0</v>
      </c>
      <c r="P10">
        <v>0</v>
      </c>
    </row>
    <row r="11" spans="1:16" x14ac:dyDescent="0.2">
      <c r="A11" s="188">
        <v>44834</v>
      </c>
      <c r="B11">
        <v>46.066620655509439</v>
      </c>
      <c r="C11">
        <v>108.23854020959135</v>
      </c>
      <c r="D11">
        <v>0</v>
      </c>
      <c r="E11">
        <v>0</v>
      </c>
      <c r="F11">
        <v>99.327096451521129</v>
      </c>
      <c r="G11">
        <v>155.25936244187733</v>
      </c>
      <c r="H11">
        <v>-552.4284100259805</v>
      </c>
      <c r="I11">
        <v>77.353129721712861</v>
      </c>
      <c r="K11" s="102">
        <f t="shared" si="1"/>
        <v>44</v>
      </c>
      <c r="L11" s="102">
        <f>main!U$42</f>
        <v>0</v>
      </c>
      <c r="M11" s="102">
        <f>main!U$46/1000</f>
        <v>44</v>
      </c>
      <c r="N11">
        <v>59</v>
      </c>
      <c r="O11">
        <v>0</v>
      </c>
      <c r="P11">
        <v>0</v>
      </c>
    </row>
    <row r="12" spans="1:16" x14ac:dyDescent="0.2">
      <c r="A12" s="188">
        <v>44926</v>
      </c>
      <c r="B12">
        <v>45.567625181294545</v>
      </c>
      <c r="C12">
        <v>119.30558501006593</v>
      </c>
      <c r="D12">
        <v>0</v>
      </c>
      <c r="E12">
        <v>0</v>
      </c>
      <c r="F12">
        <v>100.1353376752661</v>
      </c>
      <c r="G12">
        <v>155.33284803552056</v>
      </c>
      <c r="H12">
        <v>-555.01027564865115</v>
      </c>
      <c r="I12">
        <v>64.474970584203191</v>
      </c>
      <c r="K12" s="102">
        <f t="shared" si="1"/>
        <v>44</v>
      </c>
      <c r="L12" s="102">
        <f>main!V$42</f>
        <v>0</v>
      </c>
      <c r="M12" s="102">
        <f>main!V$46/1000</f>
        <v>44</v>
      </c>
      <c r="N12">
        <v>59</v>
      </c>
      <c r="O12">
        <v>0</v>
      </c>
      <c r="P12">
        <v>0</v>
      </c>
    </row>
    <row r="13" spans="1:16" x14ac:dyDescent="0.2">
      <c r="A13" s="188">
        <v>45016</v>
      </c>
      <c r="B13">
        <v>45.068629707079623</v>
      </c>
      <c r="C13">
        <v>130.18422882157338</v>
      </c>
      <c r="D13">
        <v>0</v>
      </c>
      <c r="E13">
        <v>0</v>
      </c>
      <c r="F13">
        <v>100.94357889901084</v>
      </c>
      <c r="G13">
        <v>155.5071465700205</v>
      </c>
      <c r="H13">
        <v>-557.58663622735014</v>
      </c>
      <c r="I13">
        <v>51.59860482993048</v>
      </c>
      <c r="K13" s="102">
        <f t="shared" si="1"/>
        <v>44</v>
      </c>
      <c r="L13">
        <v>0</v>
      </c>
      <c r="M13">
        <v>44</v>
      </c>
      <c r="N13">
        <v>59</v>
      </c>
      <c r="O13">
        <v>0</v>
      </c>
      <c r="P13">
        <v>0</v>
      </c>
    </row>
    <row r="14" spans="1:16" x14ac:dyDescent="0.2">
      <c r="A14" s="188">
        <v>45107</v>
      </c>
      <c r="B14">
        <v>44.569634232864729</v>
      </c>
      <c r="C14">
        <v>141.6549900269753</v>
      </c>
      <c r="D14">
        <v>0</v>
      </c>
      <c r="E14">
        <v>0</v>
      </c>
      <c r="F14">
        <v>101.75182012275604</v>
      </c>
      <c r="G14">
        <v>155.75039098680099</v>
      </c>
      <c r="H14">
        <v>-560.17125437200662</v>
      </c>
      <c r="I14">
        <v>55.115350410659346</v>
      </c>
      <c r="K14" s="102">
        <f t="shared" si="1"/>
        <v>0</v>
      </c>
      <c r="N14">
        <v>59</v>
      </c>
      <c r="O14">
        <v>0</v>
      </c>
      <c r="P14">
        <v>0</v>
      </c>
    </row>
    <row r="15" spans="1:16" x14ac:dyDescent="0.2">
      <c r="A15" s="188">
        <v>45199</v>
      </c>
      <c r="B15">
        <v>44.070638758649835</v>
      </c>
      <c r="C15">
        <v>153.07192237838635</v>
      </c>
      <c r="D15">
        <v>0</v>
      </c>
      <c r="E15">
        <v>0</v>
      </c>
      <c r="F15">
        <v>102.56006134650079</v>
      </c>
      <c r="G15">
        <v>156.19117934771998</v>
      </c>
      <c r="H15">
        <v>-562.78064521453507</v>
      </c>
      <c r="I15">
        <v>41.140887976761235</v>
      </c>
      <c r="K15" s="102">
        <f t="shared" si="1"/>
        <v>0</v>
      </c>
      <c r="N15">
        <v>59</v>
      </c>
      <c r="O15">
        <v>0</v>
      </c>
      <c r="P15">
        <v>0</v>
      </c>
    </row>
    <row r="16" spans="1:16" x14ac:dyDescent="0.2">
      <c r="A16" s="188">
        <v>45291</v>
      </c>
      <c r="B16">
        <v>44.331280287489619</v>
      </c>
      <c r="C16">
        <v>152.92993797639971</v>
      </c>
      <c r="D16">
        <v>0</v>
      </c>
      <c r="E16">
        <v>0</v>
      </c>
      <c r="F16">
        <v>103.25397008032428</v>
      </c>
      <c r="G16">
        <v>157.82060816439548</v>
      </c>
      <c r="H16">
        <v>-565.41480875493562</v>
      </c>
      <c r="I16">
        <v>36.20171054730281</v>
      </c>
      <c r="K16" s="102">
        <f t="shared" si="1"/>
        <v>0</v>
      </c>
      <c r="N16">
        <v>59</v>
      </c>
      <c r="O16">
        <v>0</v>
      </c>
      <c r="P16">
        <v>0</v>
      </c>
    </row>
    <row r="17" spans="1:16" x14ac:dyDescent="0.2">
      <c r="A17" s="188">
        <v>45382</v>
      </c>
      <c r="B17">
        <v>44.59192181632946</v>
      </c>
      <c r="C17">
        <v>153.110926698355</v>
      </c>
      <c r="D17">
        <v>0</v>
      </c>
      <c r="E17">
        <v>0</v>
      </c>
      <c r="F17">
        <v>103.94787881414754</v>
      </c>
      <c r="G17">
        <v>159.3837158227152</v>
      </c>
      <c r="H17">
        <v>-568.06548742725101</v>
      </c>
      <c r="I17">
        <v>36.828990157049986</v>
      </c>
      <c r="K17" s="102">
        <f t="shared" si="1"/>
        <v>0</v>
      </c>
      <c r="N17">
        <v>59</v>
      </c>
      <c r="O17">
        <v>0</v>
      </c>
      <c r="P17">
        <v>0</v>
      </c>
    </row>
    <row r="18" spans="1:16" x14ac:dyDescent="0.2">
      <c r="A18" s="188">
        <v>45473</v>
      </c>
      <c r="B18">
        <v>44.852563345169301</v>
      </c>
      <c r="C18">
        <v>153.58797411725675</v>
      </c>
      <c r="D18">
        <v>0</v>
      </c>
      <c r="E18">
        <v>0</v>
      </c>
      <c r="F18">
        <v>104.64178754797103</v>
      </c>
      <c r="G18">
        <v>160.63759358658922</v>
      </c>
      <c r="H18">
        <v>-570.71066105559476</v>
      </c>
      <c r="I18">
        <v>37.463678233921371</v>
      </c>
      <c r="K18" s="102">
        <f t="shared" si="1"/>
        <v>0</v>
      </c>
      <c r="N18">
        <v>59</v>
      </c>
      <c r="O18">
        <v>0</v>
      </c>
      <c r="P18">
        <v>0</v>
      </c>
    </row>
    <row r="19" spans="1:16" x14ac:dyDescent="0.2">
      <c r="A19" s="188">
        <v>45565</v>
      </c>
      <c r="B19">
        <v>45.113204874009142</v>
      </c>
      <c r="C19">
        <v>154.49565236808115</v>
      </c>
      <c r="D19">
        <v>0</v>
      </c>
      <c r="E19">
        <v>0</v>
      </c>
      <c r="F19">
        <v>105.3356962817943</v>
      </c>
      <c r="G19">
        <v>161.7019229101536</v>
      </c>
      <c r="H19">
        <v>-573.36409224989586</v>
      </c>
      <c r="I19">
        <v>38.110892014683543</v>
      </c>
      <c r="K19" s="102">
        <f t="shared" si="1"/>
        <v>0</v>
      </c>
      <c r="N19">
        <v>59</v>
      </c>
      <c r="O19">
        <v>0</v>
      </c>
      <c r="P19">
        <v>0</v>
      </c>
    </row>
    <row r="20" spans="1:16" x14ac:dyDescent="0.2">
      <c r="A20" s="188">
        <v>45657</v>
      </c>
      <c r="B20">
        <v>45.783624344460833</v>
      </c>
      <c r="C20">
        <v>153.89533516396961</v>
      </c>
      <c r="D20">
        <v>0</v>
      </c>
      <c r="E20">
        <v>0</v>
      </c>
      <c r="F20">
        <v>107.91303693773443</v>
      </c>
      <c r="G20">
        <v>165.36037422478853</v>
      </c>
      <c r="H20">
        <v>-576.02302848816862</v>
      </c>
      <c r="I20">
        <v>38.157160115537408</v>
      </c>
      <c r="K20" s="102">
        <f t="shared" si="1"/>
        <v>0</v>
      </c>
      <c r="N20">
        <v>59</v>
      </c>
      <c r="O20">
        <v>0</v>
      </c>
      <c r="P20">
        <v>0</v>
      </c>
    </row>
    <row r="21" spans="1:16" x14ac:dyDescent="0.2">
      <c r="A21" s="188">
        <v>45747</v>
      </c>
      <c r="B21">
        <v>46.454043814912495</v>
      </c>
      <c r="C21">
        <v>153.24118910586807</v>
      </c>
      <c r="D21">
        <v>0</v>
      </c>
      <c r="E21">
        <v>0</v>
      </c>
      <c r="F21">
        <v>110.49037759367457</v>
      </c>
      <c r="G21">
        <v>168.39490836958566</v>
      </c>
      <c r="H21">
        <v>-578.67921220445555</v>
      </c>
      <c r="I21">
        <v>38.208074215356021</v>
      </c>
      <c r="K21" s="102">
        <f t="shared" si="1"/>
        <v>0</v>
      </c>
      <c r="N21">
        <v>59</v>
      </c>
      <c r="O21">
        <v>0</v>
      </c>
      <c r="P21">
        <v>0</v>
      </c>
    </row>
    <row r="22" spans="1:16" x14ac:dyDescent="0.2">
      <c r="A22" s="188">
        <v>45838</v>
      </c>
      <c r="B22">
        <v>47.124463285364214</v>
      </c>
      <c r="C22">
        <v>152.8023584637275</v>
      </c>
      <c r="D22">
        <v>0</v>
      </c>
      <c r="E22">
        <v>0</v>
      </c>
      <c r="F22">
        <v>113.0677182496147</v>
      </c>
      <c r="G22">
        <v>170.87673605644864</v>
      </c>
      <c r="H22">
        <v>-581.30236565691303</v>
      </c>
      <c r="I22">
        <v>38.264934161420854</v>
      </c>
      <c r="K22" s="102">
        <f t="shared" si="1"/>
        <v>0</v>
      </c>
      <c r="N22">
        <v>59</v>
      </c>
      <c r="O22">
        <v>0</v>
      </c>
      <c r="P22">
        <v>0</v>
      </c>
    </row>
    <row r="23" spans="1:16" x14ac:dyDescent="0.2">
      <c r="A23" s="188">
        <v>45930</v>
      </c>
      <c r="B23">
        <v>47.794882755815905</v>
      </c>
      <c r="C23">
        <v>152.60575766454329</v>
      </c>
      <c r="D23">
        <v>0</v>
      </c>
      <c r="E23">
        <v>0</v>
      </c>
      <c r="F23">
        <v>115.64505890555483</v>
      </c>
      <c r="G23">
        <v>172.74637807665476</v>
      </c>
      <c r="H23">
        <v>-583.90625145546994</v>
      </c>
      <c r="I23">
        <v>38.326825369819289</v>
      </c>
      <c r="K23" s="102">
        <f t="shared" si="1"/>
        <v>0</v>
      </c>
      <c r="N23">
        <v>59</v>
      </c>
      <c r="O23">
        <v>0</v>
      </c>
      <c r="P23">
        <v>0</v>
      </c>
    </row>
    <row r="24" spans="1:16" x14ac:dyDescent="0.2">
      <c r="A24" s="188">
        <v>46022</v>
      </c>
      <c r="B24">
        <v>48.462524678177488</v>
      </c>
      <c r="C24">
        <v>152.31820617542058</v>
      </c>
      <c r="D24">
        <v>0</v>
      </c>
      <c r="E24">
        <v>0</v>
      </c>
      <c r="F24">
        <v>117.57287113278448</v>
      </c>
      <c r="G24">
        <v>173.70686178614119</v>
      </c>
      <c r="H24">
        <v>-586.4908696001263</v>
      </c>
      <c r="I24">
        <v>38.401387580592541</v>
      </c>
      <c r="K24" s="102">
        <f t="shared" si="1"/>
        <v>0</v>
      </c>
      <c r="N24">
        <v>59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41" t="s">
        <v>21</v>
      </c>
      <c r="E1" s="341"/>
      <c r="F1" s="341"/>
      <c r="G1" s="341"/>
      <c r="H1" s="341" t="s">
        <v>9</v>
      </c>
      <c r="I1" s="341"/>
      <c r="J1" s="341"/>
      <c r="K1" s="341"/>
      <c r="L1" s="341" t="s">
        <v>10</v>
      </c>
      <c r="M1" s="341"/>
      <c r="N1" s="341"/>
      <c r="O1" s="341"/>
      <c r="P1" s="341" t="s">
        <v>11</v>
      </c>
      <c r="Q1" s="341"/>
      <c r="R1" s="341"/>
      <c r="S1" s="341"/>
      <c r="T1" s="341" t="s">
        <v>265</v>
      </c>
      <c r="U1" s="341"/>
      <c r="V1" s="341"/>
      <c r="W1" s="341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2">
      <c r="A4" s="35" t="s">
        <v>213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2">
      <c r="A5" s="35" t="s">
        <v>15</v>
      </c>
      <c r="D5" s="197">
        <f>main!F100</f>
        <v>728844</v>
      </c>
      <c r="E5" s="197">
        <f>main!G100</f>
        <v>738714</v>
      </c>
      <c r="F5" s="197">
        <f>main!H100</f>
        <v>755204</v>
      </c>
      <c r="G5" s="197">
        <f>main!I100</f>
        <v>763370</v>
      </c>
      <c r="H5" s="197">
        <f>main!J100</f>
        <v>760967</v>
      </c>
      <c r="I5" s="197">
        <f>main!K100</f>
        <v>767087</v>
      </c>
      <c r="J5" s="197">
        <f>main!L100</f>
        <v>812158</v>
      </c>
      <c r="K5" s="197">
        <f>main!M100</f>
        <v>828480</v>
      </c>
      <c r="L5" s="262">
        <f>main!N100</f>
        <v>818740</v>
      </c>
      <c r="M5" s="262">
        <f>main!O100</f>
        <v>831250.83502466371</v>
      </c>
      <c r="N5" s="262">
        <f>main!P100</f>
        <v>838457.84744285408</v>
      </c>
      <c r="O5" s="262">
        <f>main!Q100</f>
        <v>839187.01967747905</v>
      </c>
      <c r="P5" s="262">
        <f>main!R100</f>
        <v>840286.24682117626</v>
      </c>
      <c r="Q5" s="262">
        <f>main!S100</f>
        <v>841762.8752842095</v>
      </c>
      <c r="R5" s="262">
        <f>main!T100</f>
        <v>843107.97501111636</v>
      </c>
      <c r="S5" s="262">
        <f>main!U100</f>
        <v>844539.45728929248</v>
      </c>
      <c r="T5" s="262">
        <f>main!V100</f>
        <v>846032.64138980373</v>
      </c>
      <c r="U5" s="262"/>
      <c r="V5" s="262"/>
      <c r="W5" s="262"/>
      <c r="AJ5" s="258"/>
    </row>
    <row r="6" spans="1:36" s="35" customFormat="1" x14ac:dyDescent="0.2">
      <c r="A6" s="35" t="s">
        <v>212</v>
      </c>
      <c r="D6" s="197">
        <f>main!F103</f>
        <v>589819</v>
      </c>
      <c r="E6" s="197">
        <f>main!G103</f>
        <v>599372</v>
      </c>
      <c r="F6" s="197">
        <f>main!H103</f>
        <v>614976</v>
      </c>
      <c r="G6" s="197">
        <f>main!I103</f>
        <v>622265</v>
      </c>
      <c r="H6" s="197">
        <f>main!J103</f>
        <v>619632</v>
      </c>
      <c r="I6" s="197">
        <f>main!K103</f>
        <v>624096</v>
      </c>
      <c r="J6" s="197">
        <f>main!L103</f>
        <v>668823</v>
      </c>
      <c r="K6" s="197">
        <f>main!M103</f>
        <v>683703</v>
      </c>
      <c r="L6" s="35">
        <f>main!N103</f>
        <v>673632</v>
      </c>
      <c r="M6" s="35">
        <f>main!O103</f>
        <v>685780.06502466369</v>
      </c>
      <c r="N6" s="35">
        <f>main!P103</f>
        <v>692623.40051785414</v>
      </c>
      <c r="O6" s="35">
        <f>main!Q103</f>
        <v>692623.40051785414</v>
      </c>
      <c r="P6" s="35">
        <f>main!R103</f>
        <v>692623.40051785414</v>
      </c>
      <c r="Q6" s="35">
        <f>main!S103</f>
        <v>692623.40051785414</v>
      </c>
      <c r="R6" s="35">
        <f>main!T103</f>
        <v>692623.40051785414</v>
      </c>
      <c r="S6" s="35">
        <f>main!U103</f>
        <v>692623.40051785414</v>
      </c>
      <c r="T6" s="35">
        <f>main!V103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49" t="s">
        <v>206</v>
      </c>
      <c r="B1" s="350"/>
      <c r="C1" s="35"/>
      <c r="I1" s="240"/>
      <c r="J1" s="357" t="s">
        <v>279</v>
      </c>
      <c r="V1" s="341"/>
      <c r="W1" s="341"/>
      <c r="X1" s="341"/>
      <c r="Y1" s="341"/>
    </row>
    <row r="2" spans="1:27" x14ac:dyDescent="0.2">
      <c r="A2" s="351" t="s">
        <v>191</v>
      </c>
      <c r="B2" s="126"/>
      <c r="C2" t="s">
        <v>192</v>
      </c>
      <c r="H2" s="95"/>
      <c r="I2" s="241"/>
      <c r="J2" s="357"/>
    </row>
    <row r="3" spans="1:27" x14ac:dyDescent="0.2">
      <c r="A3" s="352"/>
      <c r="B3" s="127"/>
      <c r="C3" t="s">
        <v>193</v>
      </c>
      <c r="H3" s="95"/>
      <c r="I3" s="241"/>
      <c r="J3" s="357"/>
    </row>
    <row r="4" spans="1:27" x14ac:dyDescent="0.2">
      <c r="A4" s="352"/>
      <c r="B4" s="128"/>
      <c r="C4" t="s">
        <v>194</v>
      </c>
      <c r="H4" s="95"/>
      <c r="I4" s="95"/>
      <c r="J4" s="95"/>
    </row>
    <row r="5" spans="1:27" x14ac:dyDescent="0.2">
      <c r="A5" s="353"/>
      <c r="B5" s="129"/>
      <c r="C5" t="s">
        <v>181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54" t="s">
        <v>160</v>
      </c>
      <c r="D7" s="355"/>
      <c r="E7" s="355"/>
      <c r="F7" s="356"/>
      <c r="G7" s="354" t="s">
        <v>165</v>
      </c>
      <c r="H7" s="355"/>
      <c r="I7" s="355"/>
      <c r="J7" s="356"/>
      <c r="K7" s="354" t="s">
        <v>176</v>
      </c>
      <c r="L7" s="355"/>
      <c r="M7" s="355"/>
      <c r="N7" s="355"/>
      <c r="O7" s="354" t="s">
        <v>269</v>
      </c>
      <c r="P7" s="355"/>
      <c r="Q7" s="355"/>
      <c r="R7" s="355"/>
      <c r="S7" s="354" t="s">
        <v>273</v>
      </c>
      <c r="T7" s="355"/>
      <c r="U7" s="355"/>
      <c r="V7" s="355"/>
      <c r="W7" s="354" t="s">
        <v>274</v>
      </c>
      <c r="X7" s="355"/>
      <c r="Y7" s="355"/>
      <c r="Z7" s="355"/>
      <c r="AA7" s="222" t="s">
        <v>275</v>
      </c>
    </row>
    <row r="8" spans="1:27" s="257" customFormat="1" x14ac:dyDescent="0.2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2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277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2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277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2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277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2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277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255</v>
      </c>
      <c r="B1" s="259" t="s">
        <v>248</v>
      </c>
      <c r="C1" s="259" t="s">
        <v>249</v>
      </c>
      <c r="D1" s="259" t="s">
        <v>250</v>
      </c>
      <c r="E1" s="259" t="s">
        <v>251</v>
      </c>
      <c r="F1" s="259" t="s">
        <v>252</v>
      </c>
      <c r="G1" s="259" t="s">
        <v>253</v>
      </c>
      <c r="H1" s="259" t="s">
        <v>254</v>
      </c>
      <c r="I1" s="259" t="s">
        <v>286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-9.2000000000000455</v>
      </c>
    </row>
    <row r="3" spans="1:9" x14ac:dyDescent="0.2">
      <c r="A3" s="260">
        <v>44196</v>
      </c>
      <c r="B3" s="259">
        <v>-52.043157750019304</v>
      </c>
      <c r="C3" s="259">
        <v>698.70615775001932</v>
      </c>
      <c r="D3" s="259">
        <v>-19.250999999999976</v>
      </c>
      <c r="E3" s="259">
        <v>22.484070765805583</v>
      </c>
      <c r="F3" s="259">
        <v>30.68379862957454</v>
      </c>
      <c r="G3" s="259">
        <v>591.06441309996126</v>
      </c>
      <c r="H3" s="259">
        <v>0.63599999999996726</v>
      </c>
      <c r="I3" s="259">
        <v>-19.800000000000011</v>
      </c>
    </row>
    <row r="4" spans="1:9" x14ac:dyDescent="0.2">
      <c r="A4" s="260">
        <v>44286</v>
      </c>
      <c r="B4" s="259">
        <v>-66.570250475374905</v>
      </c>
      <c r="C4" s="259">
        <v>735.77787802470243</v>
      </c>
      <c r="D4" s="259">
        <v>-18.249119132365195</v>
      </c>
      <c r="E4" s="259">
        <v>22.921577670592825</v>
      </c>
      <c r="F4" s="259">
        <v>66.012511731550148</v>
      </c>
      <c r="G4" s="259">
        <v>1201.8936191406992</v>
      </c>
      <c r="H4" s="259">
        <v>181.40020106674513</v>
      </c>
      <c r="I4" s="259">
        <v>118.48521772294498</v>
      </c>
    </row>
    <row r="5" spans="1:9" x14ac:dyDescent="0.2">
      <c r="A5" s="260">
        <v>44377</v>
      </c>
      <c r="B5" s="259">
        <v>-86.402072732203806</v>
      </c>
      <c r="C5" s="259">
        <v>767.5404900116622</v>
      </c>
      <c r="D5" s="259">
        <v>-29.295528487588854</v>
      </c>
      <c r="E5" s="259">
        <v>22.760036045087944</v>
      </c>
      <c r="F5" s="259">
        <v>101.61723848447548</v>
      </c>
      <c r="G5" s="259">
        <v>854.05661636033483</v>
      </c>
      <c r="H5" s="259">
        <v>178.52885638089663</v>
      </c>
      <c r="I5" s="259">
        <v>91.070987120173811</v>
      </c>
    </row>
    <row r="6" spans="1:9" x14ac:dyDescent="0.2">
      <c r="A6" s="260">
        <v>44469</v>
      </c>
      <c r="B6" s="259">
        <v>-113.07723048222294</v>
      </c>
      <c r="C6" s="259">
        <v>790.69510584290015</v>
      </c>
      <c r="D6" s="259">
        <v>-34.116917561397258</v>
      </c>
      <c r="E6" s="259">
        <v>22.928994365806858</v>
      </c>
      <c r="F6" s="259">
        <v>137.50135897728978</v>
      </c>
      <c r="G6" s="259">
        <v>906.03001879956446</v>
      </c>
      <c r="H6" s="259">
        <v>-474.40846011939709</v>
      </c>
      <c r="I6" s="259">
        <v>108.2731768418378</v>
      </c>
    </row>
    <row r="7" spans="1:9" x14ac:dyDescent="0.2">
      <c r="A7" s="260">
        <v>44561</v>
      </c>
      <c r="B7" s="259">
        <v>-105.05755462580441</v>
      </c>
      <c r="C7" s="259">
        <v>777.3682130439189</v>
      </c>
      <c r="D7" s="259">
        <v>-30.059208161437255</v>
      </c>
      <c r="E7" s="259">
        <v>23.39852299466142</v>
      </c>
      <c r="F7" s="259">
        <v>144.44402858127864</v>
      </c>
      <c r="G7" s="259">
        <v>926.50683572140088</v>
      </c>
      <c r="H7" s="259">
        <v>-498.7387987375219</v>
      </c>
      <c r="I7" s="259">
        <v>97.918975558200771</v>
      </c>
    </row>
    <row r="8" spans="1:9" x14ac:dyDescent="0.2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-547.1903606870228</v>
      </c>
      <c r="I8" s="259">
        <v>86.862558765131354</v>
      </c>
    </row>
    <row r="9" spans="1:9" x14ac:dyDescent="0.2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-549.83002927139501</v>
      </c>
      <c r="I9" s="259">
        <v>82.127767407325109</v>
      </c>
    </row>
    <row r="10" spans="1:9" x14ac:dyDescent="0.2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-552.4284100259805</v>
      </c>
      <c r="I10" s="259">
        <v>77.353129721712861</v>
      </c>
    </row>
    <row r="11" spans="1:9" x14ac:dyDescent="0.2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-555.01027564865115</v>
      </c>
      <c r="I11" s="259">
        <v>64.474970584203191</v>
      </c>
    </row>
    <row r="12" spans="1:9" x14ac:dyDescent="0.2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-557.58663622735014</v>
      </c>
      <c r="I12" s="259">
        <v>51.59860482993048</v>
      </c>
    </row>
    <row r="13" spans="1:9" x14ac:dyDescent="0.2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-560.17125437200662</v>
      </c>
      <c r="I13" s="259">
        <v>55.115350410659346</v>
      </c>
    </row>
    <row r="14" spans="1:9" x14ac:dyDescent="0.2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-562.78064521453507</v>
      </c>
      <c r="I14" s="259">
        <v>41.140887976761235</v>
      </c>
    </row>
    <row r="15" spans="1:9" x14ac:dyDescent="0.2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-565.41480875493562</v>
      </c>
      <c r="I15" s="259">
        <v>36.20171054730281</v>
      </c>
    </row>
    <row r="16" spans="1:9" x14ac:dyDescent="0.2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-568.06548742725101</v>
      </c>
      <c r="I16" s="259">
        <v>36.828990157049986</v>
      </c>
    </row>
    <row r="17" spans="1:9" x14ac:dyDescent="0.2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-570.71066105559476</v>
      </c>
      <c r="I17" s="259">
        <v>37.463678233921371</v>
      </c>
    </row>
    <row r="18" spans="1:9" x14ac:dyDescent="0.2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-573.36409224989586</v>
      </c>
      <c r="I18" s="259">
        <v>38.110892014683543</v>
      </c>
    </row>
    <row r="19" spans="1:9" x14ac:dyDescent="0.2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-576.02302848816862</v>
      </c>
      <c r="I19" s="259">
        <v>38.157160115537408</v>
      </c>
    </row>
    <row r="20" spans="1:9" x14ac:dyDescent="0.2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-578.67921220445555</v>
      </c>
      <c r="I20" s="259">
        <v>38.208074215356021</v>
      </c>
    </row>
    <row r="21" spans="1:9" x14ac:dyDescent="0.2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-581.30236565691303</v>
      </c>
      <c r="I21" s="259">
        <v>38.264934161420854</v>
      </c>
    </row>
    <row r="22" spans="1:9" x14ac:dyDescent="0.2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-583.90625145546994</v>
      </c>
      <c r="I22" s="259">
        <v>38.326825369819289</v>
      </c>
    </row>
    <row r="23" spans="1:9" x14ac:dyDescent="0.2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-586.4908696001263</v>
      </c>
      <c r="I23" s="259">
        <v>38.401387580592541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baseColWidth="10" defaultColWidth="8.83203125" defaultRowHeight="15" x14ac:dyDescent="0.2"/>
  <sheetData>
    <row r="1" spans="1:10" s="297" customFormat="1" x14ac:dyDescent="0.2">
      <c r="A1" s="297" t="s">
        <v>321</v>
      </c>
      <c r="B1" s="297" t="s">
        <v>322</v>
      </c>
      <c r="C1" s="297" t="s">
        <v>323</v>
      </c>
      <c r="D1" s="297" t="s">
        <v>324</v>
      </c>
      <c r="E1" s="297" t="s">
        <v>325</v>
      </c>
      <c r="F1" s="297" t="s">
        <v>326</v>
      </c>
      <c r="G1" s="297" t="s">
        <v>327</v>
      </c>
      <c r="H1" s="297" t="s">
        <v>328</v>
      </c>
      <c r="I1" s="297" t="s">
        <v>329</v>
      </c>
      <c r="J1" s="297" t="s">
        <v>374</v>
      </c>
    </row>
    <row r="2" spans="1:10" x14ac:dyDescent="0.2">
      <c r="A2" t="s">
        <v>291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2">
      <c r="A3" t="s">
        <v>292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2">
      <c r="A4" t="s">
        <v>293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2">
      <c r="A5" t="s">
        <v>294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2">
      <c r="A6" t="s">
        <v>295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2">
      <c r="A7" t="s">
        <v>296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2">
      <c r="A8" t="s">
        <v>297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2">
      <c r="A9" t="s">
        <v>298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2">
      <c r="A10" t="s">
        <v>330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2">
      <c r="A11" t="s">
        <v>331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2">
      <c r="A12" t="s">
        <v>300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2">
      <c r="A13" t="s">
        <v>301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2">
      <c r="A14" t="s">
        <v>302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2">
      <c r="A15" t="s">
        <v>303</v>
      </c>
      <c r="H15">
        <v>1078100</v>
      </c>
      <c r="I15">
        <v>15600</v>
      </c>
      <c r="J15">
        <v>5000</v>
      </c>
    </row>
    <row r="16" spans="1:10" x14ac:dyDescent="0.2">
      <c r="A16" t="s">
        <v>304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2">
      <c r="A17" t="s">
        <v>305</v>
      </c>
      <c r="H17">
        <v>19100</v>
      </c>
      <c r="I17">
        <v>27000</v>
      </c>
      <c r="J17">
        <v>10800</v>
      </c>
    </row>
    <row r="18" spans="1:10" x14ac:dyDescent="0.2">
      <c r="A18" t="s">
        <v>306</v>
      </c>
      <c r="H18">
        <v>160900</v>
      </c>
      <c r="I18">
        <v>58400</v>
      </c>
      <c r="J18">
        <v>34500</v>
      </c>
    </row>
    <row r="19" spans="1:10" x14ac:dyDescent="0.2">
      <c r="A19" t="s">
        <v>307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2">
      <c r="A20" t="s">
        <v>308</v>
      </c>
      <c r="H20">
        <v>609300</v>
      </c>
      <c r="I20">
        <v>865600</v>
      </c>
      <c r="J20">
        <v>260300</v>
      </c>
    </row>
    <row r="21" spans="1:10" x14ac:dyDescent="0.2">
      <c r="A21" t="s">
        <v>309</v>
      </c>
      <c r="H21">
        <v>63800</v>
      </c>
      <c r="I21">
        <v>15000</v>
      </c>
      <c r="J21">
        <v>100</v>
      </c>
    </row>
    <row r="22" spans="1:10" x14ac:dyDescent="0.2">
      <c r="A22" t="s">
        <v>310</v>
      </c>
      <c r="H22">
        <v>73300</v>
      </c>
      <c r="I22">
        <v>73300</v>
      </c>
      <c r="J22">
        <v>73300</v>
      </c>
    </row>
    <row r="23" spans="1:10" x14ac:dyDescent="0.2">
      <c r="A23" t="s">
        <v>311</v>
      </c>
      <c r="H23">
        <v>140000</v>
      </c>
      <c r="I23">
        <v>140000</v>
      </c>
      <c r="J23">
        <v>140000</v>
      </c>
    </row>
    <row r="24" spans="1:10" x14ac:dyDescent="0.2">
      <c r="A24" t="s">
        <v>312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2">
      <c r="A25" t="s">
        <v>315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2">
      <c r="A26" t="s">
        <v>314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2">
      <c r="A27" t="s">
        <v>316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2">
      <c r="A28" t="s">
        <v>317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2">
      <c r="A29" t="s">
        <v>318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2">
      <c r="A30" t="s">
        <v>319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2">
      <c r="A31" t="s">
        <v>320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2">
      <c r="A32" t="s">
        <v>299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2">
      <c r="A33" t="s">
        <v>333</v>
      </c>
      <c r="H33">
        <v>277100</v>
      </c>
      <c r="I33">
        <v>228300</v>
      </c>
      <c r="J33">
        <v>213400</v>
      </c>
    </row>
    <row r="34" spans="1:10" x14ac:dyDescent="0.2">
      <c r="A34" t="s">
        <v>313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255</v>
      </c>
      <c r="B1" t="s">
        <v>287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231</v>
      </c>
    </row>
    <row r="3" spans="1:16" x14ac:dyDescent="0.2">
      <c r="B3" s="157" t="s">
        <v>232</v>
      </c>
    </row>
    <row r="4" spans="1:16" x14ac:dyDescent="0.2">
      <c r="A4" s="157" t="s">
        <v>233</v>
      </c>
      <c r="C4" s="157" t="s">
        <v>234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235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236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237</v>
      </c>
      <c r="C8" s="160"/>
      <c r="D8" s="161">
        <f>SUMPRODUCT(B5:B6,C5:C6)</f>
        <v>0.45</v>
      </c>
    </row>
    <row r="9" spans="1:16" x14ac:dyDescent="0.2">
      <c r="B9" s="157" t="s">
        <v>238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239</v>
      </c>
      <c r="C14" s="157" t="s">
        <v>234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236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240</v>
      </c>
      <c r="D19" s="157">
        <f>SUMPRODUCT(C15:C17,B15:B17)</f>
        <v>0.86186821348990206</v>
      </c>
    </row>
    <row r="20" spans="1:12" x14ac:dyDescent="0.2">
      <c r="B20" s="161" t="s">
        <v>238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241</v>
      </c>
    </row>
    <row r="23" spans="1:12" x14ac:dyDescent="0.2">
      <c r="A23" s="157" t="s">
        <v>242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243</v>
      </c>
      <c r="C26" s="157">
        <v>1065.5</v>
      </c>
      <c r="D26" s="157">
        <f>C26/C25</f>
        <v>0.18843065822516181</v>
      </c>
    </row>
    <row r="27" spans="1:12" x14ac:dyDescent="0.2">
      <c r="B27" s="157" t="s">
        <v>244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231</v>
      </c>
    </row>
    <row r="3" spans="1:16" x14ac:dyDescent="0.2">
      <c r="B3" s="157" t="s">
        <v>232</v>
      </c>
    </row>
    <row r="4" spans="1:16" x14ac:dyDescent="0.2">
      <c r="A4" s="157" t="s">
        <v>233</v>
      </c>
      <c r="C4" s="157" t="s">
        <v>234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235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236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237</v>
      </c>
      <c r="C8" s="160"/>
      <c r="D8" s="161">
        <f>SUMPRODUCT(B5:B6,C5:C6)</f>
        <v>0.52500000000000002</v>
      </c>
    </row>
    <row r="9" spans="1:16" x14ac:dyDescent="0.2">
      <c r="B9" s="157" t="s">
        <v>238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239</v>
      </c>
      <c r="C14" s="157" t="s">
        <v>234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236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240</v>
      </c>
      <c r="D19" s="157">
        <f>SUMPRODUCT(C15:C17,B15:B17)</f>
        <v>0.86186821348990206</v>
      </c>
    </row>
    <row r="20" spans="1:12" x14ac:dyDescent="0.2">
      <c r="B20" s="161" t="s">
        <v>238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241</v>
      </c>
    </row>
    <row r="23" spans="1:12" x14ac:dyDescent="0.2">
      <c r="A23" s="157" t="s">
        <v>242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243</v>
      </c>
      <c r="C26" s="157">
        <v>1065.5</v>
      </c>
      <c r="D26" s="157">
        <f>C26/C25</f>
        <v>0.18843065822516181</v>
      </c>
    </row>
    <row r="27" spans="1:12" x14ac:dyDescent="0.2">
      <c r="B27" s="157" t="s">
        <v>244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58" t="s">
        <v>32</v>
      </c>
      <c r="B5" s="359"/>
      <c r="C5" s="359"/>
      <c r="D5" s="359"/>
      <c r="E5" s="359"/>
      <c r="F5" s="359"/>
      <c r="G5" s="359"/>
      <c r="H5" s="359"/>
      <c r="I5" s="359"/>
      <c r="J5" s="359"/>
      <c r="K5" s="359"/>
      <c r="L5" s="359"/>
      <c r="M5" s="359"/>
      <c r="N5" s="359"/>
      <c r="O5" s="359"/>
      <c r="P5" s="359"/>
      <c r="Q5" s="359"/>
      <c r="R5" s="359"/>
      <c r="S5" s="359"/>
    </row>
    <row r="6" spans="1:19" s="6" customFormat="1" ht="15" customHeight="1" x14ac:dyDescent="0.15">
      <c r="A6" s="360" t="s">
        <v>33</v>
      </c>
      <c r="B6" s="360"/>
      <c r="C6" s="360"/>
      <c r="D6" s="360"/>
      <c r="E6" s="360"/>
      <c r="F6" s="360"/>
      <c r="G6" s="360"/>
      <c r="H6" s="360"/>
      <c r="I6" s="360"/>
      <c r="J6" s="360"/>
      <c r="K6" s="360"/>
      <c r="L6" s="360"/>
      <c r="M6" s="360"/>
      <c r="N6" s="360"/>
      <c r="O6" s="360"/>
      <c r="P6" s="360"/>
      <c r="Q6" s="360"/>
      <c r="R6" s="360"/>
      <c r="S6" s="360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61"/>
      <c r="S8" s="362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15">
      <c r="A12" s="130"/>
      <c r="B12" s="28"/>
      <c r="C12" s="28"/>
      <c r="D12" s="28" t="s">
        <v>219</v>
      </c>
      <c r="E12" s="28" t="s">
        <v>217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225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218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224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223</v>
      </c>
    </row>
    <row r="15" spans="1:19" x14ac:dyDescent="0.2">
      <c r="A15" t="s">
        <v>222</v>
      </c>
      <c r="F15" s="94">
        <f>main!K105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2">
      <c r="A19" t="s">
        <v>220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42" t="s">
        <v>206</v>
      </c>
      <c r="B1" s="342"/>
      <c r="C1" s="35"/>
      <c r="H1"/>
      <c r="I1"/>
      <c r="J1"/>
      <c r="X1" t="s">
        <v>28</v>
      </c>
      <c r="Z1" s="363" t="s">
        <v>84</v>
      </c>
      <c r="AA1" s="363"/>
      <c r="AB1" s="363"/>
      <c r="AC1" s="341"/>
      <c r="AD1" s="341"/>
      <c r="AE1" s="341"/>
      <c r="AF1" s="341"/>
    </row>
    <row r="2" spans="1:32" x14ac:dyDescent="0.2">
      <c r="A2" s="364" t="s">
        <v>191</v>
      </c>
      <c r="B2" s="107"/>
      <c r="C2" t="s">
        <v>192</v>
      </c>
    </row>
    <row r="3" spans="1:32" x14ac:dyDescent="0.2">
      <c r="A3" s="364"/>
      <c r="B3" s="108"/>
      <c r="C3" t="s">
        <v>193</v>
      </c>
    </row>
    <row r="4" spans="1:32" x14ac:dyDescent="0.2">
      <c r="A4" s="364"/>
      <c r="B4" s="109"/>
      <c r="C4" t="s">
        <v>194</v>
      </c>
    </row>
    <row r="5" spans="1:32" x14ac:dyDescent="0.2">
      <c r="A5" s="364"/>
      <c r="B5" s="98"/>
      <c r="C5" t="s">
        <v>181</v>
      </c>
    </row>
    <row r="7" spans="1:32" x14ac:dyDescent="0.2">
      <c r="C7" s="354" t="s">
        <v>160</v>
      </c>
      <c r="D7" s="355"/>
      <c r="E7" s="355"/>
      <c r="F7" s="356"/>
      <c r="G7" s="354" t="s">
        <v>165</v>
      </c>
      <c r="H7" s="355"/>
      <c r="I7" s="355"/>
      <c r="J7" s="356"/>
      <c r="K7" s="354" t="s">
        <v>176</v>
      </c>
      <c r="L7" s="355"/>
      <c r="M7" s="355"/>
      <c r="N7" s="356"/>
    </row>
    <row r="8" spans="1:32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184</v>
      </c>
      <c r="B23" s="110"/>
    </row>
    <row r="24" spans="1:12" x14ac:dyDescent="0.2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187</v>
      </c>
      <c r="B31" s="110"/>
    </row>
    <row r="32" spans="1:12" x14ac:dyDescent="0.2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188</v>
      </c>
      <c r="B53" s="105"/>
    </row>
    <row r="54" spans="1:12" x14ac:dyDescent="0.2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189</v>
      </c>
      <c r="B61" s="105"/>
    </row>
    <row r="62" spans="1:12" x14ac:dyDescent="0.2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main!L55/1000</f>
        <v>1086.548</v>
      </c>
      <c r="F70" s="102">
        <f>main!M55/1000</f>
        <v>1213.48</v>
      </c>
      <c r="G70" s="102">
        <f>main!N55/1000</f>
        <v>610.53599999999994</v>
      </c>
      <c r="H70" s="102">
        <f>main!O55/1000</f>
        <v>794.08358333333342</v>
      </c>
      <c r="I70" s="102">
        <f>main!P55/1000</f>
        <v>794.08358333333342</v>
      </c>
      <c r="J70" s="102">
        <f>main!Q55/1000</f>
        <v>144.08358333333331</v>
      </c>
      <c r="K70" s="102">
        <f>main!R55/1000</f>
        <v>122.75024999999999</v>
      </c>
    </row>
    <row r="71" spans="1:11" x14ac:dyDescent="0.2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65" t="s">
        <v>104</v>
      </c>
      <c r="B2" s="365"/>
      <c r="C2" s="365"/>
      <c r="D2" s="365"/>
      <c r="E2" s="365"/>
      <c r="F2" s="365"/>
      <c r="G2" s="365"/>
      <c r="H2" s="365"/>
      <c r="I2" s="365"/>
      <c r="J2" s="365"/>
      <c r="K2" s="77"/>
    </row>
    <row r="3" spans="1:24" x14ac:dyDescent="0.2">
      <c r="A3" s="365" t="s">
        <v>105</v>
      </c>
      <c r="B3" s="365"/>
      <c r="C3" s="365"/>
      <c r="D3" s="365"/>
      <c r="E3" s="365"/>
      <c r="F3" s="365"/>
      <c r="G3" s="365"/>
      <c r="H3" s="365"/>
      <c r="I3" s="365"/>
      <c r="J3" s="365"/>
      <c r="K3" s="77"/>
    </row>
    <row r="4" spans="1:24" ht="16" thickBot="1" x14ac:dyDescent="0.25">
      <c r="A4" s="366"/>
      <c r="B4" s="366"/>
      <c r="C4" s="366"/>
      <c r="D4" s="366"/>
      <c r="E4" s="366"/>
      <c r="F4" s="366"/>
      <c r="G4" s="366"/>
      <c r="H4" s="366"/>
      <c r="I4" s="366"/>
      <c r="J4" s="366"/>
      <c r="K4" s="371" t="s">
        <v>160</v>
      </c>
      <c r="L4" s="371"/>
      <c r="M4" s="371"/>
      <c r="N4" s="371"/>
    </row>
    <row r="5" spans="1:24" x14ac:dyDescent="0.2">
      <c r="A5" s="47"/>
      <c r="B5" s="48"/>
      <c r="C5" s="367" t="s">
        <v>106</v>
      </c>
      <c r="D5" s="368"/>
      <c r="E5" s="368"/>
      <c r="F5" s="368"/>
      <c r="G5" s="368"/>
      <c r="H5" s="368"/>
      <c r="I5" s="368"/>
      <c r="J5" s="369"/>
      <c r="K5" s="78"/>
      <c r="L5" s="370" t="s">
        <v>107</v>
      </c>
      <c r="M5" s="341"/>
      <c r="N5" s="341"/>
    </row>
    <row r="6" spans="1:24" x14ac:dyDescent="0.2">
      <c r="A6" s="1" t="s">
        <v>109</v>
      </c>
      <c r="B6" s="49"/>
      <c r="C6" s="373">
        <v>2020</v>
      </c>
      <c r="D6" s="374"/>
      <c r="E6" s="374"/>
      <c r="F6" s="374"/>
      <c r="G6" s="374"/>
      <c r="H6" s="374"/>
      <c r="I6" s="374"/>
      <c r="J6" s="375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41" t="s">
        <v>9</v>
      </c>
      <c r="L22" s="341"/>
      <c r="M22" s="341"/>
      <c r="N22" s="341"/>
      <c r="O22" s="341" t="s">
        <v>10</v>
      </c>
      <c r="P22" s="341"/>
      <c r="Q22" s="341"/>
      <c r="R22" s="341"/>
      <c r="S22" s="341" t="s">
        <v>11</v>
      </c>
      <c r="T22" s="341"/>
      <c r="U22" s="341"/>
      <c r="V22" s="341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76" t="s">
        <v>108</v>
      </c>
      <c r="L23" s="376"/>
      <c r="M23" s="376"/>
      <c r="N23" s="376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72" t="s">
        <v>257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72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72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72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72" t="s">
        <v>141</v>
      </c>
      <c r="J33" s="85" t="s">
        <v>257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72"/>
      <c r="J34" t="s">
        <v>258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137.33333333333337</v>
      </c>
      <c r="R35" s="72"/>
    </row>
    <row r="36" spans="3:23" x14ac:dyDescent="0.2">
      <c r="C36" t="s">
        <v>266</v>
      </c>
    </row>
    <row r="37" spans="3:23" x14ac:dyDescent="0.2">
      <c r="C37" t="s">
        <v>267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375</v>
      </c>
    </row>
    <row r="43" spans="3:23" x14ac:dyDescent="0.2">
      <c r="N43" s="82" t="s">
        <v>144</v>
      </c>
      <c r="O43" s="72">
        <v>15</v>
      </c>
    </row>
    <row r="44" spans="3:23" x14ac:dyDescent="0.2">
      <c r="N44" s="82" t="s">
        <v>143</v>
      </c>
      <c r="O44" s="72">
        <v>10</v>
      </c>
    </row>
    <row r="45" spans="3:23" x14ac:dyDescent="0.2">
      <c r="N45" s="82" t="s">
        <v>142</v>
      </c>
      <c r="O45" s="72">
        <v>5</v>
      </c>
    </row>
    <row r="46" spans="3:23" x14ac:dyDescent="0.2">
      <c r="N46" s="35" t="s">
        <v>140</v>
      </c>
      <c r="O46" s="72">
        <v>2</v>
      </c>
    </row>
    <row r="47" spans="3:23" x14ac:dyDescent="0.2">
      <c r="N47" s="316" t="s">
        <v>257</v>
      </c>
      <c r="O47">
        <v>32</v>
      </c>
    </row>
    <row r="48" spans="3:23" x14ac:dyDescent="0.2">
      <c r="N48" t="s">
        <v>258</v>
      </c>
      <c r="O48">
        <v>36.75</v>
      </c>
    </row>
    <row r="49" spans="14:15" x14ac:dyDescent="0.2">
      <c r="N49" t="s">
        <v>145</v>
      </c>
      <c r="O49">
        <v>47</v>
      </c>
    </row>
    <row r="50" spans="14:15" x14ac:dyDescent="0.2">
      <c r="N50" t="s">
        <v>129</v>
      </c>
      <c r="O50">
        <v>21.75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80" t="s">
        <v>87</v>
      </c>
      <c r="F6" s="380"/>
      <c r="G6" s="380"/>
      <c r="H6" s="380"/>
      <c r="I6" s="380"/>
      <c r="J6" s="380"/>
      <c r="K6" s="380"/>
      <c r="L6" s="380"/>
      <c r="M6" s="380"/>
      <c r="N6" s="380"/>
      <c r="O6" s="380"/>
      <c r="P6" s="380"/>
      <c r="Q6" s="380"/>
      <c r="R6" s="380"/>
    </row>
    <row r="7" spans="1:18" x14ac:dyDescent="0.2">
      <c r="A7" s="377" t="s">
        <v>88</v>
      </c>
      <c r="B7" s="377"/>
      <c r="C7" s="377"/>
      <c r="D7" s="377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77" t="s">
        <v>89</v>
      </c>
      <c r="C8" s="377"/>
      <c r="D8" s="377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77" t="s">
        <v>90</v>
      </c>
      <c r="C9" s="377"/>
      <c r="D9" s="377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77" t="s">
        <v>91</v>
      </c>
      <c r="C10" s="377"/>
      <c r="D10" s="377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77" t="s">
        <v>58</v>
      </c>
      <c r="C11" s="377"/>
      <c r="D11" s="377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77" t="s">
        <v>34</v>
      </c>
      <c r="D13" s="377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77" t="s">
        <v>89</v>
      </c>
      <c r="C19" s="377"/>
      <c r="D19" s="377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77" t="s">
        <v>90</v>
      </c>
      <c r="C20" s="377"/>
      <c r="D20" s="377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77" t="s">
        <v>91</v>
      </c>
      <c r="C21" s="377"/>
      <c r="D21" s="377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77" t="s">
        <v>58</v>
      </c>
      <c r="C22" s="377"/>
      <c r="D22" s="377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78" t="s">
        <v>95</v>
      </c>
      <c r="I27" s="378"/>
      <c r="J27" s="378"/>
      <c r="K27" s="378"/>
      <c r="L27" s="378"/>
      <c r="M27" s="378"/>
      <c r="N27" s="378"/>
      <c r="O27" s="378"/>
      <c r="P27" s="378"/>
      <c r="Q27" s="378"/>
      <c r="R27" s="378"/>
      <c r="S27" s="378"/>
      <c r="T27" s="378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79" t="s">
        <v>99</v>
      </c>
      <c r="G37" s="379"/>
      <c r="H37" s="379"/>
      <c r="I37" s="379"/>
      <c r="J37" s="379"/>
      <c r="K37" s="379"/>
      <c r="L37" s="379"/>
      <c r="M37" s="379"/>
      <c r="N37" s="379"/>
      <c r="O37" s="379"/>
      <c r="P37" s="379"/>
      <c r="Q37" s="379"/>
      <c r="R37" s="379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78" t="s">
        <v>101</v>
      </c>
      <c r="G48" s="378"/>
      <c r="H48" s="378"/>
      <c r="I48" s="378"/>
      <c r="J48" s="378"/>
      <c r="K48" s="378"/>
      <c r="L48" s="378"/>
      <c r="M48" s="378"/>
      <c r="N48" s="378"/>
      <c r="O48" s="378"/>
      <c r="P48" s="378"/>
      <c r="Q48" s="378"/>
      <c r="R48" s="378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58" t="s">
        <v>32</v>
      </c>
      <c r="B5" s="359"/>
      <c r="C5" s="359"/>
      <c r="D5" s="359"/>
      <c r="E5" s="359"/>
      <c r="F5" s="359"/>
      <c r="G5" s="359"/>
      <c r="H5" s="359"/>
      <c r="I5" s="359"/>
      <c r="J5" s="359"/>
      <c r="K5" s="359"/>
      <c r="L5" s="359"/>
      <c r="M5" s="359"/>
      <c r="N5" s="359"/>
      <c r="O5" s="359"/>
      <c r="P5" s="359"/>
      <c r="Q5" s="359"/>
      <c r="R5" s="359"/>
      <c r="S5" s="359"/>
    </row>
    <row r="6" spans="1:19" s="6" customFormat="1" ht="15" customHeight="1" x14ac:dyDescent="0.15">
      <c r="A6" s="360" t="s">
        <v>33</v>
      </c>
      <c r="B6" s="360"/>
      <c r="C6" s="360"/>
      <c r="D6" s="360"/>
      <c r="E6" s="360"/>
      <c r="F6" s="360"/>
      <c r="G6" s="360"/>
      <c r="H6" s="360"/>
      <c r="I6" s="360"/>
      <c r="J6" s="360"/>
      <c r="K6" s="360"/>
      <c r="L6" s="360"/>
      <c r="M6" s="360"/>
      <c r="N6" s="360"/>
      <c r="O6" s="360"/>
      <c r="P6" s="360"/>
      <c r="Q6" s="360"/>
      <c r="R6" s="360"/>
      <c r="S6" s="360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61" t="s">
        <v>34</v>
      </c>
      <c r="S8" s="362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81" t="s">
        <v>42</v>
      </c>
      <c r="E75" s="382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cac5d118-ba7b-4807-b700-df6f95cfff50"/>
    <ds:schemaRef ds:uri="http://schemas.microsoft.com/office/2006/metadata/properties"/>
    <ds:schemaRef ds:uri="http://schemas.openxmlformats.org/package/2006/metadata/core-properties"/>
    <ds:schemaRef ds:uri="66951ee6-cd93-49c7-9437-e871b2a117d6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2021-05-06T14:06:31Z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