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13_ncr:1_{10442B08-248B-4DC4-B72D-727D82BF2B0D}" xr6:coauthVersionLast="44" xr6:coauthVersionMax="46" xr10:uidLastSave="{00000000-0000-0000-0000-000000000000}"/>
  <bookViews>
    <workbookView xWindow="-110" yWindow="-110" windowWidth="19420" windowHeight="10420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3" i="1" l="1"/>
  <c r="Q64" i="1"/>
  <c r="P63" i="1" l="1"/>
  <c r="C15" i="17"/>
  <c r="B15" i="17"/>
  <c r="C14" i="17"/>
  <c r="B14" i="17"/>
  <c r="C13" i="17"/>
  <c r="D13" i="17"/>
  <c r="B13" i="17"/>
  <c r="D12" i="17"/>
  <c r="C12" i="17"/>
  <c r="B12" i="17"/>
  <c r="C9" i="17"/>
  <c r="D9" i="17"/>
  <c r="E9" i="17"/>
  <c r="F9" i="17"/>
  <c r="G9" i="17"/>
  <c r="H9" i="17"/>
  <c r="I9" i="17"/>
  <c r="J9" i="17"/>
  <c r="B9" i="17"/>
  <c r="F7" i="17"/>
  <c r="G7" i="17"/>
  <c r="H7" i="17"/>
  <c r="I7" i="17"/>
  <c r="J7" i="17"/>
  <c r="E7" i="17"/>
  <c r="E6" i="17"/>
  <c r="F6" i="17"/>
  <c r="G6" i="17"/>
  <c r="H6" i="17"/>
  <c r="I6" i="17"/>
  <c r="D6" i="17"/>
  <c r="D5" i="17"/>
  <c r="E5" i="17"/>
  <c r="F5" i="17"/>
  <c r="G5" i="17"/>
  <c r="H5" i="17"/>
  <c r="C5" i="17"/>
  <c r="C4" i="17"/>
  <c r="D4" i="17"/>
  <c r="E4" i="17"/>
  <c r="F4" i="17"/>
  <c r="G4" i="17"/>
  <c r="B4" i="17"/>
  <c r="E2" i="17"/>
  <c r="O70" i="1" l="1"/>
  <c r="O71" i="1"/>
  <c r="O68" i="1"/>
  <c r="O72" i="1"/>
  <c r="O80" i="1" l="1"/>
  <c r="M72" i="1"/>
  <c r="L72" i="1"/>
  <c r="O11" i="9"/>
  <c r="O12" i="9"/>
  <c r="O13" i="9"/>
  <c r="O10" i="9"/>
  <c r="O7" i="9"/>
  <c r="O8" i="9"/>
  <c r="O9" i="9"/>
  <c r="O6" i="9"/>
  <c r="L73" i="1" l="1"/>
  <c r="L69" i="1" l="1"/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3" i="1" l="1"/>
  <c r="M83" i="1" s="1"/>
  <c r="N73" i="1"/>
  <c r="O90" i="1"/>
  <c r="O91" i="1"/>
  <c r="O92" i="1"/>
  <c r="D22" i="5"/>
  <c r="D29" i="5"/>
  <c r="D36" i="5"/>
  <c r="D42" i="5"/>
  <c r="D48" i="5"/>
  <c r="D55" i="5"/>
  <c r="O74" i="1"/>
  <c r="P74" i="1"/>
  <c r="Q74" i="1"/>
  <c r="R74" i="1"/>
  <c r="S74" i="1"/>
  <c r="O89" i="1" l="1"/>
  <c r="L8" i="1"/>
  <c r="K8" i="1"/>
  <c r="J8" i="1"/>
  <c r="I8" i="1"/>
  <c r="H8" i="1"/>
  <c r="G8" i="1"/>
  <c r="M13" i="4" l="1"/>
  <c r="M12" i="4"/>
  <c r="M11" i="4"/>
  <c r="M10" i="4"/>
  <c r="T74" i="1"/>
  <c r="U74" i="1"/>
  <c r="V74" i="1"/>
  <c r="W74" i="1"/>
  <c r="X74" i="1"/>
  <c r="Y74" i="1"/>
  <c r="Z74" i="1"/>
  <c r="I62" i="5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2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4" i="1"/>
  <c r="N108" i="1"/>
  <c r="N95" i="1"/>
  <c r="N26" i="1"/>
  <c r="G35" i="5" s="1"/>
  <c r="G37" i="5" s="1"/>
  <c r="N102" i="1"/>
  <c r="N98" i="1"/>
  <c r="O98" i="1" s="1"/>
  <c r="P98" i="1" s="1"/>
  <c r="Q98" i="1" s="1"/>
  <c r="R98" i="1" s="1"/>
  <c r="S98" i="1" s="1"/>
  <c r="N112" i="1"/>
  <c r="N70" i="1"/>
  <c r="N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58" i="1"/>
  <c r="N47" i="1"/>
  <c r="N40" i="1"/>
  <c r="N11" i="1"/>
  <c r="N6" i="1"/>
  <c r="N30" i="1" s="1"/>
  <c r="G41" i="5" s="1"/>
  <c r="G43" i="5" s="1"/>
  <c r="N88" i="1"/>
  <c r="N83" i="1" l="1"/>
  <c r="F21" i="5"/>
  <c r="F24" i="5" s="1"/>
  <c r="G47" i="5"/>
  <c r="G50" i="5" s="1"/>
  <c r="N55" i="1"/>
  <c r="N50" i="1"/>
  <c r="N31" i="1"/>
  <c r="O26" i="4"/>
  <c r="N26" i="4"/>
  <c r="L112" i="1"/>
  <c r="D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P92" i="1" s="1"/>
  <c r="C8" i="16"/>
  <c r="Q91" i="1" s="1"/>
  <c r="C7" i="16"/>
  <c r="C14" i="16"/>
  <c r="C12" i="16"/>
  <c r="P64" i="1" s="1"/>
  <c r="C11" i="16"/>
  <c r="C6" i="16"/>
  <c r="C5" i="16"/>
  <c r="T80" i="1" s="1"/>
  <c r="C4" i="16"/>
  <c r="O37" i="1" s="1"/>
  <c r="P5" i="9" s="1"/>
  <c r="C3" i="16"/>
  <c r="O45" i="1" s="1"/>
  <c r="C2" i="16"/>
  <c r="R92" i="1"/>
  <c r="AD93" i="1"/>
  <c r="AC93" i="1"/>
  <c r="AI93" i="1"/>
  <c r="AJ93" i="1"/>
  <c r="AK93" i="1"/>
  <c r="W94" i="1"/>
  <c r="X94" i="1"/>
  <c r="Y94" i="1"/>
  <c r="Z94" i="1"/>
  <c r="P79" i="1" l="1"/>
  <c r="P90" i="1"/>
  <c r="O79" i="1"/>
  <c r="W79" i="1"/>
  <c r="W80" i="1"/>
  <c r="T66" i="1"/>
  <c r="X80" i="1"/>
  <c r="Q90" i="1"/>
  <c r="Q92" i="1"/>
  <c r="Z80" i="1"/>
  <c r="X79" i="1"/>
  <c r="V81" i="1"/>
  <c r="Y79" i="1"/>
  <c r="W81" i="1"/>
  <c r="Z79" i="1"/>
  <c r="X81" i="1"/>
  <c r="Y80" i="1"/>
  <c r="Y81" i="1"/>
  <c r="R90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R91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P9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89" i="1" l="1"/>
  <c r="Q89" i="1"/>
  <c r="V78" i="1"/>
  <c r="V73" i="1" s="1"/>
  <c r="O55" i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R89" i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O103" i="1"/>
  <c r="P103" i="1" s="1"/>
  <c r="Q103" i="1" s="1"/>
  <c r="R103" i="1" s="1"/>
  <c r="S103" i="1" s="1"/>
  <c r="T103" i="1" s="1"/>
  <c r="U103" i="1" s="1"/>
  <c r="V103" i="1" s="1"/>
  <c r="L15" i="7"/>
  <c r="L13" i="7" s="1"/>
  <c r="AD100" i="1"/>
  <c r="F111" i="1"/>
  <c r="F113" i="1" s="1"/>
  <c r="L47" i="1"/>
  <c r="L6" i="10" l="1"/>
  <c r="G24" i="11" s="1"/>
  <c r="G27" i="11" s="1"/>
  <c r="O100" i="1"/>
  <c r="O93" i="1" s="1"/>
  <c r="O95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3" i="1"/>
  <c r="I56" i="6"/>
  <c r="I58" i="6" s="1"/>
  <c r="J54" i="6"/>
  <c r="U100" i="1"/>
  <c r="T83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N71" i="5" s="1"/>
  <c r="O83" i="1"/>
  <c r="P83" i="1"/>
  <c r="Q83" i="1"/>
  <c r="R83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3" i="1"/>
  <c r="V112" i="1" s="1"/>
  <c r="P24" i="11"/>
  <c r="O27" i="11"/>
  <c r="L49" i="5"/>
  <c r="V83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3" i="1" l="1"/>
  <c r="P68" i="5" s="1"/>
  <c r="P71" i="5" s="1"/>
  <c r="H2" i="12" a="1"/>
  <c r="H12" i="12" s="1"/>
  <c r="Q24" i="11"/>
  <c r="P27" i="11"/>
  <c r="H3" i="9" a="1"/>
  <c r="X83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2" i="1"/>
  <c r="G21" i="5" s="1"/>
  <c r="G24" i="5" s="1"/>
  <c r="H68" i="5"/>
  <c r="H47" i="5"/>
  <c r="H50" i="5" s="1"/>
  <c r="H71" i="5" l="1"/>
  <c r="J5" i="9"/>
  <c r="I68" i="5"/>
  <c r="I71" i="5" s="1"/>
  <c r="P112" i="1"/>
  <c r="H21" i="5" s="1"/>
  <c r="H24" i="5" s="1"/>
  <c r="P95" i="1"/>
  <c r="I47" i="5" s="1"/>
  <c r="I50" i="5" s="1"/>
  <c r="J68" i="5" l="1"/>
  <c r="J71" i="5" s="1"/>
  <c r="Q112" i="1"/>
  <c r="I21" i="5" s="1"/>
  <c r="I24" i="5" s="1"/>
  <c r="Q95" i="1"/>
  <c r="J47" i="5" s="1"/>
  <c r="K47" i="5" l="1"/>
  <c r="K50" i="5" s="1"/>
  <c r="J50" i="5"/>
  <c r="K68" i="5"/>
  <c r="K71" i="5" s="1"/>
  <c r="R95" i="1"/>
  <c r="R112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2" i="1"/>
  <c r="K21" i="5" s="1"/>
  <c r="K24" i="5" s="1"/>
  <c r="S95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L21" i="5" s="1"/>
  <c r="L24" i="5" s="1"/>
  <c r="T95" i="1"/>
  <c r="M50" i="5" s="1"/>
  <c r="R47" i="5" l="1"/>
  <c r="Q50" i="5"/>
  <c r="U95" i="1"/>
  <c r="N50" i="5" s="1"/>
  <c r="U112" i="1"/>
  <c r="M21" i="5" s="1"/>
  <c r="M24" i="5" l="1"/>
  <c r="N21" i="5"/>
  <c r="S47" i="5"/>
  <c r="R50" i="5"/>
  <c r="O97" i="1" l="1"/>
  <c r="O21" i="5"/>
  <c r="N24" i="5"/>
  <c r="S50" i="5"/>
  <c r="T47" i="5"/>
  <c r="O111" i="1" l="1"/>
  <c r="M5" i="10"/>
  <c r="H31" i="11" s="1"/>
  <c r="H34" i="11" s="1"/>
  <c r="L5" i="10"/>
  <c r="G31" i="11" s="1"/>
  <c r="G34" i="11" s="1"/>
  <c r="O24" i="5"/>
  <c r="P21" i="5"/>
  <c r="T50" i="5"/>
  <c r="U47" i="5"/>
  <c r="P97" i="1"/>
  <c r="O113" i="1" l="1"/>
  <c r="H28" i="5" s="1"/>
  <c r="H31" i="5" s="1"/>
  <c r="P111" i="1"/>
  <c r="N5" i="10"/>
  <c r="I31" i="11" s="1"/>
  <c r="I34" i="11" s="1"/>
  <c r="Q21" i="5"/>
  <c r="P24" i="5"/>
  <c r="U50" i="5"/>
  <c r="V47" i="5"/>
  <c r="Q97" i="1"/>
  <c r="P113" i="1" l="1"/>
  <c r="I28" i="5" s="1"/>
  <c r="I31" i="5" s="1"/>
  <c r="Q111" i="1"/>
  <c r="O5" i="10"/>
  <c r="J31" i="11" s="1"/>
  <c r="J34" i="11" s="1"/>
  <c r="R21" i="5"/>
  <c r="Q24" i="5"/>
  <c r="W47" i="5"/>
  <c r="V50" i="5"/>
  <c r="R97" i="1"/>
  <c r="Q113" i="1" l="1"/>
  <c r="J28" i="5" s="1"/>
  <c r="J31" i="5" s="1"/>
  <c r="R111" i="1"/>
  <c r="P5" i="10"/>
  <c r="K31" i="11" s="1"/>
  <c r="K34" i="11" s="1"/>
  <c r="R24" i="5"/>
  <c r="S21" i="5"/>
  <c r="X47" i="5"/>
  <c r="W50" i="5"/>
  <c r="S97" i="1"/>
  <c r="T98" i="1"/>
  <c r="R113" i="1" l="1"/>
  <c r="K28" i="5" s="1"/>
  <c r="K31" i="5" s="1"/>
  <c r="S111" i="1"/>
  <c r="Q5" i="10"/>
  <c r="L31" i="11" s="1"/>
  <c r="S24" i="5"/>
  <c r="T21" i="5"/>
  <c r="Y47" i="5"/>
  <c r="X50" i="5"/>
  <c r="T97" i="1"/>
  <c r="U98" i="1"/>
  <c r="S113" i="1" l="1"/>
  <c r="L28" i="5" s="1"/>
  <c r="L34" i="11"/>
  <c r="M31" i="11"/>
  <c r="T111" i="1"/>
  <c r="T113" i="1" s="1"/>
  <c r="R5" i="10"/>
  <c r="U97" i="1"/>
  <c r="V98" i="1"/>
  <c r="V97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1" i="1"/>
  <c r="V113" i="1" s="1"/>
  <c r="T5" i="10"/>
  <c r="U111" i="1"/>
  <c r="U113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l="1"/>
  <c r="M3" i="10" s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<sst xmlns="http://schemas.openxmlformats.org/spreadsheetml/2006/main" count="1040" uniqueCount="397">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</sst>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tabSelected="1" zoomScale="117" zoomScaleNormal="110" workbookViewId="0">
      <pane xSplit="2" ySplit="3" topLeftCell="M33" activePane="bottomRight" state="frozen"/>
      <selection pane="topRight" activeCell="C1" sqref="C1"/>
      <selection pane="bottomLeft" activeCell="A4" sqref="A4"/>
      <selection pane="bottomRight" activeCell="O35" sqref="O35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41" t="s">
        <v>369</v>
      </c>
      <c r="B1" s="341"/>
      <c r="C1" s="268"/>
      <c r="D1" s="268"/>
      <c r="E1" s="35"/>
      <c r="N1" t="s">
        <v>371</v>
      </c>
      <c r="AC1" s="347" t="s">
        <v>246</v>
      </c>
      <c r="AD1" s="347"/>
      <c r="AE1" s="345" t="s">
        <v>244</v>
      </c>
      <c r="AF1" s="346"/>
      <c r="AG1" t="s">
        <v>28</v>
      </c>
      <c r="AI1" s="343" t="s">
        <v>277</v>
      </c>
      <c r="AJ1" s="343"/>
      <c r="AK1" s="343"/>
      <c r="AL1" s="343"/>
      <c r="AM1" s="342" t="s">
        <v>275</v>
      </c>
      <c r="AN1" s="342"/>
      <c r="AO1" s="342"/>
      <c r="AP1" s="342"/>
    </row>
    <row r="2" spans="1:43" ht="23" customHeight="1" x14ac:dyDescent="0.35">
      <c r="F2" s="340" t="s">
        <v>21</v>
      </c>
      <c r="G2" s="340"/>
      <c r="H2" s="340"/>
      <c r="I2" s="340"/>
      <c r="J2" s="340" t="s">
        <v>9</v>
      </c>
      <c r="K2" s="340"/>
      <c r="L2" s="340"/>
      <c r="M2" s="340"/>
      <c r="N2" s="340" t="s">
        <v>10</v>
      </c>
      <c r="O2" s="340"/>
      <c r="P2" s="340"/>
      <c r="Q2" s="340"/>
      <c r="R2" s="340" t="s">
        <v>11</v>
      </c>
      <c r="S2" s="340"/>
      <c r="T2" s="340"/>
      <c r="U2" s="340"/>
      <c r="V2" s="340" t="s">
        <v>264</v>
      </c>
      <c r="W2" s="340"/>
      <c r="X2" s="340"/>
      <c r="Y2" s="340"/>
      <c r="Z2" s="221"/>
      <c r="AA2" s="283"/>
      <c r="AB2" s="221"/>
      <c r="AC2" s="340" t="s">
        <v>102</v>
      </c>
      <c r="AD2" s="340"/>
      <c r="AE2" s="340"/>
      <c r="AF2" s="340"/>
      <c r="AG2" s="340"/>
      <c r="AH2" s="340"/>
      <c r="AI2" s="340"/>
      <c r="AJ2" s="340"/>
      <c r="AK2" s="340"/>
      <c r="AL2" s="344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245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264</v>
      </c>
      <c r="AN3" s="97" t="s">
        <v>12</v>
      </c>
      <c r="AO3" s="97" t="s">
        <v>11</v>
      </c>
      <c r="AP3" s="97" t="s">
        <v>264</v>
      </c>
    </row>
    <row r="4" spans="1:43" ht="18.5" x14ac:dyDescent="0.45">
      <c r="A4" s="339" t="s">
        <v>260</v>
      </c>
      <c r="B4" s="339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258</v>
      </c>
      <c r="B5" t="s">
        <v>279</v>
      </c>
      <c r="C5" s="35" t="s">
        <v>290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213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259</v>
      </c>
      <c r="B7" t="s">
        <v>279</v>
      </c>
      <c r="C7" s="35" t="s">
        <v>291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213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255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279</v>
      </c>
      <c r="C12" t="s">
        <v>292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374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370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279</v>
      </c>
      <c r="C15" t="s">
        <v>293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374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213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279</v>
      </c>
      <c r="C18" t="s">
        <v>294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374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213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279</v>
      </c>
      <c r="C21" t="s">
        <v>295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374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213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261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262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296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297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298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299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263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279</v>
      </c>
      <c r="C34" t="s">
        <v>300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279</v>
      </c>
      <c r="C35" t="s">
        <v>301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337</v>
      </c>
      <c r="B36" t="s">
        <v>279</v>
      </c>
      <c r="C36" t="s">
        <v>302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338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345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348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331</v>
      </c>
      <c r="B41" t="s">
        <v>279</v>
      </c>
      <c r="C41" t="s">
        <v>303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210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343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25" t="s">
        <v>147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45300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46.274999999999999</v>
      </c>
      <c r="AF47" s="331">
        <f t="shared" ref="AF47" si="34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x14ac:dyDescent="0.35">
      <c r="A48" s="333" t="s">
        <v>205</v>
      </c>
      <c r="B48" s="107" t="s">
        <v>279</v>
      </c>
      <c r="C48" s="107" t="s">
        <v>304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x14ac:dyDescent="0.35">
      <c r="A49" s="333" t="s">
        <v>380</v>
      </c>
      <c r="B49" s="107" t="s">
        <v>279</v>
      </c>
      <c r="C49" s="107" t="s">
        <v>305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>
        <f>VLOOKUP($C$49,'Haver NA'!$A$1:$J$34,10,0)</f>
        <v>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43.5" x14ac:dyDescent="0.35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5">O50*(1+P52)</f>
        <v>1650848.87398125</v>
      </c>
      <c r="Q50" s="88">
        <f t="shared" si="35"/>
        <v>1638467.5074263907</v>
      </c>
      <c r="R50" s="88">
        <f>Q50*(1+R52)</f>
        <v>1663044.5200377863</v>
      </c>
      <c r="S50" s="88">
        <f t="shared" ref="S50:U50" si="36">R50*(1+S52)</f>
        <v>1687990.187838353</v>
      </c>
      <c r="T50" s="88">
        <f t="shared" si="36"/>
        <v>1713310.0406559282</v>
      </c>
      <c r="U50" s="88">
        <f t="shared" si="36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3">
      <c r="A51" s="169" t="s">
        <v>213</v>
      </c>
      <c r="C51" s="269"/>
      <c r="D51" s="269"/>
      <c r="F51" s="225"/>
      <c r="G51" s="227">
        <f>G50/F50-1</f>
        <v>4.3899160317375507E-2</v>
      </c>
      <c r="H51" s="227">
        <f t="shared" ref="H51:L51" si="37">H50/G50-1</f>
        <v>3.4867401440725754E-3</v>
      </c>
      <c r="I51" s="227">
        <f t="shared" si="37"/>
        <v>3.5163841628156334E-3</v>
      </c>
      <c r="J51" s="227">
        <f t="shared" si="37"/>
        <v>5.2735975988749129E-3</v>
      </c>
      <c r="K51" s="227">
        <f t="shared" si="37"/>
        <v>3.4509222105193249E-2</v>
      </c>
      <c r="L51" s="227">
        <f t="shared" si="37"/>
        <v>4.7166587697893059E-2</v>
      </c>
      <c r="M51" s="227">
        <v>1.2783825552366457E-2</v>
      </c>
      <c r="N51" s="227">
        <f t="shared" ref="N51" si="38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35">
      <c r="A52" s="169" t="s">
        <v>267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35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35">
      <c r="A54" s="141" t="s">
        <v>4</v>
      </c>
      <c r="B54" s="141" t="s">
        <v>279</v>
      </c>
      <c r="C54" t="s">
        <v>306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39">O55+AVERAGE($H$54:$K$54)</f>
        <v>853250.25</v>
      </c>
      <c r="P54" s="144">
        <f t="shared" si="39"/>
        <v>847383.58333333337</v>
      </c>
      <c r="Q54" s="144">
        <f t="shared" si="39"/>
        <v>107416.91666666667</v>
      </c>
      <c r="R54" s="144">
        <f t="shared" si="39"/>
        <v>102750.25</v>
      </c>
      <c r="S54" s="144">
        <f t="shared" si="39"/>
        <v>77330.25</v>
      </c>
      <c r="T54" s="144">
        <f t="shared" si="39"/>
        <v>77330.25</v>
      </c>
      <c r="U54" s="144">
        <f t="shared" si="39"/>
        <v>77330.25</v>
      </c>
      <c r="V54" s="144">
        <f t="shared" si="39"/>
        <v>77330.25</v>
      </c>
      <c r="W54" s="144">
        <f t="shared" si="39"/>
        <v>74830.25</v>
      </c>
      <c r="X54" s="144">
        <f t="shared" si="39"/>
        <v>74830.25</v>
      </c>
      <c r="Y54" s="144">
        <f t="shared" si="39"/>
        <v>74830.25</v>
      </c>
      <c r="Z54" s="144">
        <f t="shared" si="39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x14ac:dyDescent="0.35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0">N57+N58+N63</f>
        <v>473700</v>
      </c>
      <c r="O55" s="116">
        <f>O57+O58+SUM(O63:O66)</f>
        <v>778420</v>
      </c>
      <c r="P55" s="116">
        <f t="shared" ref="P55:V55" si="41">P57+P58+SUM(P63:P66)</f>
        <v>772553.33333333337</v>
      </c>
      <c r="Q55" s="116">
        <f t="shared" si="41"/>
        <v>32586.666666666672</v>
      </c>
      <c r="R55" s="116">
        <f t="shared" si="41"/>
        <v>27920</v>
      </c>
      <c r="S55" s="116">
        <f t="shared" si="41"/>
        <v>2500</v>
      </c>
      <c r="T55" s="116">
        <f t="shared" si="41"/>
        <v>2500</v>
      </c>
      <c r="U55" s="116">
        <f t="shared" si="41"/>
        <v>2500</v>
      </c>
      <c r="V55" s="116">
        <f t="shared" si="41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19" t="s">
        <v>335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71" t="s">
        <v>333</v>
      </c>
      <c r="C57" t="s">
        <v>307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35">
      <c r="A58" s="113" t="s">
        <v>270</v>
      </c>
      <c r="C58" t="s">
        <v>332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35">
      <c r="A59" s="272" t="s">
        <v>280</v>
      </c>
      <c r="B59" s="185" t="s">
        <v>279</v>
      </c>
      <c r="C59" t="s">
        <v>308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281</v>
      </c>
      <c r="B60" s="185" t="s">
        <v>279</v>
      </c>
      <c r="C60" t="s">
        <v>309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282</v>
      </c>
      <c r="B61" s="185" t="s">
        <v>279</v>
      </c>
      <c r="C61" t="s">
        <v>310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19" t="s">
        <v>336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x14ac:dyDescent="0.35">
      <c r="A63" s="273" t="s">
        <v>334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29" x14ac:dyDescent="0.35">
      <c r="A64" s="273" t="s">
        <v>396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281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349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35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35">
      <c r="A68" s="35" t="s">
        <v>16</v>
      </c>
      <c r="B68" s="35" t="s">
        <v>279</v>
      </c>
      <c r="C68" t="s">
        <v>311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308">
        <f>783900</f>
        <v>783900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35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35">
      <c r="A70" s="35" t="s">
        <v>226</v>
      </c>
      <c r="F70" s="203">
        <f t="shared" ref="F70:L70" si="42">F68-F93</f>
        <v>196851</v>
      </c>
      <c r="G70" s="203">
        <f t="shared" si="42"/>
        <v>189684</v>
      </c>
      <c r="H70" s="203">
        <f t="shared" si="42"/>
        <v>192875</v>
      </c>
      <c r="I70" s="203">
        <f t="shared" si="42"/>
        <v>191507</v>
      </c>
      <c r="J70" s="203">
        <f t="shared" si="42"/>
        <v>203997</v>
      </c>
      <c r="K70" s="203">
        <f t="shared" si="42"/>
        <v>204376</v>
      </c>
      <c r="L70" s="203">
        <f t="shared" si="42"/>
        <v>884250</v>
      </c>
      <c r="M70" s="301">
        <v>242100</v>
      </c>
      <c r="N70" s="308">
        <f>N68-N93</f>
        <v>225951</v>
      </c>
      <c r="O70" s="308">
        <f>O68-O93</f>
        <v>276422.75188174885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35">
      <c r="A71" s="136" t="s">
        <v>227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196951</v>
      </c>
      <c r="O71" s="116">
        <f t="shared" ref="O71:Z71" si="43">N71*(1+O87)</f>
        <v>197738.804</v>
      </c>
      <c r="P71" s="116">
        <f t="shared" si="43"/>
        <v>198529.75921600001</v>
      </c>
      <c r="Q71" s="116">
        <f t="shared" si="43"/>
        <v>199323.878252864</v>
      </c>
      <c r="R71" s="116">
        <f t="shared" si="43"/>
        <v>200121.17376587546</v>
      </c>
      <c r="S71" s="116">
        <f t="shared" si="43"/>
        <v>200921.65846093895</v>
      </c>
      <c r="T71" s="116">
        <f t="shared" si="43"/>
        <v>201725.34509478271</v>
      </c>
      <c r="U71" s="116">
        <f t="shared" si="43"/>
        <v>202532.24647516184</v>
      </c>
      <c r="V71" s="116">
        <f t="shared" si="43"/>
        <v>203342.37546106247</v>
      </c>
      <c r="W71" s="116">
        <f t="shared" si="43"/>
        <v>204155.74496290673</v>
      </c>
      <c r="X71" s="116">
        <f t="shared" si="43"/>
        <v>204972.36794275834</v>
      </c>
      <c r="Y71" s="116">
        <f t="shared" si="43"/>
        <v>205792.25741452936</v>
      </c>
      <c r="Z71" s="116">
        <f t="shared" si="43"/>
        <v>206615.42644418747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35">
      <c r="A72" s="137" t="s">
        <v>208</v>
      </c>
      <c r="B72" s="138" t="s">
        <v>279</v>
      </c>
      <c r="C72" t="s">
        <v>312</v>
      </c>
      <c r="D72"/>
      <c r="F72" s="204"/>
      <c r="G72" s="204"/>
      <c r="H72" s="204"/>
      <c r="I72" s="205"/>
      <c r="J72" s="205"/>
      <c r="K72" s="205"/>
      <c r="L72" s="205">
        <f>'Haver NA'!H34</f>
        <v>690700</v>
      </c>
      <c r="M72" s="205">
        <f>'Haver NA'!I34</f>
        <v>39200</v>
      </c>
      <c r="N72" s="205">
        <f>VLOOKUP($C$72,'Haver NA'!$A$1:$J$34,10,0)</f>
        <v>29000</v>
      </c>
      <c r="O72" s="139">
        <f>28900 + 17100</f>
        <v>46000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29" x14ac:dyDescent="0.35">
      <c r="A73" s="134" t="s">
        <v>381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116">
        <f t="shared" ref="O73:Z73" si="44">O74+O78</f>
        <v>124900</v>
      </c>
      <c r="P73" s="116">
        <f t="shared" si="44"/>
        <v>126000</v>
      </c>
      <c r="Q73" s="116">
        <f t="shared" si="44"/>
        <v>120000</v>
      </c>
      <c r="R73" s="116">
        <f t="shared" si="44"/>
        <v>119000</v>
      </c>
      <c r="S73" s="116">
        <f t="shared" si="44"/>
        <v>109000</v>
      </c>
      <c r="T73" s="116">
        <f t="shared" si="44"/>
        <v>109000</v>
      </c>
      <c r="U73" s="116">
        <f t="shared" si="44"/>
        <v>109000</v>
      </c>
      <c r="V73" s="116">
        <f t="shared" si="44"/>
        <v>109000</v>
      </c>
      <c r="W73" s="116">
        <f t="shared" si="44"/>
        <v>109000</v>
      </c>
      <c r="X73" s="116">
        <f t="shared" si="44"/>
        <v>69000</v>
      </c>
      <c r="Y73" s="116">
        <f t="shared" si="44"/>
        <v>59000</v>
      </c>
      <c r="Z73" s="116">
        <f t="shared" si="44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x14ac:dyDescent="0.35">
      <c r="A74" s="219" t="s">
        <v>339</v>
      </c>
      <c r="F74" s="197"/>
      <c r="G74" s="197"/>
      <c r="H74" s="197"/>
      <c r="I74" s="202"/>
      <c r="J74" s="202"/>
      <c r="K74" s="202"/>
      <c r="L74" s="206"/>
      <c r="M74" s="301"/>
      <c r="N74" s="308"/>
      <c r="O74" s="116">
        <f t="shared" ref="O74:Z74" si="45">SUM(O75:O77)</f>
        <v>72900</v>
      </c>
      <c r="P74" s="116">
        <f t="shared" si="45"/>
        <v>67000</v>
      </c>
      <c r="Q74" s="116">
        <f t="shared" si="45"/>
        <v>61000</v>
      </c>
      <c r="R74" s="116">
        <f t="shared" si="45"/>
        <v>60000</v>
      </c>
      <c r="S74" s="116">
        <f t="shared" si="45"/>
        <v>50000</v>
      </c>
      <c r="T74" s="116">
        <f t="shared" si="45"/>
        <v>50000</v>
      </c>
      <c r="U74" s="116">
        <f t="shared" si="45"/>
        <v>50000</v>
      </c>
      <c r="V74" s="116">
        <f t="shared" si="45"/>
        <v>50000</v>
      </c>
      <c r="W74" s="116">
        <f t="shared" si="45"/>
        <v>50000</v>
      </c>
      <c r="X74" s="116">
        <f t="shared" si="45"/>
        <v>10000</v>
      </c>
      <c r="Y74" s="116">
        <f t="shared" si="45"/>
        <v>0</v>
      </c>
      <c r="Z74" s="116">
        <f t="shared" si="45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197</v>
      </c>
      <c r="B75" s="35" t="s">
        <v>279</v>
      </c>
      <c r="C75" s="35" t="s">
        <v>375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116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35">
      <c r="A76" s="334" t="s">
        <v>379</v>
      </c>
      <c r="B76" s="107" t="s">
        <v>279</v>
      </c>
      <c r="C76" s="107" t="s">
        <v>376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337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35">
      <c r="A77" s="334" t="s">
        <v>201</v>
      </c>
      <c r="B77" s="107" t="s">
        <v>279</v>
      </c>
      <c r="C77" s="107" t="s">
        <v>377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337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35">
      <c r="A78" s="220" t="s">
        <v>340</v>
      </c>
      <c r="F78" s="197"/>
      <c r="G78" s="197"/>
      <c r="H78" s="197"/>
      <c r="I78" s="202"/>
      <c r="J78" s="202"/>
      <c r="K78" s="202"/>
      <c r="L78" s="202"/>
      <c r="M78" s="301"/>
      <c r="N78" s="308"/>
      <c r="O78" s="116">
        <f>SUM(O79:O82)</f>
        <v>52000</v>
      </c>
      <c r="P78" s="116">
        <f t="shared" ref="P78:Z78" si="46">SUM(P79:P82)</f>
        <v>59000</v>
      </c>
      <c r="Q78" s="116">
        <f t="shared" si="46"/>
        <v>59000</v>
      </c>
      <c r="R78" s="116">
        <f t="shared" si="46"/>
        <v>59000</v>
      </c>
      <c r="S78" s="116">
        <f t="shared" si="46"/>
        <v>59000</v>
      </c>
      <c r="T78" s="116">
        <f t="shared" si="46"/>
        <v>59000</v>
      </c>
      <c r="U78" s="116">
        <f t="shared" si="46"/>
        <v>59000</v>
      </c>
      <c r="V78" s="116">
        <f t="shared" si="46"/>
        <v>59000</v>
      </c>
      <c r="W78" s="116">
        <f t="shared" si="46"/>
        <v>59000</v>
      </c>
      <c r="X78" s="116">
        <f t="shared" si="46"/>
        <v>59000</v>
      </c>
      <c r="Y78" s="116">
        <f t="shared" si="46"/>
        <v>59000</v>
      </c>
      <c r="Z78" s="116">
        <f t="shared" si="46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35">
      <c r="A79" s="282" t="s">
        <v>341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342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35">
      <c r="A81" s="282" t="s">
        <v>346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35">
      <c r="A82" s="282" t="s">
        <v>347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35">
      <c r="A83" s="145" t="s">
        <v>215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7">L71+L73</f>
        <v>283950</v>
      </c>
      <c r="M83" s="206">
        <f t="shared" si="47"/>
        <v>291400</v>
      </c>
      <c r="N83" s="308">
        <f t="shared" si="47"/>
        <v>294151</v>
      </c>
      <c r="O83" s="144">
        <f t="shared" si="47"/>
        <v>322638.804</v>
      </c>
      <c r="P83" s="144">
        <f t="shared" si="47"/>
        <v>324529.75921599998</v>
      </c>
      <c r="Q83" s="144">
        <f t="shared" si="47"/>
        <v>319323.878252864</v>
      </c>
      <c r="R83" s="144">
        <f t="shared" si="47"/>
        <v>319121.17376587546</v>
      </c>
      <c r="S83" s="144">
        <f t="shared" si="47"/>
        <v>309921.65846093895</v>
      </c>
      <c r="T83" s="144">
        <f t="shared" si="47"/>
        <v>310725.34509478271</v>
      </c>
      <c r="U83" s="144">
        <f t="shared" si="47"/>
        <v>311532.24647516187</v>
      </c>
      <c r="V83" s="144">
        <f t="shared" si="47"/>
        <v>312342.37546106247</v>
      </c>
      <c r="W83" s="144">
        <f t="shared" si="47"/>
        <v>313155.7449629067</v>
      </c>
      <c r="X83" s="144">
        <f t="shared" si="47"/>
        <v>273972.36794275837</v>
      </c>
      <c r="Y83" s="144">
        <f t="shared" si="47"/>
        <v>264792.25741452933</v>
      </c>
      <c r="Z83" s="144">
        <f t="shared" si="47"/>
        <v>265615.42644418747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35">
      <c r="F84" s="197"/>
      <c r="G84" s="197"/>
      <c r="H84" s="197"/>
      <c r="I84" s="197"/>
      <c r="J84" s="197"/>
      <c r="K84" s="197"/>
      <c r="L84" s="203"/>
      <c r="M84" s="301"/>
      <c r="N84" s="310"/>
      <c r="O84" s="135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35">
      <c r="A85" s="35" t="s">
        <v>17</v>
      </c>
      <c r="B85" s="35" t="s">
        <v>279</v>
      </c>
      <c r="C85" t="s">
        <v>313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1333.307</v>
      </c>
      <c r="O85" s="116"/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35">
      <c r="A86" s="114" t="s">
        <v>203</v>
      </c>
      <c r="B86" s="35" t="s">
        <v>279</v>
      </c>
      <c r="C86" t="s">
        <v>314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1493.5530000000001</v>
      </c>
      <c r="O86">
        <v>1504.3514552807801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35">
      <c r="A87" s="114" t="s">
        <v>378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-1.3676540090014067E-3</v>
      </c>
      <c r="O87" s="196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3">
      <c r="A88" s="169" t="s">
        <v>202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4.3832189558417056E-3</v>
      </c>
      <c r="O88" s="196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35">
      <c r="A89" s="114" t="s">
        <v>354</v>
      </c>
      <c r="F89" s="207"/>
      <c r="G89" s="207"/>
      <c r="H89" s="207"/>
      <c r="I89" s="207"/>
      <c r="J89" s="207"/>
      <c r="K89" s="207"/>
      <c r="L89" s="207"/>
      <c r="M89" s="302"/>
      <c r="N89" s="311"/>
      <c r="O89" s="102">
        <f>SUM(O90:O92)</f>
        <v>71400</v>
      </c>
      <c r="P89" s="102">
        <f t="shared" ref="P89:R89" si="48">SUM(P90:P92)</f>
        <v>71400</v>
      </c>
      <c r="Q89" s="102">
        <f t="shared" si="48"/>
        <v>30600</v>
      </c>
      <c r="R89" s="102">
        <f t="shared" si="48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35">
      <c r="A90" s="284" t="s">
        <v>350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35">
      <c r="A91" s="284" t="s">
        <v>351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35">
      <c r="A92" s="284" t="s">
        <v>352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7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35">
      <c r="A93" s="35" t="s">
        <v>204</v>
      </c>
      <c r="B93" s="35" t="s">
        <v>279</v>
      </c>
      <c r="C93" t="s">
        <v>315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>
        <f>VLOOKUP($C$93,'Haver NA'!$A$1:$J$34,10,0)</f>
        <v>512193</v>
      </c>
      <c r="O93" s="116">
        <f t="shared" ref="O93:S93" si="49">O100*0.74</f>
        <v>507477.24811825115</v>
      </c>
      <c r="P93" s="116">
        <f t="shared" si="49"/>
        <v>512541.31638321205</v>
      </c>
      <c r="Q93" s="116">
        <f t="shared" si="49"/>
        <v>512541.31638321205</v>
      </c>
      <c r="R93" s="116">
        <f t="shared" si="49"/>
        <v>512541.31638321205</v>
      </c>
      <c r="S93" s="116">
        <f t="shared" si="49"/>
        <v>512541.31638321205</v>
      </c>
      <c r="T93" s="116">
        <f>T100*0.68</f>
        <v>470983.91235214088</v>
      </c>
      <c r="U93" s="116">
        <f>U100*0.68</f>
        <v>470983.91235214088</v>
      </c>
      <c r="V93" s="116">
        <f>V100*0.68</f>
        <v>470983.91235214088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511188.22022116883</v>
      </c>
      <c r="AF93" s="45">
        <f>AVERAGE(R93:U93)</f>
        <v>491762.61436767643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35">
      <c r="A94" s="141" t="s">
        <v>161</v>
      </c>
      <c r="B94" s="141"/>
      <c r="E94" s="141"/>
      <c r="F94" s="201">
        <f t="shared" ref="F94:L94" si="50">F50+F47+F36+F42</f>
        <v>1440187</v>
      </c>
      <c r="G94" s="201">
        <f t="shared" si="50"/>
        <v>1503410</v>
      </c>
      <c r="H94" s="201">
        <f t="shared" si="50"/>
        <v>1508652</v>
      </c>
      <c r="I94" s="201">
        <f t="shared" si="50"/>
        <v>1513957</v>
      </c>
      <c r="J94" s="201">
        <f t="shared" si="50"/>
        <v>1521941</v>
      </c>
      <c r="K94" s="201">
        <f t="shared" si="50"/>
        <v>1574462</v>
      </c>
      <c r="L94" s="201">
        <f t="shared" si="50"/>
        <v>3729557.333333333</v>
      </c>
      <c r="M94" s="301">
        <v>2466001</v>
      </c>
      <c r="N94" s="306">
        <f>N50+N47+N36+N42+N37</f>
        <v>2027793</v>
      </c>
      <c r="O94" s="142">
        <f t="shared" ref="O94:Z94" si="51">O50+O47+O36+O42+O37+O38+O39</f>
        <v>3118123.8025000002</v>
      </c>
      <c r="P94" s="142">
        <f t="shared" si="51"/>
        <v>1874848.87398125</v>
      </c>
      <c r="Q94" s="142">
        <f t="shared" si="51"/>
        <v>1686467.5074263907</v>
      </c>
      <c r="R94" s="142">
        <f t="shared" si="51"/>
        <v>1683044.5200377863</v>
      </c>
      <c r="S94" s="142">
        <f t="shared" si="51"/>
        <v>1687990.187838353</v>
      </c>
      <c r="T94" s="142">
        <f t="shared" si="51"/>
        <v>1713310.0406559282</v>
      </c>
      <c r="U94" s="142">
        <f t="shared" si="51"/>
        <v>1739009.691265767</v>
      </c>
      <c r="V94" s="142">
        <f t="shared" si="51"/>
        <v>1756399.7881784246</v>
      </c>
      <c r="W94" s="142">
        <f t="shared" si="51"/>
        <v>0</v>
      </c>
      <c r="X94" s="142">
        <f t="shared" si="51"/>
        <v>0</v>
      </c>
      <c r="Y94" s="142">
        <f t="shared" si="51"/>
        <v>0</v>
      </c>
      <c r="Z94" s="142">
        <f t="shared" si="51"/>
        <v>0</v>
      </c>
      <c r="AM94" s="233"/>
    </row>
    <row r="95" spans="1:39" s="35" customFormat="1" x14ac:dyDescent="0.35">
      <c r="A95" s="141" t="s">
        <v>212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52">N93+N35</f>
        <v>1372787</v>
      </c>
      <c r="O95" s="143">
        <f t="shared" si="52"/>
        <v>1390610.1625906522</v>
      </c>
      <c r="P95" s="143">
        <f t="shared" si="52"/>
        <v>1418489.158978964</v>
      </c>
      <c r="Q95" s="143">
        <f t="shared" si="52"/>
        <v>1441583.4808422038</v>
      </c>
      <c r="R95" s="143">
        <f t="shared" si="52"/>
        <v>1483962.7404801806</v>
      </c>
      <c r="S95" s="143">
        <f t="shared" si="52"/>
        <v>1515727.7827888038</v>
      </c>
      <c r="T95" s="143">
        <f t="shared" si="52"/>
        <v>1506974.123618965</v>
      </c>
      <c r="U95" s="143">
        <f t="shared" si="52"/>
        <v>1540850.5361376633</v>
      </c>
      <c r="V95" s="143">
        <f t="shared" si="52"/>
        <v>1551631.6801380017</v>
      </c>
      <c r="W95" s="143">
        <f t="shared" si="52"/>
        <v>1091537.5543621723</v>
      </c>
      <c r="X95" s="143">
        <f t="shared" si="52"/>
        <v>1102537.0783156503</v>
      </c>
      <c r="Y95" s="143">
        <f t="shared" si="52"/>
        <v>1113647.4454798999</v>
      </c>
      <c r="Z95" s="143">
        <f t="shared" si="52"/>
        <v>0</v>
      </c>
      <c r="AM95" s="233"/>
    </row>
    <row r="96" spans="1:39" s="35" customFormat="1" x14ac:dyDescent="0.35">
      <c r="F96" s="197"/>
      <c r="G96" s="197"/>
      <c r="H96" s="197"/>
      <c r="I96" s="197"/>
      <c r="J96" s="197"/>
      <c r="K96" s="197"/>
      <c r="L96" s="197"/>
      <c r="M96" s="301"/>
      <c r="N96" s="301"/>
      <c r="AM96" s="233"/>
    </row>
    <row r="97" spans="1:39" s="35" customFormat="1" x14ac:dyDescent="0.35">
      <c r="A97" s="35" t="s">
        <v>15</v>
      </c>
      <c r="B97" s="35" t="s">
        <v>279</v>
      </c>
      <c r="C97" t="s">
        <v>316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>
        <f>VLOOKUP($C$97,'Haver NA'!$A$1:$J$34,10,0)</f>
        <v>818740</v>
      </c>
      <c r="O97" s="133">
        <f t="shared" ref="O97:U97" si="53">O98+O100</f>
        <v>831250.83502466371</v>
      </c>
      <c r="P97" s="133">
        <f t="shared" si="53"/>
        <v>838457.84744285408</v>
      </c>
      <c r="Q97" s="133">
        <f t="shared" si="53"/>
        <v>839187.01967747905</v>
      </c>
      <c r="R97" s="133">
        <f t="shared" si="53"/>
        <v>840286.24682117626</v>
      </c>
      <c r="S97" s="133">
        <f t="shared" si="53"/>
        <v>841762.8752842095</v>
      </c>
      <c r="T97" s="133">
        <f t="shared" si="53"/>
        <v>843107.97501111636</v>
      </c>
      <c r="U97" s="133">
        <f t="shared" si="53"/>
        <v>844539.45728929248</v>
      </c>
      <c r="V97" s="133">
        <f t="shared" ref="V97" si="54">V98+V100</f>
        <v>846032.64138980373</v>
      </c>
      <c r="AM97" s="233"/>
    </row>
    <row r="98" spans="1:39" s="35" customFormat="1" x14ac:dyDescent="0.35">
      <c r="A98" s="35" t="s">
        <v>228</v>
      </c>
      <c r="F98" s="203">
        <f t="shared" ref="F98:K98" si="55">F97-F100</f>
        <v>139025</v>
      </c>
      <c r="G98" s="203">
        <f t="shared" si="55"/>
        <v>139342</v>
      </c>
      <c r="H98" s="203">
        <f t="shared" si="55"/>
        <v>140228</v>
      </c>
      <c r="I98" s="203">
        <f t="shared" si="55"/>
        <v>141105</v>
      </c>
      <c r="J98" s="203">
        <f t="shared" si="55"/>
        <v>141335</v>
      </c>
      <c r="K98" s="203">
        <f t="shared" si="55"/>
        <v>142991</v>
      </c>
      <c r="L98" s="203">
        <f>L97-L100</f>
        <v>143335</v>
      </c>
      <c r="M98" s="301">
        <v>144777</v>
      </c>
      <c r="N98" s="303">
        <f>N97-N100</f>
        <v>145108</v>
      </c>
      <c r="O98" s="133">
        <f>N98*(1+O110)</f>
        <v>145470.76999999999</v>
      </c>
      <c r="P98" s="133">
        <f t="shared" ref="P98:S98" si="56">O98*(1+P110)</f>
        <v>145834.44692499997</v>
      </c>
      <c r="Q98" s="133">
        <f t="shared" si="56"/>
        <v>146563.61915962494</v>
      </c>
      <c r="R98" s="133">
        <f t="shared" si="56"/>
        <v>147662.84630332215</v>
      </c>
      <c r="S98" s="133">
        <f t="shared" si="56"/>
        <v>149139.47476635536</v>
      </c>
      <c r="T98" s="133">
        <f t="shared" ref="T98:V98" si="57">S98*(1+T109)</f>
        <v>150484.57449326222</v>
      </c>
      <c r="U98" s="133">
        <f t="shared" si="57"/>
        <v>151916.05677143831</v>
      </c>
      <c r="V98" s="133">
        <f t="shared" si="57"/>
        <v>153409.24087194959</v>
      </c>
      <c r="AM98" s="233"/>
    </row>
    <row r="99" spans="1:39" s="35" customFormat="1" x14ac:dyDescent="0.35">
      <c r="F99" s="203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225</v>
      </c>
      <c r="B100" s="35" t="s">
        <v>279</v>
      </c>
      <c r="C100" t="s">
        <v>317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>
        <f>VLOOKUP($C$100,'Haver NA'!$A$1:$J$34,10,0)</f>
        <v>673632</v>
      </c>
      <c r="O100" s="135">
        <f>N100*(($AJ$100/$AI$100)^0.18)</f>
        <v>685780.06502466369</v>
      </c>
      <c r="P100" s="135">
        <f>O100*(($AJ$100/$AI$100)^0.1)</f>
        <v>692623.40051785414</v>
      </c>
      <c r="Q100" s="135">
        <f>P100*(1+Q101)</f>
        <v>692623.40051785414</v>
      </c>
      <c r="R100" s="135">
        <f t="shared" ref="R100:V100" si="58">Q100*(1+R101)</f>
        <v>692623.40051785414</v>
      </c>
      <c r="S100" s="135">
        <f t="shared" si="58"/>
        <v>692623.40051785414</v>
      </c>
      <c r="T100" s="135">
        <f t="shared" si="58"/>
        <v>692623.40051785414</v>
      </c>
      <c r="U100" s="135">
        <f t="shared" si="58"/>
        <v>692623.40051785414</v>
      </c>
      <c r="V100" s="135">
        <f t="shared" si="58"/>
        <v>692623.40051785414</v>
      </c>
      <c r="AD100" s="45">
        <f>AVERAGE(J100:M100)/1000</f>
        <v>649.06349999999998</v>
      </c>
      <c r="AE100" s="45">
        <f>AVERAGE(N100:Q100)/1000</f>
        <v>686.16471651509301</v>
      </c>
      <c r="AF100" s="45">
        <f>AVERAGE(R100:U100)/1000</f>
        <v>692.62340051785418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35">
      <c r="A101" s="169" t="s">
        <v>267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175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3">
      <c r="A102" s="153" t="s">
        <v>220</v>
      </c>
      <c r="F102" s="208">
        <f t="shared" ref="F102:L102" si="59">F93/F100</f>
        <v>0.66058231423538405</v>
      </c>
      <c r="G102" s="208">
        <f t="shared" si="59"/>
        <v>0.6749214177505789</v>
      </c>
      <c r="H102" s="208">
        <f t="shared" si="59"/>
        <v>0.68242012696430432</v>
      </c>
      <c r="I102" s="208">
        <f t="shared" si="59"/>
        <v>0.6730637268687778</v>
      </c>
      <c r="J102" s="208">
        <f t="shared" si="59"/>
        <v>0.66395699382859508</v>
      </c>
      <c r="K102" s="208">
        <f t="shared" si="59"/>
        <v>0.67846773573296415</v>
      </c>
      <c r="L102" s="208">
        <f t="shared" si="59"/>
        <v>0.76648081779484256</v>
      </c>
      <c r="M102" s="208">
        <v>0.71094027669909299</v>
      </c>
      <c r="N102" s="208">
        <f t="shared" ref="N102" si="60">N93/N100</f>
        <v>0.76034541114436371</v>
      </c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35">
      <c r="A103" s="35" t="s">
        <v>18</v>
      </c>
      <c r="B103" s="35" t="s">
        <v>279</v>
      </c>
      <c r="C103" t="s">
        <v>318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1984.547</v>
      </c>
      <c r="O103" s="35">
        <f>N103*(1+O105)</f>
        <v>2009.5840333646127</v>
      </c>
      <c r="P103" s="35">
        <f t="shared" ref="P103:V103" si="61">O103*(1+P105)</f>
        <v>2031.5173022625379</v>
      </c>
      <c r="Q103" s="35">
        <f t="shared" si="61"/>
        <v>2046.001536440413</v>
      </c>
      <c r="R103" s="35">
        <f t="shared" si="61"/>
        <v>2056.0370415493694</v>
      </c>
      <c r="S103" s="35">
        <f t="shared" si="61"/>
        <v>2065.9690878427696</v>
      </c>
      <c r="T103" s="35">
        <f t="shared" si="61"/>
        <v>2073.2112049317075</v>
      </c>
      <c r="U103" s="35">
        <f t="shared" si="61"/>
        <v>2077.6599340006264</v>
      </c>
      <c r="V103" s="35">
        <f t="shared" si="61"/>
        <v>2079.3152750495265</v>
      </c>
      <c r="AM103" s="233"/>
    </row>
    <row r="104" spans="1:39" s="185" customFormat="1" x14ac:dyDescent="0.35">
      <c r="A104" s="169" t="s">
        <v>283</v>
      </c>
      <c r="B104" s="35"/>
      <c r="C104" s="35"/>
      <c r="D104" s="35"/>
      <c r="F104" s="200"/>
      <c r="G104" s="200">
        <f t="shared" ref="G104:L104" si="62">(G103/F103)-1</f>
        <v>7.8113264233139468E-3</v>
      </c>
      <c r="H104" s="200">
        <f t="shared" si="62"/>
        <v>6.3596164356336526E-3</v>
      </c>
      <c r="I104" s="200">
        <f t="shared" si="62"/>
        <v>1.3823747222907468E-3</v>
      </c>
      <c r="J104" s="200">
        <f t="shared" si="62"/>
        <v>3.5990731154167399E-3</v>
      </c>
      <c r="K104" s="200">
        <f t="shared" si="62"/>
        <v>2.6527805069758159E-3</v>
      </c>
      <c r="L104" s="200">
        <f t="shared" si="62"/>
        <v>-1.36697697207252E-2</v>
      </c>
      <c r="M104" s="302">
        <v>-9.9592668024439668E-3</v>
      </c>
      <c r="N104" s="323">
        <f>(N103/M103)-1</f>
        <v>-4.2668250837534227E-3</v>
      </c>
      <c r="O104" s="252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35">
      <c r="A105" s="169" t="s">
        <v>284</v>
      </c>
      <c r="B105" s="35" t="s">
        <v>279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196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35">
      <c r="A106" s="35" t="s">
        <v>214</v>
      </c>
      <c r="B106" s="35" t="s">
        <v>279</v>
      </c>
      <c r="C106" t="s">
        <v>319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2337.201</v>
      </c>
      <c r="O106">
        <v>2469.9411956560398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35">
      <c r="F107" s="197"/>
      <c r="G107" s="197"/>
      <c r="H107" s="197"/>
      <c r="I107" s="197"/>
      <c r="J107" s="197"/>
      <c r="K107" s="197"/>
      <c r="L107" s="197"/>
      <c r="M107" s="301"/>
      <c r="N107" s="301"/>
      <c r="O107">
        <f>N107*(1+O110)</f>
        <v>0</v>
      </c>
      <c r="P107">
        <f t="shared" ref="P107:S107" si="63">O107*(1+P110)</f>
        <v>0</v>
      </c>
      <c r="Q107">
        <f t="shared" si="63"/>
        <v>0</v>
      </c>
      <c r="R107">
        <f t="shared" si="63"/>
        <v>0</v>
      </c>
      <c r="S107">
        <f t="shared" si="63"/>
        <v>0</v>
      </c>
      <c r="T107">
        <f>S107*(1+T109)</f>
        <v>0</v>
      </c>
      <c r="U107">
        <f t="shared" ref="U107:V107" si="64">T107*(1+U109)</f>
        <v>0</v>
      </c>
      <c r="V107">
        <f t="shared" si="64"/>
        <v>0</v>
      </c>
      <c r="W107"/>
      <c r="X107"/>
      <c r="Y107"/>
      <c r="AM107" s="233"/>
    </row>
    <row r="108" spans="1:39" s="185" customFormat="1" x14ac:dyDescent="0.35">
      <c r="A108" s="169" t="s">
        <v>283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5">(K106/J106)-1</f>
        <v>1.0265546788835067E-2</v>
      </c>
      <c r="L108" s="200">
        <f t="shared" ref="L108" si="66">(L106/K106)-1</f>
        <v>-1.9776620759153429E-2</v>
      </c>
      <c r="M108" s="302">
        <v>-8.3608921686818549E-3</v>
      </c>
      <c r="N108" s="323">
        <f>(((N106/M106))^4)-1</f>
        <v>1.3106483787577172E-2</v>
      </c>
      <c r="O108" s="252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35">
      <c r="A109" s="169" t="s">
        <v>284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35">
      <c r="A110" s="169" t="s">
        <v>370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175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35">
      <c r="A111" s="35" t="s">
        <v>163</v>
      </c>
      <c r="F111" s="201">
        <f t="shared" ref="F111:L111" si="67">F97+F46-F93</f>
        <v>339220</v>
      </c>
      <c r="G111" s="201">
        <f t="shared" si="67"/>
        <v>334185</v>
      </c>
      <c r="H111" s="201">
        <f t="shared" si="67"/>
        <v>335532</v>
      </c>
      <c r="I111" s="201">
        <f t="shared" si="67"/>
        <v>344546</v>
      </c>
      <c r="J111" s="201">
        <f t="shared" si="67"/>
        <v>349558</v>
      </c>
      <c r="K111" s="201">
        <f t="shared" si="67"/>
        <v>343658</v>
      </c>
      <c r="L111" s="201">
        <f t="shared" si="67"/>
        <v>560584.66666666674</v>
      </c>
      <c r="M111" s="301">
        <v>528408</v>
      </c>
      <c r="N111" s="306">
        <f t="shared" ref="N111:Y111" si="68">N97+N46-N93</f>
        <v>343247</v>
      </c>
      <c r="O111" s="215">
        <f t="shared" si="68"/>
        <v>383773.58690641256</v>
      </c>
      <c r="P111" s="215">
        <f t="shared" si="68"/>
        <v>369916.53105964203</v>
      </c>
      <c r="Q111" s="215">
        <f t="shared" si="68"/>
        <v>370645.703294267</v>
      </c>
      <c r="R111" s="215">
        <f t="shared" si="68"/>
        <v>371744.93043796421</v>
      </c>
      <c r="S111" s="215">
        <f t="shared" si="68"/>
        <v>373221.55890099745</v>
      </c>
      <c r="T111" s="215">
        <f t="shared" si="68"/>
        <v>416124.06265897548</v>
      </c>
      <c r="U111" s="215">
        <f t="shared" si="68"/>
        <v>417555.5449371516</v>
      </c>
      <c r="V111" s="215">
        <f t="shared" si="68"/>
        <v>419048.72903766285</v>
      </c>
      <c r="W111" s="215">
        <f t="shared" si="68"/>
        <v>0</v>
      </c>
      <c r="X111" s="215">
        <f t="shared" si="68"/>
        <v>0</v>
      </c>
      <c r="Y111" s="215">
        <f t="shared" si="68"/>
        <v>0</v>
      </c>
      <c r="AM111" s="233"/>
    </row>
    <row r="112" spans="1:39" s="35" customFormat="1" x14ac:dyDescent="0.35">
      <c r="A112" s="141" t="s">
        <v>211</v>
      </c>
      <c r="B112" s="141"/>
      <c r="E112" s="141"/>
      <c r="F112" s="201">
        <f t="shared" ref="F112:L112" si="69">F100-F93</f>
        <v>200195</v>
      </c>
      <c r="G112" s="201">
        <f t="shared" si="69"/>
        <v>194843</v>
      </c>
      <c r="H112" s="201">
        <f t="shared" si="69"/>
        <v>195304</v>
      </c>
      <c r="I112" s="201">
        <f t="shared" si="69"/>
        <v>203441</v>
      </c>
      <c r="J112" s="201">
        <f t="shared" si="69"/>
        <v>208223</v>
      </c>
      <c r="K112" s="201">
        <f t="shared" si="69"/>
        <v>200667</v>
      </c>
      <c r="L112" s="201">
        <f t="shared" si="69"/>
        <v>156183</v>
      </c>
      <c r="M112" s="301">
        <v>197631</v>
      </c>
      <c r="N112" s="306">
        <f>N100-N93</f>
        <v>161439</v>
      </c>
      <c r="O112" s="142">
        <f t="shared" ref="O112:Y112" si="70">O100-O93</f>
        <v>178302.81690641254</v>
      </c>
      <c r="P112" s="142">
        <f t="shared" si="70"/>
        <v>180082.08413464209</v>
      </c>
      <c r="Q112" s="142">
        <f t="shared" si="70"/>
        <v>180082.08413464209</v>
      </c>
      <c r="R112" s="142">
        <f t="shared" si="70"/>
        <v>180082.08413464209</v>
      </c>
      <c r="S112" s="142">
        <f t="shared" si="70"/>
        <v>180082.08413464209</v>
      </c>
      <c r="T112" s="142">
        <f t="shared" si="70"/>
        <v>221639.48816571326</v>
      </c>
      <c r="U112" s="142">
        <f t="shared" si="70"/>
        <v>221639.48816571326</v>
      </c>
      <c r="V112" s="142">
        <f t="shared" si="70"/>
        <v>221639.48816571326</v>
      </c>
      <c r="W112" s="142">
        <f t="shared" si="70"/>
        <v>0</v>
      </c>
      <c r="X112" s="142">
        <f t="shared" si="70"/>
        <v>0</v>
      </c>
      <c r="Y112" s="142">
        <f t="shared" si="70"/>
        <v>0</v>
      </c>
      <c r="AM112" s="233"/>
    </row>
    <row r="113" spans="1:39" s="141" customFormat="1" x14ac:dyDescent="0.35">
      <c r="A113" s="141" t="s">
        <v>229</v>
      </c>
      <c r="C113" s="35"/>
      <c r="D113" s="35"/>
      <c r="F113" s="201">
        <f t="shared" ref="F113:K113" si="71">F111-F112</f>
        <v>139025</v>
      </c>
      <c r="G113" s="201">
        <f t="shared" si="71"/>
        <v>139342</v>
      </c>
      <c r="H113" s="201">
        <f t="shared" si="71"/>
        <v>140228</v>
      </c>
      <c r="I113" s="201">
        <f t="shared" si="71"/>
        <v>141105</v>
      </c>
      <c r="J113" s="201">
        <f t="shared" si="71"/>
        <v>141335</v>
      </c>
      <c r="K113" s="201">
        <f t="shared" si="71"/>
        <v>142991</v>
      </c>
      <c r="L113" s="201">
        <f>L111-L112</f>
        <v>404401.66666666674</v>
      </c>
      <c r="M113" s="306">
        <v>330777</v>
      </c>
      <c r="N113" s="306">
        <f>N111-N112</f>
        <v>181808</v>
      </c>
      <c r="O113" s="142">
        <f t="shared" ref="O113:Y113" si="72">O111-O112</f>
        <v>205470.77000000002</v>
      </c>
      <c r="P113" s="142">
        <f t="shared" si="72"/>
        <v>189834.44692499994</v>
      </c>
      <c r="Q113" s="142">
        <f t="shared" si="72"/>
        <v>190563.61915962491</v>
      </c>
      <c r="R113" s="142">
        <f t="shared" si="72"/>
        <v>191662.84630332212</v>
      </c>
      <c r="S113" s="142">
        <f t="shared" si="72"/>
        <v>193139.47476635536</v>
      </c>
      <c r="T113" s="142">
        <f t="shared" si="72"/>
        <v>194484.57449326222</v>
      </c>
      <c r="U113" s="142">
        <f t="shared" si="72"/>
        <v>195916.05677143834</v>
      </c>
      <c r="V113" s="142">
        <f t="shared" si="72"/>
        <v>197409.24087194959</v>
      </c>
      <c r="W113" s="142">
        <f t="shared" si="72"/>
        <v>0</v>
      </c>
      <c r="X113" s="142">
        <f t="shared" si="72"/>
        <v>0</v>
      </c>
      <c r="Y113" s="142">
        <f t="shared" si="72"/>
        <v>0</v>
      </c>
      <c r="AM113" s="256"/>
    </row>
    <row r="114" spans="1:39" s="35" customFormat="1" x14ac:dyDescent="0.35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35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35">
      <c r="A116" t="s">
        <v>158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defaultRowHeight="14.5" x14ac:dyDescent="0.35"/>
  <cols>
    <col min="1" max="1" width="24.7265625" customWidth="1"/>
  </cols>
  <sheetData>
    <row r="1" spans="1:10" x14ac:dyDescent="0.35">
      <c r="B1" t="s">
        <v>382</v>
      </c>
      <c r="C1" t="s">
        <v>383</v>
      </c>
      <c r="D1" t="s">
        <v>384</v>
      </c>
      <c r="E1" t="s">
        <v>385</v>
      </c>
      <c r="F1" t="s">
        <v>117</v>
      </c>
      <c r="G1" t="s">
        <v>387</v>
      </c>
      <c r="H1" t="s">
        <v>388</v>
      </c>
      <c r="I1" t="s">
        <v>389</v>
      </c>
      <c r="J1" t="s">
        <v>390</v>
      </c>
    </row>
    <row r="2" spans="1:10" x14ac:dyDescent="0.35">
      <c r="A2" t="s">
        <v>386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35">
      <c r="A4" t="s">
        <v>382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35">
      <c r="A5" t="s">
        <v>383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35">
      <c r="A6" t="s">
        <v>384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35">
      <c r="A7" t="s">
        <v>385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35">
      <c r="A9" t="s">
        <v>34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35">
      <c r="B11" t="s">
        <v>110</v>
      </c>
      <c r="C11" t="s">
        <v>111</v>
      </c>
      <c r="D11" t="s">
        <v>112</v>
      </c>
      <c r="E11" t="s">
        <v>135</v>
      </c>
    </row>
    <row r="12" spans="1:10" x14ac:dyDescent="0.35">
      <c r="A12" t="s">
        <v>392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35">
      <c r="A13" s="86" t="s">
        <v>391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35">
      <c r="A14" t="s">
        <v>393</v>
      </c>
      <c r="B14">
        <f>SUM(B2:D2)*4</f>
        <v>716</v>
      </c>
      <c r="C14">
        <f>E2*4</f>
        <v>328</v>
      </c>
    </row>
    <row r="15" spans="1:10" x14ac:dyDescent="0.35">
      <c r="A15" t="s">
        <v>394</v>
      </c>
      <c r="B15">
        <f>B14*325/261</f>
        <v>891.57088122605364</v>
      </c>
      <c r="C15">
        <f>C14*325/261</f>
        <v>408.42911877394636</v>
      </c>
    </row>
    <row r="16" spans="1:10" x14ac:dyDescent="0.35">
      <c r="B16" t="s">
        <v>395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353</v>
      </c>
      <c r="B1" s="97" t="s">
        <v>355</v>
      </c>
      <c r="C1" s="97" t="s">
        <v>356</v>
      </c>
    </row>
    <row r="2" spans="1:3" x14ac:dyDescent="0.35">
      <c r="A2" s="289" t="s">
        <v>358</v>
      </c>
      <c r="B2" s="289">
        <v>325</v>
      </c>
      <c r="C2" s="290">
        <f>B2*1000</f>
        <v>325000</v>
      </c>
    </row>
    <row r="3" spans="1:3" x14ac:dyDescent="0.35">
      <c r="A3" s="289" t="s">
        <v>359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360</v>
      </c>
      <c r="B6" s="289">
        <v>63</v>
      </c>
      <c r="C6" s="290">
        <f t="shared" si="0"/>
        <v>63000</v>
      </c>
    </row>
    <row r="7" spans="1:3" x14ac:dyDescent="0.35">
      <c r="A7" s="291" t="s">
        <v>350</v>
      </c>
      <c r="B7">
        <v>22</v>
      </c>
      <c r="C7" s="290">
        <f>B7*1000</f>
        <v>22000</v>
      </c>
    </row>
    <row r="8" spans="1:3" x14ac:dyDescent="0.35">
      <c r="A8" s="176" t="s">
        <v>351</v>
      </c>
      <c r="B8">
        <v>20</v>
      </c>
      <c r="C8" s="290">
        <f>B8*1000</f>
        <v>20000</v>
      </c>
    </row>
    <row r="9" spans="1:3" x14ac:dyDescent="0.35">
      <c r="A9" s="176" t="s">
        <v>352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361</v>
      </c>
      <c r="B11" s="289">
        <v>45</v>
      </c>
      <c r="C11" s="290">
        <f t="shared" si="0"/>
        <v>45000</v>
      </c>
    </row>
    <row r="12" spans="1:3" x14ac:dyDescent="0.35">
      <c r="A12" s="291" t="s">
        <v>362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363</v>
      </c>
      <c r="B14" s="289">
        <v>80</v>
      </c>
      <c r="C14" s="290">
        <f t="shared" si="0"/>
        <v>80000</v>
      </c>
    </row>
    <row r="15" spans="1:3" x14ac:dyDescent="0.35">
      <c r="A15" s="291" t="s">
        <v>345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364</v>
      </c>
      <c r="B17">
        <v>30</v>
      </c>
      <c r="C17" s="290">
        <f t="shared" si="0"/>
        <v>30000</v>
      </c>
    </row>
    <row r="18" spans="1:3" x14ac:dyDescent="0.35">
      <c r="A18" s="291" t="s">
        <v>365</v>
      </c>
      <c r="B18">
        <v>20</v>
      </c>
      <c r="C18" s="290">
        <f t="shared" si="0"/>
        <v>20000</v>
      </c>
    </row>
    <row r="19" spans="1:3" x14ac:dyDescent="0.35">
      <c r="A19" s="291" t="s">
        <v>366</v>
      </c>
      <c r="B19">
        <v>5</v>
      </c>
      <c r="C19" s="290">
        <f t="shared" si="0"/>
        <v>5000</v>
      </c>
    </row>
    <row r="20" spans="1:3" ht="15" thickBot="1" x14ac:dyDescent="0.4">
      <c r="A20" s="293" t="s">
        <v>367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W73"/>
  <sheetViews>
    <sheetView zoomScale="130" zoomScaleNormal="130" workbookViewId="0">
      <pane xSplit="2" ySplit="8" topLeftCell="C60" activePane="bottomRight" state="frozen"/>
      <selection pane="topRight" activeCell="C1" sqref="C1"/>
      <selection pane="bottomLeft" activeCell="A9" sqref="A9"/>
      <selection pane="bottomRight" activeCell="I60" sqref="I60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9" ht="18.5" x14ac:dyDescent="0.45">
      <c r="A1" s="348" t="s">
        <v>206</v>
      </c>
      <c r="B1" s="349"/>
      <c r="C1" s="35"/>
      <c r="H1"/>
      <c r="I1" s="240"/>
      <c r="J1" s="356" t="s">
        <v>278</v>
      </c>
      <c r="V1" s="340"/>
      <c r="W1" s="340"/>
      <c r="X1" s="340"/>
      <c r="Y1" s="340"/>
    </row>
    <row r="2" spans="1:49" x14ac:dyDescent="0.35">
      <c r="A2" s="350" t="s">
        <v>191</v>
      </c>
      <c r="B2" s="126"/>
      <c r="C2" t="s">
        <v>192</v>
      </c>
      <c r="I2" s="241"/>
      <c r="J2" s="356"/>
    </row>
    <row r="3" spans="1:49" x14ac:dyDescent="0.35">
      <c r="A3" s="351"/>
      <c r="B3" s="127"/>
      <c r="C3" t="s">
        <v>193</v>
      </c>
      <c r="I3" s="241"/>
      <c r="J3" s="356"/>
    </row>
    <row r="4" spans="1:49" x14ac:dyDescent="0.35">
      <c r="A4" s="351"/>
      <c r="B4" s="128"/>
      <c r="C4" t="s">
        <v>194</v>
      </c>
    </row>
    <row r="5" spans="1:49" x14ac:dyDescent="0.35">
      <c r="A5" s="352"/>
      <c r="B5" s="129"/>
      <c r="C5" t="s">
        <v>181</v>
      </c>
    </row>
    <row r="7" spans="1:49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49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9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9" x14ac:dyDescent="0.35">
      <c r="B10" s="86" t="s">
        <v>170</v>
      </c>
      <c r="D10">
        <v>156.16</v>
      </c>
      <c r="E10">
        <v>197.62799999999999</v>
      </c>
      <c r="F10">
        <v>170.20699999999999</v>
      </c>
      <c r="G10">
        <v>164.13699999999989</v>
      </c>
      <c r="H10">
        <v>168.2833827902208</v>
      </c>
      <c r="I10">
        <v>172.42976558044171</v>
      </c>
      <c r="J10">
        <v>173.0148583315212</v>
      </c>
      <c r="K10">
        <v>173.59995108260071</v>
      </c>
      <c r="L10">
        <v>174.1850438336802</v>
      </c>
      <c r="M10">
        <v>174.77013658475971</v>
      </c>
      <c r="N10">
        <v>172.87701948733081</v>
      </c>
      <c r="O10">
        <v>170.98390238990191</v>
      </c>
      <c r="P10">
        <v>169.09078529247299</v>
      </c>
      <c r="Q10">
        <v>167.19766819504409</v>
      </c>
      <c r="R10">
        <v>168.18650468764571</v>
      </c>
      <c r="S10">
        <v>169.1753411802471</v>
      </c>
      <c r="T10">
        <v>170.1641776728485</v>
      </c>
      <c r="U10">
        <v>171.15301416545</v>
      </c>
      <c r="V10">
        <v>173.69648926200901</v>
      </c>
      <c r="W10">
        <v>176.23996435856819</v>
      </c>
      <c r="X10">
        <v>178.78343945512711</v>
      </c>
      <c r="Y10">
        <v>181.3269145516862</v>
      </c>
      <c r="Z10">
        <v>183.85985203007041</v>
      </c>
      <c r="AA10">
        <v>186.3927895084546</v>
      </c>
      <c r="AB10">
        <v>188.9257269868389</v>
      </c>
      <c r="AC10">
        <v>191.45866446522299</v>
      </c>
      <c r="AD10">
        <v>194.36254309952051</v>
      </c>
      <c r="AE10">
        <v>197.26642173381791</v>
      </c>
      <c r="AF10">
        <v>200.17030036811531</v>
      </c>
      <c r="AG10">
        <v>203.07417900241259</v>
      </c>
      <c r="AH10">
        <v>206.00159731602</v>
      </c>
      <c r="AI10">
        <v>208.92901562962729</v>
      </c>
      <c r="AJ10">
        <v>211.85643394323469</v>
      </c>
      <c r="AK10">
        <v>214.7838522568419</v>
      </c>
      <c r="AL10">
        <v>217.8087435385666</v>
      </c>
      <c r="AM10">
        <v>220.83363482029131</v>
      </c>
      <c r="AN10">
        <v>223.85852610201621</v>
      </c>
      <c r="AO10">
        <v>226.88341738374069</v>
      </c>
      <c r="AP10">
        <v>230.0749559980533</v>
      </c>
      <c r="AQ10">
        <v>233.2664946123657</v>
      </c>
      <c r="AR10">
        <v>236.45803322667831</v>
      </c>
      <c r="AS10">
        <v>239.6495718409908</v>
      </c>
      <c r="AT10">
        <v>242.96586225756681</v>
      </c>
      <c r="AU10">
        <v>246.28215267414279</v>
      </c>
      <c r="AV10">
        <v>249.59844309071909</v>
      </c>
      <c r="AW10">
        <v>252.91473350729501</v>
      </c>
    </row>
    <row r="11" spans="1:49" x14ac:dyDescent="0.35">
      <c r="B11" s="86" t="s">
        <v>171</v>
      </c>
      <c r="D11">
        <v>440</v>
      </c>
      <c r="E11">
        <v>363.8</v>
      </c>
      <c r="F11">
        <v>243.1</v>
      </c>
      <c r="G11">
        <v>216.8</v>
      </c>
      <c r="H11">
        <v>205.08824545292171</v>
      </c>
      <c r="I11">
        <v>194.54899559334319</v>
      </c>
      <c r="J11">
        <v>197.82759010290039</v>
      </c>
      <c r="K11">
        <v>201.1419882747505</v>
      </c>
      <c r="L11">
        <v>204.49241388178211</v>
      </c>
      <c r="M11">
        <v>205.5444242270961</v>
      </c>
      <c r="N11">
        <v>215.81500173946711</v>
      </c>
      <c r="O11">
        <v>226.09143780902031</v>
      </c>
      <c r="P11">
        <v>236.37374708214861</v>
      </c>
      <c r="Q11">
        <v>255.74027715387331</v>
      </c>
      <c r="R11">
        <v>263.44759160026678</v>
      </c>
      <c r="S11">
        <v>271.56345516923977</v>
      </c>
      <c r="T11">
        <v>280.05072703146732</v>
      </c>
      <c r="U11">
        <v>288.01802728313891</v>
      </c>
      <c r="V11">
        <v>288.91839029917872</v>
      </c>
      <c r="W11">
        <v>289.78161248589288</v>
      </c>
      <c r="X11">
        <v>290.60769384328211</v>
      </c>
      <c r="Y11">
        <v>291.43377520067099</v>
      </c>
      <c r="Z11">
        <v>292.30398131342662</v>
      </c>
      <c r="AA11">
        <v>293.17418742618202</v>
      </c>
      <c r="AB11">
        <v>294.08153436826302</v>
      </c>
      <c r="AC11">
        <v>294.98888131034357</v>
      </c>
      <c r="AD11">
        <v>294.38010652389193</v>
      </c>
      <c r="AE11">
        <v>293.77133173744051</v>
      </c>
      <c r="AF11">
        <v>293.1996977803143</v>
      </c>
      <c r="AG11">
        <v>292.66520465251352</v>
      </c>
      <c r="AH11">
        <v>292.03214251474122</v>
      </c>
      <c r="AI11">
        <v>291.39908037696858</v>
      </c>
      <c r="AJ11">
        <v>290.80315906852138</v>
      </c>
      <c r="AK11">
        <v>290.20723776007452</v>
      </c>
      <c r="AL11">
        <v>289.24030329381378</v>
      </c>
      <c r="AM11">
        <v>288.27336882755282</v>
      </c>
      <c r="AN11">
        <v>287.30643436129151</v>
      </c>
      <c r="AO11">
        <v>286.37664072435621</v>
      </c>
      <c r="AP11">
        <v>284.82331709063999</v>
      </c>
      <c r="AQ11">
        <v>283.30713428624921</v>
      </c>
      <c r="AR11">
        <v>281.86523314050908</v>
      </c>
      <c r="AS11">
        <v>280.49761365341982</v>
      </c>
      <c r="AT11">
        <v>278.68189565661112</v>
      </c>
      <c r="AU11">
        <v>276.94045931845392</v>
      </c>
      <c r="AV11">
        <v>275.31044546827241</v>
      </c>
      <c r="AW11">
        <v>273.7175724474165</v>
      </c>
    </row>
    <row r="12" spans="1:49" x14ac:dyDescent="0.35">
      <c r="B12" s="86" t="s">
        <v>172</v>
      </c>
      <c r="D12">
        <v>1779.8</v>
      </c>
      <c r="E12">
        <v>1871.3</v>
      </c>
      <c r="F12">
        <v>1907.1</v>
      </c>
      <c r="G12">
        <v>1958.3</v>
      </c>
      <c r="H12">
        <v>1978.3751090344099</v>
      </c>
      <c r="I12">
        <v>2007.0179878174349</v>
      </c>
      <c r="J12">
        <v>2033.6981662082569</v>
      </c>
      <c r="K12">
        <v>2058.944408239478</v>
      </c>
      <c r="L12">
        <v>2079.7902580671739</v>
      </c>
      <c r="M12">
        <v>2102.1686273791929</v>
      </c>
      <c r="N12">
        <v>2124.2512473170441</v>
      </c>
      <c r="O12">
        <v>2144.5772952143848</v>
      </c>
      <c r="P12">
        <v>2167.3231107185511</v>
      </c>
      <c r="Q12">
        <v>2191.2429616171412</v>
      </c>
      <c r="R12">
        <v>2215.8977049000259</v>
      </c>
      <c r="S12">
        <v>2239.1633223345489</v>
      </c>
      <c r="T12">
        <v>2263.8359898219292</v>
      </c>
      <c r="U12">
        <v>2288.696861456508</v>
      </c>
      <c r="V12">
        <v>2314.5704506450529</v>
      </c>
      <c r="W12">
        <v>2339.8704652897591</v>
      </c>
      <c r="X12">
        <v>2365.3049114681771</v>
      </c>
      <c r="Y12">
        <v>2390.1837073072502</v>
      </c>
      <c r="Z12">
        <v>2414.937033714858</v>
      </c>
      <c r="AA12">
        <v>2439.8964884741581</v>
      </c>
      <c r="AB12">
        <v>2464.336141303103</v>
      </c>
      <c r="AC12">
        <v>2488.5158931668711</v>
      </c>
      <c r="AD12">
        <v>2512.2565020205111</v>
      </c>
      <c r="AE12">
        <v>2535.665513090993</v>
      </c>
      <c r="AF12">
        <v>2559.083486263723</v>
      </c>
      <c r="AG12">
        <v>2582.8330572196101</v>
      </c>
      <c r="AH12">
        <v>2607.0934680036062</v>
      </c>
      <c r="AI12">
        <v>2631.766135490986</v>
      </c>
      <c r="AJ12">
        <v>2656.7704007615239</v>
      </c>
      <c r="AK12">
        <v>2681.7298555208249</v>
      </c>
      <c r="AL12">
        <v>2706.7878934048481</v>
      </c>
      <c r="AM12">
        <v>2731.9265902090979</v>
      </c>
      <c r="AN12">
        <v>2757.0204765021122</v>
      </c>
      <c r="AO12">
        <v>2782.0157796704029</v>
      </c>
      <c r="AP12">
        <v>2807.2440974971282</v>
      </c>
      <c r="AQ12">
        <v>2832.5441121418339</v>
      </c>
      <c r="AR12">
        <v>2858.1488382629541</v>
      </c>
      <c r="AS12">
        <v>2884.2464800076882</v>
      </c>
      <c r="AT12">
        <v>2910.8011889670452</v>
      </c>
      <c r="AU12">
        <v>2937.8756998567569</v>
      </c>
      <c r="AV12">
        <v>2965.0487938711908</v>
      </c>
      <c r="AW12">
        <v>2992.3742436238322</v>
      </c>
    </row>
    <row r="13" spans="1:49" x14ac:dyDescent="0.35">
      <c r="B13" s="86" t="s">
        <v>173</v>
      </c>
      <c r="D13">
        <v>54.2</v>
      </c>
      <c r="E13">
        <v>90.2</v>
      </c>
      <c r="F13">
        <v>95.9</v>
      </c>
      <c r="G13">
        <v>95.9</v>
      </c>
      <c r="H13">
        <v>96.883099094316492</v>
      </c>
      <c r="I13">
        <v>98.285770837814454</v>
      </c>
      <c r="J13">
        <v>99.592327089502035</v>
      </c>
      <c r="K13">
        <v>100.82866197730991</v>
      </c>
      <c r="L13">
        <v>101.8495050547117</v>
      </c>
      <c r="M13">
        <v>102.94539721476001</v>
      </c>
      <c r="N13">
        <v>104.0268062185081</v>
      </c>
      <c r="O13">
        <v>105.0221940515036</v>
      </c>
      <c r="P13">
        <v>106.1360804360461</v>
      </c>
      <c r="Q13">
        <v>107.30746056226521</v>
      </c>
      <c r="R13">
        <v>108.5148291374726</v>
      </c>
      <c r="S13">
        <v>109.6541707664215</v>
      </c>
      <c r="T13">
        <v>110.8624171086775</v>
      </c>
      <c r="U13">
        <v>112.07988000494259</v>
      </c>
      <c r="V13">
        <v>113.3469367394478</v>
      </c>
      <c r="W13">
        <v>114.58590492840121</v>
      </c>
      <c r="X13">
        <v>115.83145637021821</v>
      </c>
      <c r="Y13">
        <v>117.0497970335318</v>
      </c>
      <c r="Z13">
        <v>118.261993327506</v>
      </c>
      <c r="AA13">
        <v>119.4842839425379</v>
      </c>
      <c r="AB13">
        <v>120.68111931316329</v>
      </c>
      <c r="AC13">
        <v>121.8652270615856</v>
      </c>
      <c r="AD13">
        <v>123.0278295173197</v>
      </c>
      <c r="AE13">
        <v>124.1741932826566</v>
      </c>
      <c r="AF13">
        <v>125.3209959315177</v>
      </c>
      <c r="AG13">
        <v>126.4840372707761</v>
      </c>
      <c r="AH13">
        <v>127.6720949709166</v>
      </c>
      <c r="AI13">
        <v>128.88034131317249</v>
      </c>
      <c r="AJ13">
        <v>130.10482634582559</v>
      </c>
      <c r="AK13">
        <v>131.3271169608575</v>
      </c>
      <c r="AL13">
        <v>132.55423529465611</v>
      </c>
      <c r="AM13">
        <v>133.78530358017301</v>
      </c>
      <c r="AN13">
        <v>135.01417744806861</v>
      </c>
      <c r="AO13">
        <v>136.23822359719739</v>
      </c>
      <c r="AP13">
        <v>137.47368071795671</v>
      </c>
      <c r="AQ13">
        <v>138.71264890691</v>
      </c>
      <c r="AR13">
        <v>139.96653913568781</v>
      </c>
      <c r="AS13">
        <v>141.24456795829931</v>
      </c>
      <c r="AT13">
        <v>142.54497984064739</v>
      </c>
      <c r="AU13">
        <v>143.8708469674018</v>
      </c>
      <c r="AV13">
        <v>145.2015418129231</v>
      </c>
      <c r="AW13">
        <v>146.53969767835659</v>
      </c>
    </row>
    <row r="14" spans="1:49" x14ac:dyDescent="0.35">
      <c r="B14" s="86" t="s">
        <v>175</v>
      </c>
      <c r="D14">
        <v>1336.74</v>
      </c>
      <c r="E14">
        <v>1328.7719999999999</v>
      </c>
      <c r="F14">
        <v>1372.7929999999999</v>
      </c>
      <c r="G14">
        <v>1403.2629999999999</v>
      </c>
      <c r="H14">
        <v>1394.63952711825</v>
      </c>
      <c r="I14">
        <v>1386.0160542364999</v>
      </c>
      <c r="J14">
        <v>1416.247429866125</v>
      </c>
      <c r="K14">
        <v>1446.4788054957489</v>
      </c>
      <c r="L14">
        <v>1476.710181125374</v>
      </c>
      <c r="M14">
        <v>1506.9415567549979</v>
      </c>
      <c r="N14">
        <v>1519.7601557667949</v>
      </c>
      <c r="O14">
        <v>1532.578754778594</v>
      </c>
      <c r="P14">
        <v>1545.397353790391</v>
      </c>
      <c r="Q14">
        <v>1558.2159528021889</v>
      </c>
      <c r="R14">
        <v>1568.782547736397</v>
      </c>
      <c r="S14">
        <v>1579.349142670605</v>
      </c>
      <c r="T14">
        <v>1589.9157376048131</v>
      </c>
      <c r="U14">
        <v>1600.4823325390209</v>
      </c>
      <c r="V14">
        <v>1639.9186754518039</v>
      </c>
      <c r="W14">
        <v>1679.3550183645871</v>
      </c>
      <c r="X14">
        <v>1718.7913612773691</v>
      </c>
      <c r="Y14">
        <v>1758.2277041901521</v>
      </c>
      <c r="Z14">
        <v>1787.619695599499</v>
      </c>
      <c r="AA14">
        <v>1817.0116870088459</v>
      </c>
      <c r="AB14">
        <v>1846.403678418194</v>
      </c>
      <c r="AC14">
        <v>1875.7956698275409</v>
      </c>
      <c r="AD14">
        <v>1908.214872793631</v>
      </c>
      <c r="AE14">
        <v>1940.63407575972</v>
      </c>
      <c r="AF14">
        <v>1973.0532787258101</v>
      </c>
      <c r="AG14">
        <v>2005.472481691899</v>
      </c>
      <c r="AH14">
        <v>2057.1759873287519</v>
      </c>
      <c r="AI14">
        <v>2108.879492965606</v>
      </c>
      <c r="AJ14">
        <v>2160.5829986024601</v>
      </c>
      <c r="AK14">
        <v>2212.2865042393132</v>
      </c>
      <c r="AL14">
        <v>2211.5343138466092</v>
      </c>
      <c r="AM14">
        <v>2210.7821234539051</v>
      </c>
      <c r="AN14">
        <v>2210.0299330612011</v>
      </c>
      <c r="AO14">
        <v>2209.2777426684961</v>
      </c>
      <c r="AP14">
        <v>2261.6493087725662</v>
      </c>
      <c r="AQ14">
        <v>2314.0208748766349</v>
      </c>
      <c r="AR14">
        <v>2366.392440980705</v>
      </c>
      <c r="AS14">
        <v>2418.7640070847742</v>
      </c>
      <c r="AT14">
        <v>2464.3652051309859</v>
      </c>
      <c r="AU14">
        <v>2509.9664031771981</v>
      </c>
      <c r="AV14">
        <v>2555.5676012234089</v>
      </c>
      <c r="AW14">
        <v>2601.1687992696211</v>
      </c>
    </row>
    <row r="15" spans="1:49" x14ac:dyDescent="0.35">
      <c r="B15" s="86" t="s">
        <v>166</v>
      </c>
      <c r="D15">
        <v>1828.5000000000009</v>
      </c>
      <c r="E15">
        <v>1861.4</v>
      </c>
      <c r="F15">
        <v>1756.1999999999989</v>
      </c>
      <c r="G15">
        <v>1808.7</v>
      </c>
      <c r="H15">
        <v>1629.356357104331</v>
      </c>
      <c r="I15">
        <v>1501.6652887165669</v>
      </c>
      <c r="J15">
        <v>1514.272945247701</v>
      </c>
      <c r="K15">
        <v>1515.6150242949509</v>
      </c>
      <c r="L15">
        <v>1509.926416318757</v>
      </c>
      <c r="M15">
        <v>1493.7178340556329</v>
      </c>
      <c r="N15">
        <v>1512.9609535468801</v>
      </c>
      <c r="O15">
        <v>1522.99399388232</v>
      </c>
      <c r="P15">
        <v>1526.525817874995</v>
      </c>
      <c r="Q15">
        <v>1522.5832732221379</v>
      </c>
      <c r="R15">
        <v>1530.285602569978</v>
      </c>
      <c r="S15">
        <v>1538.937335064132</v>
      </c>
      <c r="T15">
        <v>1547.192951576636</v>
      </c>
      <c r="U15">
        <v>1555.9808389633261</v>
      </c>
      <c r="V15">
        <v>1592.1555871790999</v>
      </c>
      <c r="W15">
        <v>1622.7235946783901</v>
      </c>
      <c r="X15">
        <v>1646.2517581859961</v>
      </c>
      <c r="Y15">
        <v>1663.4196210501891</v>
      </c>
      <c r="Z15">
        <v>1671.430699166094</v>
      </c>
      <c r="AA15">
        <v>1682.1431104472849</v>
      </c>
      <c r="AB15">
        <v>1694.6607802102719</v>
      </c>
      <c r="AC15">
        <v>1709.3896382183029</v>
      </c>
      <c r="AD15">
        <v>1722.372615576626</v>
      </c>
      <c r="AE15">
        <v>1735.0429474429729</v>
      </c>
      <c r="AF15">
        <v>1746.4953393081139</v>
      </c>
      <c r="AG15">
        <v>1757.1882121565191</v>
      </c>
      <c r="AH15">
        <v>1788.9509959744839</v>
      </c>
      <c r="AI15">
        <v>1816.7189541257289</v>
      </c>
      <c r="AJ15">
        <v>1839.6922791598031</v>
      </c>
      <c r="AK15">
        <v>1858.259733230635</v>
      </c>
      <c r="AL15">
        <v>1832.4294189532291</v>
      </c>
      <c r="AM15">
        <v>1818.576749321116</v>
      </c>
      <c r="AN15">
        <v>1816.4404652627579</v>
      </c>
      <c r="AO15">
        <v>1826.107622074454</v>
      </c>
      <c r="AP15">
        <v>1883.521840106393</v>
      </c>
      <c r="AQ15">
        <v>1928.497184954686</v>
      </c>
      <c r="AR15">
        <v>1962.138859372219</v>
      </c>
      <c r="AS15">
        <v>1983.801049724259</v>
      </c>
      <c r="AT15">
        <v>1944.7885028241169</v>
      </c>
      <c r="AU15">
        <v>1906.4485972733521</v>
      </c>
      <c r="AV15">
        <v>1870.239333659976</v>
      </c>
      <c r="AW15">
        <v>1835.4218257479581</v>
      </c>
    </row>
    <row r="16" spans="1:49" x14ac:dyDescent="0.35">
      <c r="B16" s="86" t="s">
        <v>169</v>
      </c>
      <c r="D16">
        <v>1085.9000000000001</v>
      </c>
      <c r="E16">
        <v>1212.9000000000001</v>
      </c>
      <c r="F16">
        <v>609.79999999999995</v>
      </c>
      <c r="G16">
        <v>402.3</v>
      </c>
      <c r="H16">
        <v>404.18538158623392</v>
      </c>
      <c r="I16">
        <v>406.11408156777497</v>
      </c>
      <c r="J16">
        <v>408.08197438316557</v>
      </c>
      <c r="K16">
        <v>410.07255778657441</v>
      </c>
      <c r="L16">
        <v>412.05076450560961</v>
      </c>
      <c r="M16">
        <v>413.998029513711</v>
      </c>
      <c r="N16">
        <v>415.93291783743882</v>
      </c>
      <c r="O16">
        <v>417.86368059970891</v>
      </c>
      <c r="P16">
        <v>419.80063170416571</v>
      </c>
      <c r="Q16">
        <v>421.75614783518279</v>
      </c>
      <c r="R16">
        <v>423.7302289927602</v>
      </c>
      <c r="S16">
        <v>425.71668683471103</v>
      </c>
      <c r="T16">
        <v>427.69901911520401</v>
      </c>
      <c r="U16">
        <v>429.68753973788392</v>
      </c>
      <c r="V16">
        <v>431.68018592202162</v>
      </c>
      <c r="W16">
        <v>433.67076932543029</v>
      </c>
      <c r="X16">
        <v>435.63659936009208</v>
      </c>
      <c r="Y16">
        <v>437.58798992965131</v>
      </c>
      <c r="Z16">
        <v>439.52494103410811</v>
      </c>
      <c r="AA16">
        <v>441.44951545419133</v>
      </c>
      <c r="AB16">
        <v>443.35552484771432</v>
      </c>
      <c r="AC16">
        <v>445.25947146050851</v>
      </c>
      <c r="AD16">
        <v>447.16548085403139</v>
      </c>
      <c r="AE16">
        <v>449.0735530282833</v>
      </c>
      <c r="AF16">
        <v>450.98368798326419</v>
      </c>
      <c r="AG16">
        <v>452.90619962261849</v>
      </c>
      <c r="AH16">
        <v>454.83283682343068</v>
      </c>
      <c r="AI16">
        <v>456.76772514715861</v>
      </c>
      <c r="AJ16">
        <v>458.72736683963342</v>
      </c>
      <c r="AK16">
        <v>460.70763633939748</v>
      </c>
      <c r="AL16">
        <v>462.71059642718001</v>
      </c>
      <c r="AM16">
        <v>464.73212154152247</v>
      </c>
      <c r="AN16">
        <v>466.76808612096738</v>
      </c>
      <c r="AO16">
        <v>468.80198791968348</v>
      </c>
      <c r="AP16">
        <v>470.83176415694169</v>
      </c>
      <c r="AQ16">
        <v>472.86360317492881</v>
      </c>
      <c r="AR16">
        <v>474.89544219291588</v>
      </c>
      <c r="AS16">
        <v>476.92728121090312</v>
      </c>
      <c r="AT16">
        <v>478.96530857107712</v>
      </c>
      <c r="AU16">
        <v>481.00539871197992</v>
      </c>
      <c r="AV16">
        <v>483.04961441434068</v>
      </c>
      <c r="AW16">
        <v>485.09176733597252</v>
      </c>
    </row>
    <row r="17" spans="1:49" x14ac:dyDescent="0.35">
      <c r="B17" t="s">
        <v>195</v>
      </c>
      <c r="D17">
        <v>884.2600000000001</v>
      </c>
      <c r="E17">
        <v>242.12799999999999</v>
      </c>
      <c r="F17">
        <v>225.90700000000001</v>
      </c>
      <c r="G17">
        <v>260.73700000000002</v>
      </c>
      <c r="H17">
        <v>232.07518871317359</v>
      </c>
      <c r="I17">
        <v>215.720203842161</v>
      </c>
      <c r="J17">
        <v>220.89139620745101</v>
      </c>
      <c r="K17">
        <v>226.76914626180869</v>
      </c>
      <c r="L17">
        <v>232.32795235033251</v>
      </c>
      <c r="M17">
        <v>237.9298898973548</v>
      </c>
      <c r="N17">
        <v>251.6040694504666</v>
      </c>
      <c r="O17">
        <v>265.27969850165113</v>
      </c>
      <c r="P17">
        <v>279.09879389494898</v>
      </c>
      <c r="Q17">
        <v>293.05961551598227</v>
      </c>
      <c r="R17">
        <v>298.02592203707633</v>
      </c>
      <c r="S17">
        <v>303.15281641427401</v>
      </c>
      <c r="T17">
        <v>308.34003676535349</v>
      </c>
      <c r="U17">
        <v>313.62925193845189</v>
      </c>
      <c r="V17">
        <v>314.05502117082477</v>
      </c>
      <c r="W17">
        <v>314.5186220365847</v>
      </c>
      <c r="X17">
        <v>315.03063898617683</v>
      </c>
      <c r="Y17">
        <v>315.58362470772079</v>
      </c>
      <c r="Z17">
        <v>316.2395853229205</v>
      </c>
      <c r="AA17">
        <v>316.95514017513671</v>
      </c>
      <c r="AB17">
        <v>317.71048621778692</v>
      </c>
      <c r="AC17">
        <v>318.55415230022101</v>
      </c>
      <c r="AD17">
        <v>318.29850133827199</v>
      </c>
      <c r="AE17">
        <v>318.13366691457782</v>
      </c>
      <c r="AF17">
        <v>318.04565082439819</v>
      </c>
      <c r="AG17">
        <v>318.06410134177349</v>
      </c>
      <c r="AH17">
        <v>318.09729229239042</v>
      </c>
      <c r="AI17">
        <v>318.17786928038868</v>
      </c>
      <c r="AJ17">
        <v>318.36379279589238</v>
      </c>
      <c r="AK17">
        <v>318.64707655433722</v>
      </c>
      <c r="AL17">
        <v>318.72234084172197</v>
      </c>
      <c r="AM17">
        <v>318.86952061123691</v>
      </c>
      <c r="AN17">
        <v>319.10267892127462</v>
      </c>
      <c r="AO17">
        <v>319.38590629755907</v>
      </c>
      <c r="AP17">
        <v>319.19110945656053</v>
      </c>
      <c r="AQ17">
        <v>319.05567634036208</v>
      </c>
      <c r="AR17">
        <v>318.97514203538952</v>
      </c>
      <c r="AS17">
        <v>318.9496051242694</v>
      </c>
      <c r="AT17">
        <v>318.60334826748328</v>
      </c>
      <c r="AU17">
        <v>318.31720335346819</v>
      </c>
      <c r="AV17">
        <v>318.11173048290601</v>
      </c>
      <c r="AW17">
        <v>317.95738112604761</v>
      </c>
    </row>
    <row r="19" spans="1:49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9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9" x14ac:dyDescent="0.35">
      <c r="B21" t="s">
        <v>184</v>
      </c>
      <c r="D21" s="102">
        <f>main!L112/1000</f>
        <v>156.18299999999999</v>
      </c>
      <c r="E21" s="104">
        <f>main!M112/1000</f>
        <v>197.631</v>
      </c>
      <c r="F21" s="104">
        <f>main!N112/1000</f>
        <v>161.43899999999999</v>
      </c>
      <c r="G21" s="149">
        <f>main!O112/1000</f>
        <v>178.30281690641254</v>
      </c>
      <c r="H21" s="104">
        <f>main!P112/1000</f>
        <v>180.08208413464209</v>
      </c>
      <c r="I21" s="104">
        <f>main!Q112/1000</f>
        <v>180.08208413464209</v>
      </c>
      <c r="J21" s="104">
        <f>main!R112/1000</f>
        <v>180.08208413464209</v>
      </c>
      <c r="K21" s="149">
        <f>main!S112/1000</f>
        <v>180.08208413464209</v>
      </c>
      <c r="L21" s="104">
        <f>main!T112/1000</f>
        <v>221.63948816571326</v>
      </c>
      <c r="M21" s="223">
        <f>main!U112/1000</f>
        <v>221.63948816571326</v>
      </c>
      <c r="N21" s="104">
        <f>M21*(1+N23)</f>
        <v>222.38398180893648</v>
      </c>
      <c r="O21" s="149">
        <f t="shared" ref="O21:AA21" si="0">N21*(1+O23)</f>
        <v>219.97510963898978</v>
      </c>
      <c r="P21" s="104">
        <f t="shared" si="0"/>
        <v>217.56623746904305</v>
      </c>
      <c r="Q21" s="104">
        <f t="shared" si="0"/>
        <v>215.15736529909628</v>
      </c>
      <c r="R21" s="104">
        <f t="shared" si="0"/>
        <v>212.74849312914955</v>
      </c>
      <c r="S21" s="149">
        <f t="shared" si="0"/>
        <v>214.00672523264217</v>
      </c>
      <c r="T21" s="104">
        <f t="shared" si="0"/>
        <v>215.26495733613447</v>
      </c>
      <c r="U21" s="104">
        <f t="shared" si="0"/>
        <v>216.52318943962678</v>
      </c>
      <c r="V21" s="104">
        <f t="shared" si="0"/>
        <v>217.78142154311922</v>
      </c>
      <c r="W21" s="149">
        <f t="shared" si="0"/>
        <v>221.01783327030435</v>
      </c>
      <c r="X21" s="104">
        <f t="shared" si="0"/>
        <v>224.25424499748971</v>
      </c>
      <c r="Y21" s="104">
        <f t="shared" si="0"/>
        <v>227.49065672467472</v>
      </c>
      <c r="Z21" s="104">
        <f t="shared" si="0"/>
        <v>230.72706845185994</v>
      </c>
      <c r="AA21" s="149">
        <f t="shared" si="0"/>
        <v>233.95007172417809</v>
      </c>
      <c r="AB21" s="95"/>
    </row>
    <row r="22" spans="1:49" x14ac:dyDescent="0.35">
      <c r="B22" t="s">
        <v>177</v>
      </c>
      <c r="D22" s="102" t="e">
        <f>#REF!</f>
        <v>#REF!</v>
      </c>
      <c r="E22" s="104">
        <f t="shared" ref="E22:AA22" si="1">D10</f>
        <v>156.16</v>
      </c>
      <c r="F22" s="104">
        <f t="shared" si="1"/>
        <v>197.62799999999999</v>
      </c>
      <c r="G22" s="149">
        <f t="shared" si="1"/>
        <v>170.20699999999999</v>
      </c>
      <c r="H22" s="104">
        <f t="shared" si="1"/>
        <v>164.13699999999989</v>
      </c>
      <c r="I22" s="104">
        <f t="shared" si="1"/>
        <v>168.2833827902208</v>
      </c>
      <c r="J22" s="104">
        <f t="shared" si="1"/>
        <v>172.42976558044171</v>
      </c>
      <c r="K22" s="149">
        <f t="shared" si="1"/>
        <v>173.0148583315212</v>
      </c>
      <c r="L22" s="104">
        <f t="shared" si="1"/>
        <v>173.59995108260071</v>
      </c>
      <c r="M22" s="223">
        <f t="shared" si="1"/>
        <v>174.1850438336802</v>
      </c>
      <c r="N22" s="104">
        <f t="shared" si="1"/>
        <v>174.77013658475971</v>
      </c>
      <c r="O22" s="149">
        <f t="shared" si="1"/>
        <v>172.87701948733081</v>
      </c>
      <c r="P22" s="104">
        <f t="shared" si="1"/>
        <v>170.98390238990191</v>
      </c>
      <c r="Q22" s="104">
        <f t="shared" si="1"/>
        <v>169.09078529247299</v>
      </c>
      <c r="R22" s="104">
        <f t="shared" si="1"/>
        <v>167.19766819504409</v>
      </c>
      <c r="S22" s="149">
        <f t="shared" si="1"/>
        <v>168.18650468764571</v>
      </c>
      <c r="T22" s="104">
        <f t="shared" si="1"/>
        <v>169.1753411802471</v>
      </c>
      <c r="U22" s="104">
        <f t="shared" si="1"/>
        <v>170.1641776728485</v>
      </c>
      <c r="V22" s="104">
        <f t="shared" si="1"/>
        <v>171.15301416545</v>
      </c>
      <c r="W22" s="149">
        <f t="shared" si="1"/>
        <v>173.69648926200901</v>
      </c>
      <c r="X22" s="104">
        <f t="shared" si="1"/>
        <v>176.23996435856819</v>
      </c>
      <c r="Y22" s="104">
        <f t="shared" si="1"/>
        <v>178.78343945512711</v>
      </c>
      <c r="Z22" s="104">
        <f t="shared" si="1"/>
        <v>181.3269145516862</v>
      </c>
      <c r="AA22" s="149">
        <f t="shared" si="1"/>
        <v>183.85985203007041</v>
      </c>
      <c r="AB22" s="95"/>
    </row>
    <row r="23" spans="1:49" s="170" customFormat="1" ht="12" x14ac:dyDescent="0.3">
      <c r="B23" s="210" t="s">
        <v>276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3.359029789252066E-3</v>
      </c>
      <c r="O23" s="246">
        <f t="shared" ref="O23" si="3">(O22/N22)-1</f>
        <v>-1.0832039926402248E-2</v>
      </c>
      <c r="P23" s="230">
        <f t="shared" ref="P23" si="4">(P22/O22)-1</f>
        <v>-1.0950657889885917E-2</v>
      </c>
      <c r="Q23" s="230">
        <f t="shared" ref="Q23" si="5">(Q22/P22)-1</f>
        <v>-1.1071902506424092E-2</v>
      </c>
      <c r="R23" s="230">
        <f t="shared" ref="R23" si="6">(R22/Q22)-1</f>
        <v>-1.1195861998951728E-2</v>
      </c>
      <c r="S23" s="246">
        <f t="shared" ref="S23" si="7">(S22/R22)-1</f>
        <v>5.9141763355701205E-3</v>
      </c>
      <c r="T23" s="230">
        <f t="shared" ref="T23" si="8">(T22/S22)-1</f>
        <v>5.8794045006038687E-3</v>
      </c>
      <c r="U23" s="230">
        <f t="shared" ref="U23" si="9">(U22/T22)-1</f>
        <v>5.8450391511126742E-3</v>
      </c>
      <c r="V23" s="230">
        <f t="shared" ref="V23" si="10">(V22/U22)-1</f>
        <v>5.8110732007450316E-3</v>
      </c>
      <c r="W23" s="246">
        <f t="shared" ref="W23" si="11">(W22/V22)-1</f>
        <v>1.4860825612456274E-2</v>
      </c>
      <c r="X23" s="230">
        <f t="shared" ref="X23" si="12">(X22/W22)-1</f>
        <v>1.4643215342841742E-2</v>
      </c>
      <c r="Y23" s="230">
        <f t="shared" ref="Y23" si="13">(Y22/X22)-1</f>
        <v>1.4431886126486715E-2</v>
      </c>
      <c r="Z23" s="230">
        <f t="shared" ref="Z23" si="14">(Z22/Y22)-1</f>
        <v>1.4226569889866481E-2</v>
      </c>
      <c r="AA23" s="246">
        <f t="shared" ref="AA23" si="15">(AA22/Z22)-1</f>
        <v>1.3968899678498792E-2</v>
      </c>
      <c r="AB23" s="243"/>
    </row>
    <row r="24" spans="1:49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8.0958169064125514</v>
      </c>
      <c r="H24" s="217">
        <f t="shared" ref="H24" si="18">H21-H22</f>
        <v>15.945084134642201</v>
      </c>
      <c r="I24" s="217">
        <f t="shared" ref="I24" si="19">I21-I22</f>
        <v>11.798701344421289</v>
      </c>
      <c r="J24" s="217">
        <f t="shared" ref="J24" si="20">J21-J22</f>
        <v>7.6523185542003773</v>
      </c>
      <c r="K24" s="150">
        <f t="shared" ref="K24:AA24" si="21">K21-K22</f>
        <v>7.0672258031208912</v>
      </c>
      <c r="L24" s="217">
        <f t="shared" si="21"/>
        <v>48.039537083112549</v>
      </c>
      <c r="M24" s="239">
        <f t="shared" si="21"/>
        <v>47.454444332033063</v>
      </c>
      <c r="N24" s="217">
        <f t="shared" si="21"/>
        <v>47.613845224176771</v>
      </c>
      <c r="O24" s="150">
        <f t="shared" si="21"/>
        <v>47.098090151658965</v>
      </c>
      <c r="P24" s="217">
        <f t="shared" si="21"/>
        <v>46.582335079141131</v>
      </c>
      <c r="Q24" s="217">
        <f t="shared" si="21"/>
        <v>46.066580006623298</v>
      </c>
      <c r="R24" s="217">
        <f t="shared" si="21"/>
        <v>45.550824934105464</v>
      </c>
      <c r="S24" s="150">
        <f t="shared" si="21"/>
        <v>45.820220544996459</v>
      </c>
      <c r="T24" s="217">
        <f t="shared" si="21"/>
        <v>46.08961615588737</v>
      </c>
      <c r="U24" s="217">
        <f t="shared" si="21"/>
        <v>46.359011766778281</v>
      </c>
      <c r="V24" s="217">
        <f t="shared" si="21"/>
        <v>46.62840737766922</v>
      </c>
      <c r="W24" s="150">
        <f t="shared" si="21"/>
        <v>47.321344008295341</v>
      </c>
      <c r="X24" s="217">
        <f t="shared" si="21"/>
        <v>48.01428063892152</v>
      </c>
      <c r="Y24" s="217">
        <f t="shared" si="21"/>
        <v>48.707217269547613</v>
      </c>
      <c r="Z24" s="217">
        <f t="shared" si="21"/>
        <v>49.400153900173734</v>
      </c>
      <c r="AA24" s="150">
        <f t="shared" si="21"/>
        <v>50.090219694107674</v>
      </c>
      <c r="AB24" s="244"/>
    </row>
    <row r="25" spans="1:49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9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9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9" x14ac:dyDescent="0.35">
      <c r="B28" t="s">
        <v>187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181.80799999999999</v>
      </c>
      <c r="H28" s="104">
        <f>main!O113/1000</f>
        <v>205.47077000000002</v>
      </c>
      <c r="I28" s="104">
        <f>main!P113/1000</f>
        <v>189.83444692499995</v>
      </c>
      <c r="J28" s="104">
        <f>main!Q113/1000</f>
        <v>190.56361915962492</v>
      </c>
      <c r="K28" s="104">
        <f>main!R113/1000</f>
        <v>191.66284630332211</v>
      </c>
      <c r="L28" s="104">
        <f>main!S113/1000</f>
        <v>193.13947476635536</v>
      </c>
      <c r="M28" s="104">
        <f>L28*(1 + M30)</f>
        <v>196.35660236629698</v>
      </c>
      <c r="N28" s="104">
        <f t="shared" ref="N28:AA28" si="22">M28*(1 + N30)</f>
        <v>197.3667580641972</v>
      </c>
      <c r="O28" s="104">
        <f t="shared" si="22"/>
        <v>207.22871659061335</v>
      </c>
      <c r="P28" s="104">
        <f t="shared" si="22"/>
        <v>217.09630058919853</v>
      </c>
      <c r="Q28" s="104">
        <f t="shared" si="22"/>
        <v>226.96952412363308</v>
      </c>
      <c r="R28" s="104">
        <f t="shared" si="22"/>
        <v>245.5655491414949</v>
      </c>
      <c r="S28" s="104">
        <f t="shared" si="22"/>
        <v>252.96622503618792</v>
      </c>
      <c r="T28" s="104">
        <f t="shared" si="22"/>
        <v>260.75919576513252</v>
      </c>
      <c r="U28" s="104">
        <f t="shared" si="22"/>
        <v>268.90879816157889</v>
      </c>
      <c r="V28" s="104">
        <f t="shared" si="22"/>
        <v>276.55911622352312</v>
      </c>
      <c r="W28" s="104">
        <f t="shared" si="22"/>
        <v>277.42365794108554</v>
      </c>
      <c r="X28" s="104">
        <f t="shared" si="22"/>
        <v>278.25253649189762</v>
      </c>
      <c r="Y28" s="104">
        <f t="shared" si="22"/>
        <v>279.04575187596004</v>
      </c>
      <c r="Z28" s="104">
        <f t="shared" si="22"/>
        <v>279.83896726002212</v>
      </c>
      <c r="AA28" s="104">
        <f t="shared" si="22"/>
        <v>280.67455187861759</v>
      </c>
      <c r="AB28" s="95"/>
    </row>
    <row r="29" spans="1:49" x14ac:dyDescent="0.35">
      <c r="B29" t="s">
        <v>177</v>
      </c>
      <c r="D29" s="102" t="e">
        <f>#REF!</f>
        <v>#REF!</v>
      </c>
      <c r="E29" s="104">
        <f t="shared" ref="E29:AA29" si="23">D11</f>
        <v>440</v>
      </c>
      <c r="F29" s="104">
        <f t="shared" si="23"/>
        <v>363.8</v>
      </c>
      <c r="G29" s="149">
        <f t="shared" si="23"/>
        <v>243.1</v>
      </c>
      <c r="H29" s="104">
        <f t="shared" si="23"/>
        <v>216.8</v>
      </c>
      <c r="I29" s="104">
        <f t="shared" si="23"/>
        <v>205.08824545292171</v>
      </c>
      <c r="J29" s="104">
        <f t="shared" si="23"/>
        <v>194.54899559334319</v>
      </c>
      <c r="K29" s="149">
        <f t="shared" si="23"/>
        <v>197.82759010290039</v>
      </c>
      <c r="L29" s="223">
        <f t="shared" si="23"/>
        <v>201.1419882747505</v>
      </c>
      <c r="M29" s="104">
        <f t="shared" si="23"/>
        <v>204.49241388178211</v>
      </c>
      <c r="N29" s="104">
        <f t="shared" si="23"/>
        <v>205.5444242270961</v>
      </c>
      <c r="O29" s="149">
        <f t="shared" si="23"/>
        <v>215.81500173946711</v>
      </c>
      <c r="P29" s="104">
        <f t="shared" si="23"/>
        <v>226.09143780902031</v>
      </c>
      <c r="Q29" s="104">
        <f t="shared" si="23"/>
        <v>236.37374708214861</v>
      </c>
      <c r="R29" s="104">
        <f t="shared" si="23"/>
        <v>255.74027715387331</v>
      </c>
      <c r="S29" s="149">
        <f t="shared" si="23"/>
        <v>263.44759160026678</v>
      </c>
      <c r="T29" s="104">
        <f t="shared" si="23"/>
        <v>271.56345516923977</v>
      </c>
      <c r="U29" s="104">
        <f t="shared" si="23"/>
        <v>280.05072703146732</v>
      </c>
      <c r="V29" s="104">
        <f t="shared" si="23"/>
        <v>288.01802728313891</v>
      </c>
      <c r="W29" s="149">
        <f t="shared" si="23"/>
        <v>288.91839029917872</v>
      </c>
      <c r="X29" s="104">
        <f t="shared" si="23"/>
        <v>289.78161248589288</v>
      </c>
      <c r="Y29" s="104">
        <f t="shared" si="23"/>
        <v>290.60769384328211</v>
      </c>
      <c r="Z29" s="104">
        <f t="shared" si="23"/>
        <v>291.43377520067099</v>
      </c>
      <c r="AA29" s="149">
        <f t="shared" si="23"/>
        <v>292.30398131342662</v>
      </c>
      <c r="AB29" s="95"/>
    </row>
    <row r="30" spans="1:49" s="170" customFormat="1" ht="12" x14ac:dyDescent="0.3">
      <c r="B30" s="210" t="s">
        <v>276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1.6657017442102129E-2</v>
      </c>
      <c r="N30" s="230">
        <f t="shared" ref="N30" si="25">(N29/M29)-1</f>
        <v>5.1444957069270991E-3</v>
      </c>
      <c r="O30" s="246">
        <f t="shared" ref="O30" si="26">(O29/N29)-1</f>
        <v>4.9967677551902456E-2</v>
      </c>
      <c r="P30" s="230">
        <f t="shared" ref="P30" si="27">(P29/O29)-1</f>
        <v>4.761687550320981E-2</v>
      </c>
      <c r="Q30" s="230">
        <f t="shared" ref="Q30" si="28">(Q29/P29)-1</f>
        <v>4.5478543428140616E-2</v>
      </c>
      <c r="R30" s="230">
        <f t="shared" ref="R30" si="29">(R29/Q29)-1</f>
        <v>8.1931814809341308E-2</v>
      </c>
      <c r="S30" s="246">
        <f t="shared" ref="S30" si="30">(S29/R29)-1</f>
        <v>3.0137272596119535E-2</v>
      </c>
      <c r="T30" s="230">
        <f t="shared" ref="T30" si="31">(T29/S29)-1</f>
        <v>3.0806368430527753E-2</v>
      </c>
      <c r="U30" s="230">
        <f t="shared" ref="U30" si="32">(U29/T29)-1</f>
        <v>3.1253365284140466E-2</v>
      </c>
      <c r="V30" s="230">
        <f t="shared" ref="V30" si="33">(V29/U29)-1</f>
        <v>2.8449489619701396E-2</v>
      </c>
      <c r="W30" s="246">
        <f t="shared" ref="W30" si="34">(W29/V29)-1</f>
        <v>3.1260647971687039E-3</v>
      </c>
      <c r="X30" s="230">
        <f t="shared" ref="X30" si="35">(X29/W29)-1</f>
        <v>2.9877716881236971E-3</v>
      </c>
      <c r="Y30" s="230">
        <f t="shared" ref="Y30" si="36">(Y29/X29)-1</f>
        <v>2.8507031564311003E-3</v>
      </c>
      <c r="Z30" s="230">
        <f t="shared" ref="Z30" si="37">(Z29/Y29)-1</f>
        <v>2.8425997483547683E-3</v>
      </c>
      <c r="AA30" s="246">
        <f t="shared" ref="AA30" si="38">(AA29/Z29)-1</f>
        <v>2.9859480499692115E-3</v>
      </c>
      <c r="AB30" s="243"/>
    </row>
    <row r="31" spans="1:49" s="97" customFormat="1" x14ac:dyDescent="0.35">
      <c r="B31" s="99" t="s">
        <v>178</v>
      </c>
      <c r="D31" s="103"/>
      <c r="E31" s="217"/>
      <c r="F31" s="217">
        <f t="shared" ref="F31" si="39">F28-F29</f>
        <v>-33.023000000000025</v>
      </c>
      <c r="G31" s="150">
        <f t="shared" ref="G31" si="40">G28-G29</f>
        <v>-61.292000000000002</v>
      </c>
      <c r="H31" s="217">
        <f t="shared" ref="H31" si="41">H28-H29</f>
        <v>-11.329229999999995</v>
      </c>
      <c r="I31" s="217">
        <f t="shared" ref="I31" si="42">I28-I29</f>
        <v>-15.253798527921759</v>
      </c>
      <c r="J31" s="217">
        <f t="shared" ref="J31" si="43">J28-J29</f>
        <v>-3.9853764337182724</v>
      </c>
      <c r="K31" s="150">
        <f t="shared" ref="K31:N31" si="44">K28-K29</f>
        <v>-6.1647437995782752</v>
      </c>
      <c r="L31" s="239">
        <f t="shared" si="44"/>
        <v>-8.0025135083951398</v>
      </c>
      <c r="M31" s="217">
        <f t="shared" si="44"/>
        <v>-8.1358115154851305</v>
      </c>
      <c r="N31" s="217">
        <f t="shared" si="44"/>
        <v>-8.1776661628989018</v>
      </c>
      <c r="O31" s="150">
        <f t="shared" ref="O31:AA31" si="45">O28-O29</f>
        <v>-8.5862851488537615</v>
      </c>
      <c r="P31" s="150">
        <f t="shared" si="45"/>
        <v>-8.9951372198217712</v>
      </c>
      <c r="Q31" s="150">
        <f t="shared" si="45"/>
        <v>-9.4042229585155326</v>
      </c>
      <c r="R31" s="150">
        <f t="shared" si="45"/>
        <v>-10.174728012378409</v>
      </c>
      <c r="S31" s="150">
        <f t="shared" si="45"/>
        <v>-10.481366564078854</v>
      </c>
      <c r="T31" s="150">
        <f t="shared" si="45"/>
        <v>-10.804259404107256</v>
      </c>
      <c r="U31" s="150">
        <f t="shared" si="45"/>
        <v>-11.141928869888432</v>
      </c>
      <c r="V31" s="150">
        <f t="shared" si="45"/>
        <v>-11.458911059615787</v>
      </c>
      <c r="W31" s="150">
        <f t="shared" si="45"/>
        <v>-11.494732358093188</v>
      </c>
      <c r="X31" s="150">
        <f t="shared" si="45"/>
        <v>-11.529075993995264</v>
      </c>
      <c r="Y31" s="150">
        <f t="shared" si="45"/>
        <v>-11.56194196732207</v>
      </c>
      <c r="Z31" s="150">
        <f t="shared" si="45"/>
        <v>-11.594807940648877</v>
      </c>
      <c r="AA31" s="150">
        <f t="shared" si="45"/>
        <v>-11.629429434809026</v>
      </c>
      <c r="AB31" s="244"/>
    </row>
    <row r="32" spans="1:49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269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 t="e">
        <f>#REF!</f>
        <v>#REF!</v>
      </c>
      <c r="E36" s="104">
        <f t="shared" ref="E36:K36" si="46">D12</f>
        <v>1779.8</v>
      </c>
      <c r="F36" s="104">
        <f t="shared" si="46"/>
        <v>1871.3</v>
      </c>
      <c r="G36" s="149">
        <f t="shared" si="46"/>
        <v>1907.1</v>
      </c>
      <c r="H36" s="104">
        <f t="shared" si="46"/>
        <v>1958.3</v>
      </c>
      <c r="I36" s="104">
        <f t="shared" si="46"/>
        <v>1978.3751090344099</v>
      </c>
      <c r="J36" s="104">
        <f t="shared" si="46"/>
        <v>2007.0179878174349</v>
      </c>
      <c r="K36" s="149">
        <f t="shared" si="46"/>
        <v>2033.6981662082569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-35.750999999999976</v>
      </c>
      <c r="H37" s="217">
        <f t="shared" si="47"/>
        <v>-54.593681691845177</v>
      </c>
      <c r="I37" s="217">
        <f t="shared" si="47"/>
        <v>-55.153337573248791</v>
      </c>
      <c r="J37" s="217">
        <f t="shared" si="47"/>
        <v>-55.951846589752222</v>
      </c>
      <c r="K37" s="150">
        <f t="shared" si="47"/>
        <v>-56.695639249994201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269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 t="e">
        <f>#REF!</f>
        <v>#REF!</v>
      </c>
      <c r="E42" s="104">
        <f t="shared" ref="E42:K42" si="48">D13</f>
        <v>54.2</v>
      </c>
      <c r="F42" s="104">
        <f t="shared" si="48"/>
        <v>90.2</v>
      </c>
      <c r="G42" s="149">
        <f t="shared" si="48"/>
        <v>95.9</v>
      </c>
      <c r="H42" s="104">
        <f t="shared" si="48"/>
        <v>95.9</v>
      </c>
      <c r="I42" s="104">
        <f t="shared" si="48"/>
        <v>96.883099094316492</v>
      </c>
      <c r="J42" s="104">
        <f t="shared" si="48"/>
        <v>98.285770837814454</v>
      </c>
      <c r="K42" s="149">
        <f t="shared" si="48"/>
        <v>99.592327089502035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-4.3825959008611193</v>
      </c>
      <c r="H43" s="217">
        <f t="shared" si="49"/>
        <v>-2.8001771349484841</v>
      </c>
      <c r="I43" s="217">
        <f t="shared" si="49"/>
        <v>-2.8288825740026482</v>
      </c>
      <c r="J43" s="217">
        <f t="shared" si="49"/>
        <v>-2.8698390843673991</v>
      </c>
      <c r="K43" s="150">
        <f t="shared" si="49"/>
        <v>-2.907989125467509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1390.6101625906522</v>
      </c>
      <c r="I47" s="104">
        <f>main!P95/1000</f>
        <v>1418.489158978964</v>
      </c>
      <c r="J47" s="223">
        <f>main!Q95/1000</f>
        <v>1441.5834808422039</v>
      </c>
      <c r="K47" s="149">
        <f>J47*(1+K49)</f>
        <v>1473.0268768819492</v>
      </c>
      <c r="L47" s="104">
        <f t="shared" ref="L47:AA47" si="50">K47*(1+L49)</f>
        <v>1504.4702729216931</v>
      </c>
      <c r="M47" s="104">
        <f t="shared" si="50"/>
        <v>1535.9136689614381</v>
      </c>
      <c r="N47" s="104">
        <f t="shared" si="50"/>
        <v>1567.3570650011823</v>
      </c>
      <c r="O47" s="149">
        <f t="shared" si="50"/>
        <v>1580.6895805420113</v>
      </c>
      <c r="P47" s="104">
        <f t="shared" si="50"/>
        <v>1594.0220960828426</v>
      </c>
      <c r="Q47" s="104">
        <f t="shared" si="50"/>
        <v>1607.3546116236716</v>
      </c>
      <c r="R47" s="104">
        <f t="shared" si="50"/>
        <v>1620.6871271645016</v>
      </c>
      <c r="S47" s="149">
        <f t="shared" si="50"/>
        <v>1631.6773524648111</v>
      </c>
      <c r="T47" s="104">
        <f t="shared" si="50"/>
        <v>1642.6675777651208</v>
      </c>
      <c r="U47" s="104">
        <f t="shared" si="50"/>
        <v>1653.6578030654305</v>
      </c>
      <c r="V47" s="104">
        <f t="shared" si="50"/>
        <v>1664.6480283657397</v>
      </c>
      <c r="W47" s="149">
        <f t="shared" si="50"/>
        <v>1705.6654323951707</v>
      </c>
      <c r="X47" s="104">
        <f t="shared" si="50"/>
        <v>1746.6828364246021</v>
      </c>
      <c r="Y47" s="104">
        <f t="shared" si="50"/>
        <v>1787.7002404540322</v>
      </c>
      <c r="Z47" s="104">
        <f t="shared" si="50"/>
        <v>1828.7176444834631</v>
      </c>
      <c r="AA47" s="149">
        <f t="shared" si="50"/>
        <v>1859.2880041522844</v>
      </c>
      <c r="AB47" s="95"/>
    </row>
    <row r="48" spans="1:28" x14ac:dyDescent="0.35">
      <c r="B48" t="s">
        <v>177</v>
      </c>
      <c r="D48" s="102" t="e">
        <f>#REF!</f>
        <v>#REF!</v>
      </c>
      <c r="E48" s="104">
        <f t="shared" ref="E48:AA48" si="51">D14</f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1403.2629999999999</v>
      </c>
      <c r="I48" s="104">
        <f t="shared" si="51"/>
        <v>1394.63952711825</v>
      </c>
      <c r="J48" s="223">
        <f t="shared" si="51"/>
        <v>1386.0160542364999</v>
      </c>
      <c r="K48" s="149">
        <f t="shared" si="51"/>
        <v>1416.247429866125</v>
      </c>
      <c r="L48" s="104">
        <f t="shared" si="51"/>
        <v>1446.4788054957489</v>
      </c>
      <c r="M48" s="104">
        <f t="shared" si="51"/>
        <v>1476.710181125374</v>
      </c>
      <c r="N48" s="104">
        <f t="shared" si="51"/>
        <v>1506.9415567549979</v>
      </c>
      <c r="O48" s="149">
        <f t="shared" si="51"/>
        <v>1519.7601557667949</v>
      </c>
      <c r="P48" s="104">
        <f t="shared" si="51"/>
        <v>1532.578754778594</v>
      </c>
      <c r="Q48" s="104">
        <f t="shared" si="51"/>
        <v>1545.397353790391</v>
      </c>
      <c r="R48" s="104">
        <f t="shared" si="51"/>
        <v>1558.2159528021889</v>
      </c>
      <c r="S48" s="149">
        <f t="shared" si="51"/>
        <v>1568.782547736397</v>
      </c>
      <c r="T48" s="104">
        <f t="shared" si="51"/>
        <v>1579.349142670605</v>
      </c>
      <c r="U48" s="104">
        <f t="shared" si="51"/>
        <v>1589.9157376048131</v>
      </c>
      <c r="V48" s="104">
        <f t="shared" si="51"/>
        <v>1600.4823325390209</v>
      </c>
      <c r="W48" s="149">
        <f t="shared" si="51"/>
        <v>1639.9186754518039</v>
      </c>
      <c r="X48" s="104">
        <f t="shared" si="51"/>
        <v>1679.3550183645871</v>
      </c>
      <c r="Y48" s="104">
        <f t="shared" si="51"/>
        <v>1718.7913612773691</v>
      </c>
      <c r="Z48" s="104">
        <f t="shared" si="51"/>
        <v>1758.2277041901521</v>
      </c>
      <c r="AA48" s="149">
        <f t="shared" si="51"/>
        <v>1787.619695599499</v>
      </c>
      <c r="AB48" s="95"/>
    </row>
    <row r="49" spans="1:32" s="170" customFormat="1" ht="12" x14ac:dyDescent="0.3">
      <c r="B49" s="210" t="s">
        <v>276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2.1811706680611609E-2</v>
      </c>
      <c r="L49" s="230">
        <f t="shared" ref="L49" si="53">(L48/K48)-1</f>
        <v>2.1346111556567182E-2</v>
      </c>
      <c r="M49" s="230">
        <f t="shared" ref="M49" si="54">(M48/L48)-1</f>
        <v>2.0899978288491994E-2</v>
      </c>
      <c r="N49" s="230">
        <f t="shared" ref="N49" si="55">(N48/M48)-1</f>
        <v>2.047211160052087E-2</v>
      </c>
      <c r="O49" s="246">
        <f t="shared" ref="O49" si="56">(O48/N48)-1</f>
        <v>8.5063677183341291E-3</v>
      </c>
      <c r="P49" s="230">
        <f t="shared" ref="P49" si="57">(P48/O48)-1</f>
        <v>8.4346197412521473E-3</v>
      </c>
      <c r="Q49" s="230">
        <f t="shared" ref="Q49" si="58">(Q48/P48)-1</f>
        <v>8.364071974656051E-3</v>
      </c>
      <c r="R49" s="230">
        <f t="shared" ref="R49" si="59">(R48/Q48)-1</f>
        <v>8.294694552412496E-3</v>
      </c>
      <c r="S49" s="246">
        <f t="shared" ref="S49" si="60">(S48/R48)-1</f>
        <v>6.7812134224436438E-3</v>
      </c>
      <c r="T49" s="230">
        <f t="shared" ref="T49" si="61">(T48/S48)-1</f>
        <v>6.7355382997182911E-3</v>
      </c>
      <c r="U49" s="230">
        <f t="shared" ref="U49" si="62">(U48/T48)-1</f>
        <v>6.6904743534672573E-3</v>
      </c>
      <c r="V49" s="230">
        <f t="shared" ref="V49" si="63">(V48/U48)-1</f>
        <v>6.6460093980365009E-3</v>
      </c>
      <c r="W49" s="246">
        <f t="shared" ref="W49" si="64">(W48/V48)-1</f>
        <v>2.464028631307702E-2</v>
      </c>
      <c r="X49" s="230">
        <f t="shared" ref="X49" si="65">(X48/W48)-1</f>
        <v>2.4047743039403047E-2</v>
      </c>
      <c r="Y49" s="230">
        <f t="shared" ref="Y49" si="66">(Y48/X48)-1</f>
        <v>2.3483029187709503E-2</v>
      </c>
      <c r="Z49" s="230">
        <f t="shared" ref="Z49" si="67">(Z48/Y48)-1</f>
        <v>2.2944229184090448E-2</v>
      </c>
      <c r="AA49" s="246">
        <f t="shared" ref="AA49" si="68">(AA48/Z48)-1</f>
        <v>1.6716828735721112E-2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-12.65283740934774</v>
      </c>
      <c r="I50" s="217">
        <f t="shared" ref="I50" si="72">I47-I48</f>
        <v>23.849631860713998</v>
      </c>
      <c r="J50" s="239">
        <f t="shared" ref="J50" si="73">J47-J48</f>
        <v>55.567426605703986</v>
      </c>
      <c r="K50" s="150">
        <f t="shared" ref="K50:AA50" si="74">K47-K48</f>
        <v>56.779447015824189</v>
      </c>
      <c r="L50" s="217">
        <f t="shared" si="74"/>
        <v>57.991467425944165</v>
      </c>
      <c r="M50" s="217">
        <f t="shared" si="74"/>
        <v>59.203487836064141</v>
      </c>
      <c r="N50" s="217">
        <f t="shared" si="74"/>
        <v>60.415508246184345</v>
      </c>
      <c r="O50" s="150">
        <f t="shared" si="74"/>
        <v>60.929424775216376</v>
      </c>
      <c r="P50" s="217">
        <f t="shared" si="74"/>
        <v>61.443341304248634</v>
      </c>
      <c r="Q50" s="217">
        <f t="shared" si="74"/>
        <v>61.957257833280664</v>
      </c>
      <c r="R50" s="217">
        <f t="shared" si="74"/>
        <v>62.471174362312695</v>
      </c>
      <c r="S50" s="150">
        <f t="shared" si="74"/>
        <v>62.894804728414101</v>
      </c>
      <c r="T50" s="217">
        <f t="shared" si="74"/>
        <v>63.318435094515735</v>
      </c>
      <c r="U50" s="217">
        <f t="shared" si="74"/>
        <v>63.742065460617368</v>
      </c>
      <c r="V50" s="217">
        <f t="shared" si="74"/>
        <v>64.165695826718775</v>
      </c>
      <c r="W50" s="150">
        <f t="shared" si="74"/>
        <v>65.74675694336679</v>
      </c>
      <c r="X50" s="217">
        <f t="shared" si="74"/>
        <v>67.327818060015034</v>
      </c>
      <c r="Y50" s="217">
        <f t="shared" si="74"/>
        <v>68.908879176663049</v>
      </c>
      <c r="Z50" s="217">
        <f t="shared" si="74"/>
        <v>70.489940293311065</v>
      </c>
      <c r="AA50" s="150">
        <f t="shared" si="74"/>
        <v>71.668308552785447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2027.7929999999999</v>
      </c>
      <c r="H54" s="104">
        <f>main!O94/1000</f>
        <v>3118.1238025000002</v>
      </c>
      <c r="I54" s="104">
        <f>main!P94/1000</f>
        <v>1874.8488739812499</v>
      </c>
      <c r="J54" s="104">
        <f>main!Q94/1000</f>
        <v>1686.4675074263907</v>
      </c>
      <c r="K54" s="263">
        <f>main!R94/1000</f>
        <v>1683.0445200377862</v>
      </c>
      <c r="L54" s="104">
        <f>K54*(1+L56)</f>
        <v>1684.5361789840945</v>
      </c>
      <c r="M54" s="104">
        <f t="shared" ref="M54:AA54" si="75">L54*(1+M56)</f>
        <v>1678.2135536535532</v>
      </c>
      <c r="N54" s="104">
        <f t="shared" si="75"/>
        <v>1660.1984622255873</v>
      </c>
      <c r="O54" s="104">
        <f t="shared" si="75"/>
        <v>1681.586301789001</v>
      </c>
      <c r="P54" s="104">
        <f t="shared" si="75"/>
        <v>1692.7375632632777</v>
      </c>
      <c r="Q54" s="104">
        <f t="shared" si="75"/>
        <v>1696.6630226959808</v>
      </c>
      <c r="R54" s="104">
        <f t="shared" si="75"/>
        <v>1692.2810661974381</v>
      </c>
      <c r="S54" s="104">
        <f t="shared" si="75"/>
        <v>1700.8418499326899</v>
      </c>
      <c r="T54" s="104">
        <f t="shared" si="75"/>
        <v>1710.457851465846</v>
      </c>
      <c r="U54" s="104">
        <f t="shared" si="75"/>
        <v>1719.6335883595871</v>
      </c>
      <c r="V54" s="104">
        <f t="shared" si="75"/>
        <v>1729.4009197745047</v>
      </c>
      <c r="W54" s="104">
        <f t="shared" si="75"/>
        <v>1769.6074835511201</v>
      </c>
      <c r="X54" s="104">
        <f t="shared" si="75"/>
        <v>1803.5824136795445</v>
      </c>
      <c r="Y54" s="104">
        <f t="shared" si="75"/>
        <v>1829.7328819833626</v>
      </c>
      <c r="Z54" s="104">
        <f t="shared" si="75"/>
        <v>1848.8141695445122</v>
      </c>
      <c r="AA54" s="104">
        <f t="shared" si="75"/>
        <v>1857.7181132918283</v>
      </c>
      <c r="AB54" s="95"/>
    </row>
    <row r="55" spans="1:32" x14ac:dyDescent="0.35">
      <c r="B55" t="s">
        <v>177</v>
      </c>
      <c r="D55" s="102" t="e">
        <f>#REF!</f>
        <v>#REF!</v>
      </c>
      <c r="E55" s="104">
        <f t="shared" ref="E55:AA55" si="76">D15</f>
        <v>1828.5000000000009</v>
      </c>
      <c r="F55" s="104">
        <f t="shared" si="76"/>
        <v>1861.4</v>
      </c>
      <c r="G55" s="149">
        <f t="shared" si="76"/>
        <v>1756.1999999999989</v>
      </c>
      <c r="H55" s="104">
        <f t="shared" si="76"/>
        <v>1808.7</v>
      </c>
      <c r="I55" s="104">
        <f t="shared" si="76"/>
        <v>1629.356357104331</v>
      </c>
      <c r="J55" s="104">
        <f t="shared" si="76"/>
        <v>1501.6652887165669</v>
      </c>
      <c r="K55" s="263">
        <f t="shared" si="76"/>
        <v>1514.272945247701</v>
      </c>
      <c r="L55" s="104">
        <f t="shared" si="76"/>
        <v>1515.6150242949509</v>
      </c>
      <c r="M55" s="104">
        <f t="shared" si="76"/>
        <v>1509.926416318757</v>
      </c>
      <c r="N55" s="104">
        <f t="shared" si="76"/>
        <v>1493.7178340556329</v>
      </c>
      <c r="O55" s="149">
        <f t="shared" si="76"/>
        <v>1512.9609535468801</v>
      </c>
      <c r="P55" s="104">
        <f t="shared" si="76"/>
        <v>1522.99399388232</v>
      </c>
      <c r="Q55" s="104">
        <f t="shared" si="76"/>
        <v>1526.525817874995</v>
      </c>
      <c r="R55" s="104">
        <f t="shared" si="76"/>
        <v>1522.5832732221379</v>
      </c>
      <c r="S55" s="149">
        <f t="shared" si="76"/>
        <v>1530.285602569978</v>
      </c>
      <c r="T55" s="104">
        <f t="shared" si="76"/>
        <v>1538.937335064132</v>
      </c>
      <c r="U55" s="104">
        <f t="shared" si="76"/>
        <v>1547.192951576636</v>
      </c>
      <c r="V55" s="104">
        <f t="shared" si="76"/>
        <v>1555.9808389633261</v>
      </c>
      <c r="W55" s="149">
        <f t="shared" si="76"/>
        <v>1592.1555871790999</v>
      </c>
      <c r="X55" s="104">
        <f t="shared" si="76"/>
        <v>1622.7235946783901</v>
      </c>
      <c r="Y55" s="104">
        <f t="shared" si="76"/>
        <v>1646.2517581859961</v>
      </c>
      <c r="Z55" s="104">
        <f t="shared" si="76"/>
        <v>1663.4196210501891</v>
      </c>
      <c r="AA55" s="149">
        <f t="shared" si="76"/>
        <v>1671.430699166094</v>
      </c>
      <c r="AB55" s="95"/>
    </row>
    <row r="56" spans="1:32" s="170" customFormat="1" ht="12" x14ac:dyDescent="0.3">
      <c r="B56" s="210" t="s">
        <v>276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8.8628608961260902E-4</v>
      </c>
      <c r="M56" s="230">
        <f t="shared" ref="M56" si="78">(M55/L55)-1</f>
        <v>-3.7533330595216352E-3</v>
      </c>
      <c r="N56" s="230">
        <f t="shared" ref="N56" si="79">(N55/M55)-1</f>
        <v>-1.0734683550103763E-2</v>
      </c>
      <c r="O56" s="246">
        <f t="shared" ref="O56" si="80">(O55/N55)-1</f>
        <v>1.2882700502409916E-2</v>
      </c>
      <c r="P56" s="230">
        <f t="shared" ref="P56" si="81">(P55/O55)-1</f>
        <v>6.6313940964035645E-3</v>
      </c>
      <c r="Q56" s="230">
        <f t="shared" ref="Q56" si="82">(Q55/P55)-1</f>
        <v>2.3190006046391876E-3</v>
      </c>
      <c r="R56" s="230">
        <f t="shared" ref="R56" si="83">(R55/Q55)-1</f>
        <v>-2.5826911059685376E-3</v>
      </c>
      <c r="S56" s="246">
        <f t="shared" ref="S56" si="84">(S55/R55)-1</f>
        <v>5.0587245264688274E-3</v>
      </c>
      <c r="T56" s="230">
        <f t="shared" ref="T56" si="85">(T55/S55)-1</f>
        <v>5.6536717588038243E-3</v>
      </c>
      <c r="U56" s="230">
        <f t="shared" ref="U56" si="86">(U55/T55)-1</f>
        <v>5.3644916686357291E-3</v>
      </c>
      <c r="V56" s="230">
        <f t="shared" ref="V56" si="87">(V55/U55)-1</f>
        <v>5.6798910425068794E-3</v>
      </c>
      <c r="W56" s="246">
        <f t="shared" ref="W56" si="88">(W55/V55)-1</f>
        <v>2.3248839130869614E-2</v>
      </c>
      <c r="X56" s="230">
        <f t="shared" ref="X56" si="89">(X55/W55)-1</f>
        <v>1.9199133392138412E-2</v>
      </c>
      <c r="Y56" s="230">
        <f t="shared" ref="Y56" si="90">(Y55/X55)-1</f>
        <v>1.4499181243660342E-2</v>
      </c>
      <c r="Z56" s="230">
        <f t="shared" ref="Z56" si="91">(Z55/Y55)-1</f>
        <v>1.0428455294778427E-2</v>
      </c>
      <c r="AA56" s="246">
        <f t="shared" ref="AA56" si="92">(AA55/Z55)-1</f>
        <v>4.8160295902046624E-3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604.60100000000011</v>
      </c>
      <c r="G57" s="150">
        <f t="shared" ref="G57" si="94">G54-G55</f>
        <v>271.59300000000098</v>
      </c>
      <c r="H57" s="217">
        <f t="shared" ref="H57" si="95">H54-H55</f>
        <v>1309.4238025000002</v>
      </c>
      <c r="I57" s="217">
        <f t="shared" ref="I57" si="96">I54-I55</f>
        <v>245.4925168769189</v>
      </c>
      <c r="J57" s="217">
        <f t="shared" ref="J57" si="97">J54-J55</f>
        <v>184.80221870982382</v>
      </c>
      <c r="K57" s="264">
        <f t="shared" ref="K57" si="98">K54-K55</f>
        <v>168.7715747900852</v>
      </c>
      <c r="L57" s="217">
        <f t="shared" ref="L57:AA57" si="99">L54-L55</f>
        <v>168.92115468914358</v>
      </c>
      <c r="M57" s="217">
        <f t="shared" si="99"/>
        <v>168.28713733479617</v>
      </c>
      <c r="N57" s="217">
        <f t="shared" si="99"/>
        <v>166.48062816995434</v>
      </c>
      <c r="O57" s="150">
        <f t="shared" si="99"/>
        <v>168.62534824212094</v>
      </c>
      <c r="P57" s="217">
        <f t="shared" si="99"/>
        <v>169.74356938095775</v>
      </c>
      <c r="Q57" s="217">
        <f t="shared" si="99"/>
        <v>170.13720482098574</v>
      </c>
      <c r="R57" s="217">
        <f t="shared" si="99"/>
        <v>169.69779297530022</v>
      </c>
      <c r="S57" s="150">
        <f t="shared" si="99"/>
        <v>170.55624736271193</v>
      </c>
      <c r="T57" s="217">
        <f t="shared" si="99"/>
        <v>171.52051640171408</v>
      </c>
      <c r="U57" s="217">
        <f t="shared" si="99"/>
        <v>172.44063678295106</v>
      </c>
      <c r="V57" s="217">
        <f t="shared" si="99"/>
        <v>173.42008081117865</v>
      </c>
      <c r="W57" s="150">
        <f t="shared" si="99"/>
        <v>177.4518963720202</v>
      </c>
      <c r="X57" s="217">
        <f t="shared" si="99"/>
        <v>180.85881900115442</v>
      </c>
      <c r="Y57" s="217">
        <f t="shared" si="99"/>
        <v>183.48112379736654</v>
      </c>
      <c r="Z57" s="217">
        <f t="shared" si="99"/>
        <v>185.39454849432309</v>
      </c>
      <c r="AA57" s="150">
        <f t="shared" si="99"/>
        <v>186.28741412573436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209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853.25025000000005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77.703294275287234</v>
      </c>
      <c r="N61" s="231">
        <f>M61*(1+N63)</f>
        <v>78.070503655757662</v>
      </c>
      <c r="O61" s="247">
        <f>N61*(1+O63)</f>
        <v>78.435379078301366</v>
      </c>
      <c r="P61" s="231">
        <f>O61*(1+P63)</f>
        <v>78.799476514869525</v>
      </c>
      <c r="Q61" s="231">
        <f t="shared" ref="Q61:AA61" si="100">P61*(1+Q63)</f>
        <v>79.164740930401024</v>
      </c>
      <c r="R61" s="231">
        <f t="shared" si="100"/>
        <v>79.533506282822614</v>
      </c>
      <c r="S61" s="247">
        <f t="shared" si="100"/>
        <v>79.905772572134282</v>
      </c>
      <c r="T61" s="231">
        <f t="shared" si="100"/>
        <v>80.28037281937263</v>
      </c>
      <c r="U61" s="231">
        <f t="shared" si="100"/>
        <v>80.654195080635418</v>
      </c>
      <c r="V61" s="231">
        <f t="shared" si="100"/>
        <v>81.029184320861589</v>
      </c>
      <c r="W61" s="247">
        <f t="shared" si="100"/>
        <v>81.404951547063334</v>
      </c>
      <c r="X61" s="231">
        <f t="shared" si="100"/>
        <v>81.78032978027727</v>
      </c>
      <c r="Y61" s="231">
        <f t="shared" si="100"/>
        <v>82.151040097637804</v>
      </c>
      <c r="Z61" s="231">
        <f t="shared" si="100"/>
        <v>82.51902746408382</v>
      </c>
      <c r="AA61" s="247">
        <f t="shared" si="100"/>
        <v>82.884291879615319</v>
      </c>
      <c r="AB61" s="95"/>
    </row>
    <row r="62" spans="1:32" x14ac:dyDescent="0.35">
      <c r="B62" t="s">
        <v>177</v>
      </c>
      <c r="D62" s="102" t="e">
        <f>#REF!</f>
        <v>#REF!</v>
      </c>
      <c r="E62" s="104">
        <f t="shared" ref="E62:AA62" si="101">D16</f>
        <v>1085.9000000000001</v>
      </c>
      <c r="F62" s="104">
        <f t="shared" si="101"/>
        <v>1212.9000000000001</v>
      </c>
      <c r="G62" s="149">
        <f t="shared" si="101"/>
        <v>609.79999999999995</v>
      </c>
      <c r="H62" s="104">
        <f t="shared" si="101"/>
        <v>402.3</v>
      </c>
      <c r="I62" s="104">
        <f t="shared" si="101"/>
        <v>404.18538158623392</v>
      </c>
      <c r="J62" s="104">
        <f t="shared" si="101"/>
        <v>406.11408156777497</v>
      </c>
      <c r="K62" s="149">
        <f t="shared" si="101"/>
        <v>408.08197438316557</v>
      </c>
      <c r="L62" s="223">
        <f t="shared" si="101"/>
        <v>410.07255778657441</v>
      </c>
      <c r="M62" s="104">
        <f t="shared" si="101"/>
        <v>412.05076450560961</v>
      </c>
      <c r="N62" s="104">
        <f t="shared" si="101"/>
        <v>413.998029513711</v>
      </c>
      <c r="O62" s="149">
        <f t="shared" si="101"/>
        <v>415.93291783743882</v>
      </c>
      <c r="P62" s="104">
        <f t="shared" si="101"/>
        <v>417.86368059970891</v>
      </c>
      <c r="Q62" s="104">
        <f t="shared" si="101"/>
        <v>419.80063170416571</v>
      </c>
      <c r="R62" s="104">
        <f t="shared" si="101"/>
        <v>421.75614783518279</v>
      </c>
      <c r="S62" s="149">
        <f t="shared" si="101"/>
        <v>423.7302289927602</v>
      </c>
      <c r="T62" s="104">
        <f t="shared" si="101"/>
        <v>425.71668683471103</v>
      </c>
      <c r="U62" s="104">
        <f t="shared" si="101"/>
        <v>427.69901911520401</v>
      </c>
      <c r="V62" s="104">
        <f t="shared" si="101"/>
        <v>429.68753973788392</v>
      </c>
      <c r="W62" s="149">
        <f t="shared" si="101"/>
        <v>431.68018592202162</v>
      </c>
      <c r="X62" s="104">
        <f t="shared" si="101"/>
        <v>433.67076932543029</v>
      </c>
      <c r="Y62" s="104">
        <f t="shared" si="101"/>
        <v>435.63659936009208</v>
      </c>
      <c r="Z62" s="104">
        <f t="shared" si="101"/>
        <v>437.58798992965131</v>
      </c>
      <c r="AA62" s="149">
        <f t="shared" si="101"/>
        <v>439.52494103410811</v>
      </c>
      <c r="AB62" s="95"/>
    </row>
    <row r="63" spans="1:32" s="170" customFormat="1" ht="12" x14ac:dyDescent="0.3">
      <c r="B63" s="210" t="s">
        <v>276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4.8240407251654016E-3</v>
      </c>
      <c r="N63" s="230">
        <f t="shared" si="102"/>
        <v>4.7257890916372336E-3</v>
      </c>
      <c r="O63" s="246">
        <f t="shared" si="102"/>
        <v>4.6736655389412185E-3</v>
      </c>
      <c r="P63" s="230">
        <f t="shared" si="102"/>
        <v>4.6420051875402102E-3</v>
      </c>
      <c r="Q63" s="230">
        <f t="shared" si="102"/>
        <v>4.6353660162015142E-3</v>
      </c>
      <c r="R63" s="230">
        <f t="shared" si="102"/>
        <v>4.6582019733480973E-3</v>
      </c>
      <c r="S63" s="246">
        <f t="shared" si="102"/>
        <v>4.6806221265773829E-3</v>
      </c>
      <c r="T63" s="230">
        <f t="shared" si="102"/>
        <v>4.6880248470182462E-3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4.6374306905740958E-3</v>
      </c>
      <c r="X63" s="230">
        <f t="shared" si="102"/>
        <v>4.6112457053293365E-3</v>
      </c>
      <c r="Y63" s="230">
        <f t="shared" si="102"/>
        <v>4.5330010083908245E-3</v>
      </c>
      <c r="Z63" s="230">
        <f t="shared" si="102"/>
        <v>4.4793999687484654E-3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0.73599999999999</v>
      </c>
      <c r="H64" s="217">
        <f t="shared" si="103"/>
        <v>450.95025000000004</v>
      </c>
      <c r="I64" s="217">
        <f t="shared" si="103"/>
        <v>443.19820174709946</v>
      </c>
      <c r="J64" s="217">
        <f t="shared" si="103"/>
        <v>-298.69716490110829</v>
      </c>
      <c r="K64" s="150">
        <f t="shared" si="103"/>
        <v>-305.33172438316558</v>
      </c>
      <c r="L64" s="217">
        <f t="shared" si="103"/>
        <v>-332.74230778657443</v>
      </c>
      <c r="M64" s="217">
        <f t="shared" si="103"/>
        <v>-334.34747023032236</v>
      </c>
      <c r="N64" s="217">
        <f t="shared" si="103"/>
        <v>-335.92752585795336</v>
      </c>
      <c r="O64" s="150">
        <f t="shared" si="103"/>
        <v>-337.49753875913746</v>
      </c>
      <c r="P64" s="217">
        <f t="shared" si="103"/>
        <v>-339.06420408483939</v>
      </c>
      <c r="Q64" s="217">
        <f t="shared" si="103"/>
        <v>-340.63589077376469</v>
      </c>
      <c r="R64" s="217">
        <f t="shared" si="103"/>
        <v>-342.22264155236019</v>
      </c>
      <c r="S64" s="150">
        <f t="shared" si="103"/>
        <v>-343.82445642062589</v>
      </c>
      <c r="T64" s="217">
        <f t="shared" si="103"/>
        <v>-345.43631401533838</v>
      </c>
      <c r="U64" s="217">
        <f t="shared" si="103"/>
        <v>-347.04482403456859</v>
      </c>
      <c r="V64" s="217">
        <f t="shared" si="103"/>
        <v>-348.65835541702234</v>
      </c>
      <c r="W64" s="150">
        <f t="shared" si="103"/>
        <v>-350.2752343749583</v>
      </c>
      <c r="X64" s="217">
        <f t="shared" si="103"/>
        <v>-351.89043954515301</v>
      </c>
      <c r="Y64" s="217">
        <f t="shared" si="103"/>
        <v>-353.48555926245427</v>
      </c>
      <c r="Z64" s="217">
        <f t="shared" si="103"/>
        <v>-355.06896246556749</v>
      </c>
      <c r="AA64" s="150">
        <f t="shared" si="103"/>
        <v>-356.64064915449279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294.15100000000001</v>
      </c>
      <c r="H68" s="218">
        <f>main!O83/1000</f>
        <v>322.63880399999999</v>
      </c>
      <c r="I68" s="218">
        <f>main!P83/1000</f>
        <v>324.529759216</v>
      </c>
      <c r="J68" s="218">
        <f>main!Q83/1000</f>
        <v>319.32387825286401</v>
      </c>
      <c r="K68" s="151">
        <f>main!R83/1000</f>
        <v>319.12117376587548</v>
      </c>
      <c r="L68" s="218">
        <f>main!S83/1000</f>
        <v>309.92165846093894</v>
      </c>
      <c r="M68" s="218">
        <f>main!T83/1000</f>
        <v>310.72534509478271</v>
      </c>
      <c r="N68" s="218">
        <f>main!U83/1000</f>
        <v>311.53224647516186</v>
      </c>
      <c r="O68" s="151">
        <f>main!V83/1000</f>
        <v>312.34237546106249</v>
      </c>
      <c r="P68" s="248">
        <f>main!W83/1000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336.19109289565444</v>
      </c>
      <c r="U68" s="248">
        <f t="shared" si="104"/>
        <v>341.94362819962095</v>
      </c>
      <c r="V68" s="248">
        <f t="shared" si="104"/>
        <v>347.80927395095131</v>
      </c>
      <c r="W68" s="249">
        <f t="shared" si="104"/>
        <v>348.28144447288759</v>
      </c>
      <c r="X68" s="248">
        <f t="shared" si="104"/>
        <v>348.79556960479533</v>
      </c>
      <c r="Y68" s="248">
        <f t="shared" si="104"/>
        <v>349.36338731436012</v>
      </c>
      <c r="Z68" s="248">
        <f t="shared" si="104"/>
        <v>349.97663866488529</v>
      </c>
      <c r="AA68" s="249">
        <f t="shared" si="104"/>
        <v>350.70408734482481</v>
      </c>
      <c r="AB68" s="95"/>
    </row>
    <row r="69" spans="1:28" x14ac:dyDescent="0.35">
      <c r="B69" t="s">
        <v>177</v>
      </c>
      <c r="D69" s="102" t="e">
        <f>#REF!</f>
        <v>#REF!</v>
      </c>
      <c r="E69" s="104">
        <f t="shared" ref="E69:AA69" si="105">D17</f>
        <v>884.2600000000001</v>
      </c>
      <c r="F69" s="104">
        <f t="shared" si="105"/>
        <v>242.12799999999999</v>
      </c>
      <c r="G69" s="149">
        <f t="shared" si="105"/>
        <v>225.90700000000001</v>
      </c>
      <c r="H69" s="104">
        <f t="shared" si="105"/>
        <v>260.73700000000002</v>
      </c>
      <c r="I69" s="104">
        <f t="shared" si="105"/>
        <v>232.07518871317359</v>
      </c>
      <c r="J69" s="104">
        <f t="shared" si="105"/>
        <v>215.720203842161</v>
      </c>
      <c r="K69" s="149">
        <f t="shared" si="105"/>
        <v>220.89139620745101</v>
      </c>
      <c r="L69" s="104">
        <f t="shared" si="105"/>
        <v>226.76914626180869</v>
      </c>
      <c r="M69" s="104">
        <f t="shared" si="105"/>
        <v>232.32795235033251</v>
      </c>
      <c r="N69" s="104">
        <f t="shared" si="105"/>
        <v>237.9298898973548</v>
      </c>
      <c r="O69" s="149">
        <f t="shared" si="105"/>
        <v>251.6040694504666</v>
      </c>
      <c r="P69" s="231">
        <f t="shared" si="105"/>
        <v>265.27969850165113</v>
      </c>
      <c r="Q69" s="231">
        <f t="shared" si="105"/>
        <v>279.09879389494898</v>
      </c>
      <c r="R69" s="231">
        <f t="shared" si="105"/>
        <v>293.05961551598227</v>
      </c>
      <c r="S69" s="245">
        <f t="shared" si="105"/>
        <v>298.02592203707633</v>
      </c>
      <c r="T69" s="231">
        <f t="shared" si="105"/>
        <v>303.15281641427401</v>
      </c>
      <c r="U69" s="231">
        <f t="shared" si="105"/>
        <v>308.34003676535349</v>
      </c>
      <c r="V69" s="231">
        <f t="shared" si="105"/>
        <v>313.62925193845189</v>
      </c>
      <c r="W69" s="247">
        <f t="shared" si="105"/>
        <v>314.05502117082477</v>
      </c>
      <c r="X69" s="231">
        <f t="shared" si="105"/>
        <v>314.5186220365847</v>
      </c>
      <c r="Y69" s="231">
        <f t="shared" si="105"/>
        <v>315.03063898617683</v>
      </c>
      <c r="Z69" s="231">
        <f t="shared" si="105"/>
        <v>315.58362470772079</v>
      </c>
      <c r="AA69" s="247">
        <f t="shared" si="105"/>
        <v>316.2395853229205</v>
      </c>
      <c r="AB69" s="95"/>
    </row>
    <row r="70" spans="1:28" s="170" customFormat="1" ht="12" x14ac:dyDescent="0.3">
      <c r="B70" s="210" t="s">
        <v>276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6">(Q69/P69)-1</f>
        <v>5.2092547870608463E-2</v>
      </c>
      <c r="R70" s="230">
        <f t="shared" ref="R70" si="107">(R69/Q69)-1</f>
        <v>5.002107471051298E-2</v>
      </c>
      <c r="S70" s="246">
        <f t="shared" ref="S70" si="108">(S69/R69)-1</f>
        <v>1.6946403592149606E-2</v>
      </c>
      <c r="T70" s="230">
        <f t="shared" ref="T70" si="109">(T69/S69)-1</f>
        <v>1.7202847128713339E-2</v>
      </c>
      <c r="U70" s="230">
        <f t="shared" ref="U70" si="110">(U69/T69)-1</f>
        <v>1.7110909317731293E-2</v>
      </c>
      <c r="V70" s="230">
        <f t="shared" ref="V70" si="111">(V69/U69)-1</f>
        <v>1.7153838433000779E-2</v>
      </c>
      <c r="W70" s="246">
        <f t="shared" ref="W70" si="112">(W69/V69)-1</f>
        <v>1.3575558712757285E-3</v>
      </c>
      <c r="X70" s="230">
        <f t="shared" ref="X70" si="113">(X69/W69)-1</f>
        <v>1.4761772126157258E-3</v>
      </c>
      <c r="Y70" s="230">
        <f t="shared" ref="Y70" si="114">(Y69/X69)-1</f>
        <v>1.6279384230946103E-3</v>
      </c>
      <c r="Z70" s="230">
        <f t="shared" ref="Z70" si="115">(Z69/Y69)-1</f>
        <v>1.7553394911795639E-3</v>
      </c>
      <c r="AA70" s="246">
        <f t="shared" ref="AA70" si="116">(AA69/Z69)-1</f>
        <v>2.0785635370252908E-3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49.271999999999991</v>
      </c>
      <c r="G71" s="150">
        <f t="shared" ref="G71:K71" si="117">G68-G69</f>
        <v>68.244</v>
      </c>
      <c r="H71" s="217">
        <f t="shared" si="117"/>
        <v>61.90180399999997</v>
      </c>
      <c r="I71" s="217">
        <f t="shared" si="117"/>
        <v>92.454570502826414</v>
      </c>
      <c r="J71" s="217">
        <f t="shared" si="117"/>
        <v>103.60367441070301</v>
      </c>
      <c r="K71" s="150">
        <f t="shared" si="117"/>
        <v>98.229777558424473</v>
      </c>
      <c r="L71" s="217">
        <f t="shared" ref="L71:N71" si="118">L68-L69</f>
        <v>83.152512199130257</v>
      </c>
      <c r="M71" s="217">
        <f t="shared" si="118"/>
        <v>78.397392744450201</v>
      </c>
      <c r="N71" s="217">
        <f t="shared" si="118"/>
        <v>73.602356577807058</v>
      </c>
      <c r="O71" s="150">
        <f t="shared" ref="O71:AA71" si="119">O68-O69</f>
        <v>60.738306010595892</v>
      </c>
      <c r="P71" s="250">
        <f t="shared" si="119"/>
        <v>47.876046461255555</v>
      </c>
      <c r="Q71" s="250">
        <f t="shared" si="119"/>
        <v>51.406664131078344</v>
      </c>
      <c r="R71" s="250">
        <f t="shared" si="119"/>
        <v>37.445842510045054</v>
      </c>
      <c r="S71" s="239">
        <f t="shared" si="119"/>
        <v>32.479535988951</v>
      </c>
      <c r="T71" s="250">
        <f t="shared" si="119"/>
        <v>33.038276481380422</v>
      </c>
      <c r="U71" s="250">
        <f t="shared" si="119"/>
        <v>33.603591434267457</v>
      </c>
      <c r="V71" s="250">
        <f t="shared" si="119"/>
        <v>34.180022012499421</v>
      </c>
      <c r="W71" s="251">
        <f t="shared" si="119"/>
        <v>34.226423302062813</v>
      </c>
      <c r="X71" s="250">
        <f t="shared" si="119"/>
        <v>34.27694756821063</v>
      </c>
      <c r="Y71" s="250">
        <f t="shared" si="119"/>
        <v>34.3327483281833</v>
      </c>
      <c r="Z71" s="250">
        <f t="shared" si="119"/>
        <v>34.393013957164499</v>
      </c>
      <c r="AA71" s="251">
        <f t="shared" si="119"/>
        <v>34.464502021904309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L1" activePane="topRight" state="frozen"/>
      <selection pane="topRight" activeCell="O10" sqref="O10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254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285</v>
      </c>
      <c r="J1" t="s">
        <v>271</v>
      </c>
      <c r="K1" t="s">
        <v>287</v>
      </c>
      <c r="L1" t="s">
        <v>288</v>
      </c>
      <c r="M1" t="s">
        <v>289</v>
      </c>
      <c r="N1" t="s">
        <v>344</v>
      </c>
      <c r="O1" t="s">
        <v>357</v>
      </c>
      <c r="P1" t="s">
        <v>368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-33.023000000000025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8.0958169064125514</v>
      </c>
      <c r="C4">
        <v>-61.292000000000002</v>
      </c>
      <c r="D4">
        <v>-35.750999999999976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68.244</v>
      </c>
      <c r="J4" s="151">
        <f>'add-ons calculations'!G68</f>
        <v>294.15100000000001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15.945084134642201</v>
      </c>
      <c r="C5">
        <v>-11.329229999999995</v>
      </c>
      <c r="D5">
        <v>-54.593681691845177</v>
      </c>
      <c r="E5">
        <v>-2.8001771349484841</v>
      </c>
      <c r="F5">
        <v>-12.65283740934774</v>
      </c>
      <c r="G5">
        <v>1309.4238025000002</v>
      </c>
      <c r="H5">
        <v>450.95025000000004</v>
      </c>
      <c r="I5">
        <v>61.90180399999997</v>
      </c>
      <c r="J5" s="151">
        <f>'add-ons calculations'!H68</f>
        <v>322.63880399999999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 s="102">
        <v>0</v>
      </c>
      <c r="P5" s="296">
        <f>main!$O$37/1000</f>
        <v>664</v>
      </c>
    </row>
    <row r="6" spans="1:16" x14ac:dyDescent="0.35">
      <c r="A6" s="188">
        <v>44377</v>
      </c>
      <c r="B6">
        <v>11.798701344421289</v>
      </c>
      <c r="C6">
        <v>-15.253798527921759</v>
      </c>
      <c r="D6">
        <v>-55.153337573248791</v>
      </c>
      <c r="E6">
        <v>-2.8288825740026482</v>
      </c>
      <c r="F6">
        <v>23.849631860713998</v>
      </c>
      <c r="G6">
        <v>245.4925168769189</v>
      </c>
      <c r="H6">
        <v>443.19820174709946</v>
      </c>
      <c r="I6">
        <v>92.454570502826414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f>26.5 + 14/4</f>
        <v>30</v>
      </c>
      <c r="P6">
        <v>0</v>
      </c>
    </row>
    <row r="7" spans="1:16" x14ac:dyDescent="0.35">
      <c r="A7" s="188">
        <v>44469</v>
      </c>
      <c r="B7">
        <v>7.6523185542003773</v>
      </c>
      <c r="C7">
        <v>-3.9853764337182724</v>
      </c>
      <c r="D7">
        <v>-55.951846589752222</v>
      </c>
      <c r="E7">
        <v>-2.8698390843673991</v>
      </c>
      <c r="F7">
        <v>55.567426605703986</v>
      </c>
      <c r="G7">
        <v>184.80221870982382</v>
      </c>
      <c r="H7">
        <v>-298.69716490110829</v>
      </c>
      <c r="I7">
        <v>103.60367441070301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f t="shared" ref="O7:O9" si="2">26.5 + 14/4</f>
        <v>30</v>
      </c>
      <c r="P7">
        <v>0</v>
      </c>
    </row>
    <row r="8" spans="1:16" x14ac:dyDescent="0.35">
      <c r="A8" s="188">
        <v>44561</v>
      </c>
      <c r="B8">
        <v>7.0672258031208912</v>
      </c>
      <c r="C8">
        <v>-6.1647437995782752</v>
      </c>
      <c r="D8">
        <v>-56.695639249994201</v>
      </c>
      <c r="E8">
        <v>-2.907989125467509</v>
      </c>
      <c r="F8">
        <v>56.779447015824189</v>
      </c>
      <c r="G8">
        <v>168.7715747900852</v>
      </c>
      <c r="H8">
        <v>-305.33172438316558</v>
      </c>
      <c r="I8">
        <v>98.229777558424473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f t="shared" si="2"/>
        <v>30</v>
      </c>
      <c r="P8">
        <v>0</v>
      </c>
    </row>
    <row r="9" spans="1:16" x14ac:dyDescent="0.35">
      <c r="A9" s="188">
        <v>44651</v>
      </c>
      <c r="B9">
        <v>48.039537083112549</v>
      </c>
      <c r="C9">
        <v>-8.0025135083951398</v>
      </c>
      <c r="D9">
        <v>0</v>
      </c>
      <c r="E9">
        <v>0</v>
      </c>
      <c r="F9">
        <v>57.991467425944165</v>
      </c>
      <c r="G9">
        <v>168.92115468914358</v>
      </c>
      <c r="H9">
        <v>-332.74230778657443</v>
      </c>
      <c r="I9">
        <v>83.152512199130257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f t="shared" si="2"/>
        <v>30</v>
      </c>
      <c r="P9">
        <v>0</v>
      </c>
    </row>
    <row r="10" spans="1:16" x14ac:dyDescent="0.35">
      <c r="A10" s="188">
        <v>44742</v>
      </c>
      <c r="B10">
        <v>47.454444332033063</v>
      </c>
      <c r="C10">
        <v>-8.1358115154851305</v>
      </c>
      <c r="D10">
        <v>0</v>
      </c>
      <c r="E10">
        <v>0</v>
      </c>
      <c r="F10">
        <v>59.203487836064141</v>
      </c>
      <c r="G10">
        <v>168.28713733479617</v>
      </c>
      <c r="H10">
        <v>-334.34747023032236</v>
      </c>
      <c r="I10">
        <v>78.397392744450201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f>26.5 + 7/4</f>
        <v>28.25</v>
      </c>
      <c r="P10">
        <v>0</v>
      </c>
    </row>
    <row r="11" spans="1:16" x14ac:dyDescent="0.35">
      <c r="A11" s="188">
        <v>44834</v>
      </c>
      <c r="B11">
        <v>47.613845224176771</v>
      </c>
      <c r="C11">
        <v>-8.1776661628989018</v>
      </c>
      <c r="D11">
        <v>0</v>
      </c>
      <c r="E11">
        <v>0</v>
      </c>
      <c r="F11">
        <v>60.415508246184345</v>
      </c>
      <c r="G11">
        <v>166.48062816995434</v>
      </c>
      <c r="H11">
        <v>-335.92752585795336</v>
      </c>
      <c r="I11">
        <v>73.602356577807058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f t="shared" ref="O11:O13" si="3">26.5 + 7/4</f>
        <v>28.25</v>
      </c>
      <c r="P11">
        <v>0</v>
      </c>
    </row>
    <row r="12" spans="1:16" x14ac:dyDescent="0.35">
      <c r="A12" s="188">
        <v>44926</v>
      </c>
      <c r="B12">
        <v>47.098090151658965</v>
      </c>
      <c r="C12">
        <v>-8.5862851488537615</v>
      </c>
      <c r="D12">
        <v>0</v>
      </c>
      <c r="E12">
        <v>0</v>
      </c>
      <c r="F12">
        <v>60.929424775216376</v>
      </c>
      <c r="G12">
        <v>168.62534824212094</v>
      </c>
      <c r="H12">
        <v>-337.49753875913746</v>
      </c>
      <c r="I12">
        <v>60.738306010595892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f t="shared" si="3"/>
        <v>28.25</v>
      </c>
      <c r="P12">
        <v>0</v>
      </c>
    </row>
    <row r="13" spans="1:16" x14ac:dyDescent="0.35">
      <c r="A13" s="188">
        <v>45016</v>
      </c>
      <c r="B13">
        <v>46.582335079141131</v>
      </c>
      <c r="C13">
        <v>-8.9951372198217712</v>
      </c>
      <c r="D13">
        <v>0</v>
      </c>
      <c r="E13">
        <v>0</v>
      </c>
      <c r="F13">
        <v>61.443341304248634</v>
      </c>
      <c r="G13">
        <v>169.74356938095775</v>
      </c>
      <c r="H13">
        <v>-339.06420408483939</v>
      </c>
      <c r="I13">
        <v>47.876046461255555</v>
      </c>
      <c r="K13" s="102">
        <f t="shared" si="1"/>
        <v>44</v>
      </c>
      <c r="L13">
        <v>0</v>
      </c>
      <c r="M13">
        <v>44</v>
      </c>
      <c r="N13">
        <v>59</v>
      </c>
      <c r="O13">
        <f t="shared" si="3"/>
        <v>28.25</v>
      </c>
      <c r="P13">
        <v>0</v>
      </c>
    </row>
    <row r="14" spans="1:16" x14ac:dyDescent="0.35">
      <c r="A14" s="188">
        <v>45107</v>
      </c>
      <c r="B14">
        <v>46.066580006623298</v>
      </c>
      <c r="C14">
        <v>-9.4042229585155326</v>
      </c>
      <c r="D14">
        <v>0</v>
      </c>
      <c r="E14">
        <v>0</v>
      </c>
      <c r="F14">
        <v>61.957257833280664</v>
      </c>
      <c r="G14">
        <v>170.13720482098574</v>
      </c>
      <c r="H14">
        <v>-340.63589077376469</v>
      </c>
      <c r="I14">
        <v>51.406664131078344</v>
      </c>
      <c r="K14" s="102">
        <f t="shared" si="1"/>
        <v>0</v>
      </c>
      <c r="N14">
        <v>59</v>
      </c>
      <c r="O14">
        <v>26.5</v>
      </c>
      <c r="P14">
        <v>0</v>
      </c>
    </row>
    <row r="15" spans="1:16" x14ac:dyDescent="0.35">
      <c r="A15" s="188">
        <v>45199</v>
      </c>
      <c r="B15">
        <v>45.550824934105464</v>
      </c>
      <c r="C15">
        <v>-10.174728012378409</v>
      </c>
      <c r="D15">
        <v>0</v>
      </c>
      <c r="E15">
        <v>0</v>
      </c>
      <c r="F15">
        <v>62.471174362312695</v>
      </c>
      <c r="G15">
        <v>169.69779297530022</v>
      </c>
      <c r="H15">
        <v>-342.22264155236019</v>
      </c>
      <c r="I15">
        <v>37.445842510045054</v>
      </c>
      <c r="K15" s="102">
        <f t="shared" si="1"/>
        <v>0</v>
      </c>
      <c r="N15">
        <v>59</v>
      </c>
      <c r="O15">
        <v>26.5</v>
      </c>
      <c r="P15">
        <v>0</v>
      </c>
    </row>
    <row r="16" spans="1:16" x14ac:dyDescent="0.35">
      <c r="A16" s="188">
        <v>45291</v>
      </c>
      <c r="B16">
        <v>45.820220544996459</v>
      </c>
      <c r="C16">
        <v>-10.481366564078854</v>
      </c>
      <c r="D16">
        <v>0</v>
      </c>
      <c r="E16">
        <v>0</v>
      </c>
      <c r="F16">
        <v>62.894804728414101</v>
      </c>
      <c r="G16">
        <v>170.55624736271193</v>
      </c>
      <c r="H16">
        <v>-343.82445642062589</v>
      </c>
      <c r="I16">
        <v>32.479535988951</v>
      </c>
      <c r="K16" s="102">
        <f t="shared" si="1"/>
        <v>0</v>
      </c>
      <c r="N16">
        <v>59</v>
      </c>
      <c r="O16">
        <v>26.5</v>
      </c>
      <c r="P16">
        <v>0</v>
      </c>
    </row>
    <row r="17" spans="1:16" x14ac:dyDescent="0.35">
      <c r="A17" s="188">
        <v>45382</v>
      </c>
      <c r="B17">
        <v>46.08961615588737</v>
      </c>
      <c r="C17">
        <v>-10.804259404107256</v>
      </c>
      <c r="D17">
        <v>0</v>
      </c>
      <c r="E17">
        <v>0</v>
      </c>
      <c r="F17">
        <v>63.318435094515735</v>
      </c>
      <c r="G17">
        <v>171.52051640171408</v>
      </c>
      <c r="H17">
        <v>-345.43631401533838</v>
      </c>
      <c r="I17">
        <v>33.038276481380422</v>
      </c>
      <c r="K17" s="102">
        <f t="shared" si="1"/>
        <v>0</v>
      </c>
      <c r="N17">
        <v>59</v>
      </c>
      <c r="O17">
        <v>26.5</v>
      </c>
      <c r="P17">
        <v>0</v>
      </c>
    </row>
    <row r="18" spans="1:16" x14ac:dyDescent="0.35">
      <c r="A18" s="188">
        <v>45473</v>
      </c>
      <c r="B18">
        <v>46.359011766778281</v>
      </c>
      <c r="C18">
        <v>-11.141928869888432</v>
      </c>
      <c r="D18">
        <v>0</v>
      </c>
      <c r="E18">
        <v>0</v>
      </c>
      <c r="F18">
        <v>63.742065460617368</v>
      </c>
      <c r="G18">
        <v>172.44063678295106</v>
      </c>
      <c r="H18">
        <v>-347.04482403456859</v>
      </c>
      <c r="I18">
        <v>33.603591434267457</v>
      </c>
      <c r="K18" s="102">
        <f t="shared" si="1"/>
        <v>0</v>
      </c>
      <c r="N18">
        <v>59</v>
      </c>
      <c r="O18">
        <v>26.5</v>
      </c>
      <c r="P18">
        <v>0</v>
      </c>
    </row>
    <row r="19" spans="1:16" x14ac:dyDescent="0.35">
      <c r="A19" s="188">
        <v>45565</v>
      </c>
      <c r="B19">
        <v>46.62840737766922</v>
      </c>
      <c r="C19">
        <v>-11.458911059615787</v>
      </c>
      <c r="D19">
        <v>0</v>
      </c>
      <c r="E19">
        <v>0</v>
      </c>
      <c r="F19">
        <v>64.165695826718775</v>
      </c>
      <c r="G19">
        <v>173.42008081117865</v>
      </c>
      <c r="H19">
        <v>-348.65835541702234</v>
      </c>
      <c r="I19">
        <v>34.180022012499421</v>
      </c>
      <c r="K19" s="102">
        <f t="shared" si="1"/>
        <v>0</v>
      </c>
      <c r="N19">
        <v>59</v>
      </c>
      <c r="O19">
        <v>26.5</v>
      </c>
      <c r="P19">
        <v>0</v>
      </c>
    </row>
    <row r="20" spans="1:16" x14ac:dyDescent="0.35">
      <c r="A20" s="188">
        <v>45657</v>
      </c>
      <c r="B20">
        <v>47.321344008295341</v>
      </c>
      <c r="C20">
        <v>-11.494732358093188</v>
      </c>
      <c r="D20">
        <v>0</v>
      </c>
      <c r="E20">
        <v>0</v>
      </c>
      <c r="F20">
        <v>65.74675694336679</v>
      </c>
      <c r="G20">
        <v>177.4518963720202</v>
      </c>
      <c r="H20">
        <v>-350.2752343749583</v>
      </c>
      <c r="I20">
        <v>34.226423302062813</v>
      </c>
      <c r="K20" s="102">
        <f t="shared" si="1"/>
        <v>0</v>
      </c>
      <c r="N20">
        <v>59</v>
      </c>
      <c r="O20">
        <v>26.5</v>
      </c>
      <c r="P20">
        <v>0</v>
      </c>
    </row>
    <row r="21" spans="1:16" x14ac:dyDescent="0.35">
      <c r="A21" s="188">
        <v>45747</v>
      </c>
      <c r="B21">
        <v>48.01428063892152</v>
      </c>
      <c r="C21">
        <v>-11.529075993995264</v>
      </c>
      <c r="D21">
        <v>0</v>
      </c>
      <c r="E21">
        <v>0</v>
      </c>
      <c r="F21">
        <v>67.327818060015034</v>
      </c>
      <c r="G21">
        <v>180.85881900115442</v>
      </c>
      <c r="H21">
        <v>-351.89043954515301</v>
      </c>
      <c r="I21">
        <v>34.27694756821063</v>
      </c>
      <c r="K21" s="102">
        <f t="shared" si="1"/>
        <v>0</v>
      </c>
      <c r="N21">
        <v>59</v>
      </c>
      <c r="O21">
        <v>26.5</v>
      </c>
      <c r="P21">
        <v>0</v>
      </c>
    </row>
    <row r="22" spans="1:16" x14ac:dyDescent="0.35">
      <c r="A22" s="188">
        <v>45838</v>
      </c>
      <c r="B22">
        <v>48.707217269547613</v>
      </c>
      <c r="C22">
        <v>-11.56194196732207</v>
      </c>
      <c r="D22">
        <v>0</v>
      </c>
      <c r="E22">
        <v>0</v>
      </c>
      <c r="F22">
        <v>68.908879176663049</v>
      </c>
      <c r="G22">
        <v>183.48112379736654</v>
      </c>
      <c r="H22">
        <v>-353.48555926245427</v>
      </c>
      <c r="I22">
        <v>34.3327483281833</v>
      </c>
      <c r="K22" s="102">
        <f t="shared" si="1"/>
        <v>0</v>
      </c>
      <c r="N22">
        <v>59</v>
      </c>
      <c r="O22">
        <v>26.5</v>
      </c>
      <c r="P22">
        <v>0</v>
      </c>
    </row>
    <row r="23" spans="1:16" x14ac:dyDescent="0.35">
      <c r="A23" s="188">
        <v>45930</v>
      </c>
      <c r="B23">
        <v>49.400153900173734</v>
      </c>
      <c r="C23">
        <v>-11.594807940648877</v>
      </c>
      <c r="D23">
        <v>0</v>
      </c>
      <c r="E23">
        <v>0</v>
      </c>
      <c r="F23">
        <v>70.489940293311065</v>
      </c>
      <c r="G23">
        <v>185.39454849432309</v>
      </c>
      <c r="H23">
        <v>-355.06896246556749</v>
      </c>
      <c r="I23">
        <v>34.393013957164499</v>
      </c>
      <c r="K23" s="102">
        <f t="shared" si="1"/>
        <v>0</v>
      </c>
      <c r="N23">
        <v>59</v>
      </c>
      <c r="O23">
        <v>26.5</v>
      </c>
      <c r="P23">
        <v>0</v>
      </c>
    </row>
    <row r="24" spans="1:16" x14ac:dyDescent="0.35">
      <c r="A24" s="188">
        <v>46022</v>
      </c>
      <c r="B24">
        <v>50.090219694107674</v>
      </c>
      <c r="C24">
        <v>-11.629429434809026</v>
      </c>
      <c r="D24">
        <v>0</v>
      </c>
      <c r="E24">
        <v>0</v>
      </c>
      <c r="F24">
        <v>71.668308552785447</v>
      </c>
      <c r="G24">
        <v>186.28741412573436</v>
      </c>
      <c r="H24">
        <v>-356.64064915449279</v>
      </c>
      <c r="I24">
        <v>34.464502021904309</v>
      </c>
      <c r="K24" s="102">
        <f t="shared" si="1"/>
        <v>0</v>
      </c>
      <c r="N24">
        <v>59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40" t="s">
        <v>21</v>
      </c>
      <c r="E1" s="340"/>
      <c r="F1" s="340"/>
      <c r="G1" s="340"/>
      <c r="H1" s="340" t="s">
        <v>9</v>
      </c>
      <c r="I1" s="340"/>
      <c r="J1" s="340"/>
      <c r="K1" s="340"/>
      <c r="L1" s="340" t="s">
        <v>10</v>
      </c>
      <c r="M1" s="340"/>
      <c r="N1" s="340"/>
      <c r="O1" s="340"/>
      <c r="P1" s="340" t="s">
        <v>11</v>
      </c>
      <c r="Q1" s="340"/>
      <c r="R1" s="340"/>
      <c r="S1" s="340"/>
      <c r="T1" s="340" t="s">
        <v>264</v>
      </c>
      <c r="U1" s="340"/>
      <c r="V1" s="340"/>
      <c r="W1" s="340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212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>
        <f>main!N97</f>
        <v>818740</v>
      </c>
      <c r="M5" s="262">
        <f>main!O97</f>
        <v>831250.83502466371</v>
      </c>
      <c r="N5" s="262">
        <f>main!P97</f>
        <v>838457.84744285408</v>
      </c>
      <c r="O5" s="262">
        <f>main!Q97</f>
        <v>839187.01967747905</v>
      </c>
      <c r="P5" s="262">
        <f>main!R97</f>
        <v>840286.24682117626</v>
      </c>
      <c r="Q5" s="262">
        <f>main!S97</f>
        <v>841762.8752842095</v>
      </c>
      <c r="R5" s="262">
        <f>main!T97</f>
        <v>843107.97501111636</v>
      </c>
      <c r="S5" s="262">
        <f>main!U97</f>
        <v>844539.45728929248</v>
      </c>
      <c r="T5" s="262">
        <f>main!V97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211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>
        <f>main!N100</f>
        <v>673632</v>
      </c>
      <c r="M6" s="35">
        <f>main!O100</f>
        <v>685780.06502466369</v>
      </c>
      <c r="N6" s="35">
        <f>main!P100</f>
        <v>692623.40051785414</v>
      </c>
      <c r="O6" s="35">
        <f>main!Q100</f>
        <v>692623.40051785414</v>
      </c>
      <c r="P6" s="35">
        <f>main!R100</f>
        <v>692623.40051785414</v>
      </c>
      <c r="Q6" s="35">
        <f>main!S100</f>
        <v>692623.40051785414</v>
      </c>
      <c r="R6" s="35">
        <f>main!T100</f>
        <v>692623.40051785414</v>
      </c>
      <c r="S6" s="35">
        <f>main!U100</f>
        <v>692623.40051785414</v>
      </c>
      <c r="T6" s="35">
        <f>main!V100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48" t="s">
        <v>206</v>
      </c>
      <c r="B1" s="349"/>
      <c r="C1" s="35"/>
      <c r="I1" s="240"/>
      <c r="J1" s="356" t="s">
        <v>278</v>
      </c>
      <c r="V1" s="340"/>
      <c r="W1" s="340"/>
      <c r="X1" s="340"/>
      <c r="Y1" s="340"/>
    </row>
    <row r="2" spans="1:27" x14ac:dyDescent="0.35">
      <c r="A2" s="350" t="s">
        <v>191</v>
      </c>
      <c r="B2" s="126"/>
      <c r="C2" t="s">
        <v>192</v>
      </c>
      <c r="H2" s="95"/>
      <c r="I2" s="241"/>
      <c r="J2" s="356"/>
    </row>
    <row r="3" spans="1:27" x14ac:dyDescent="0.35">
      <c r="A3" s="351"/>
      <c r="B3" s="127"/>
      <c r="C3" t="s">
        <v>193</v>
      </c>
      <c r="H3" s="95"/>
      <c r="I3" s="241"/>
      <c r="J3" s="356"/>
    </row>
    <row r="4" spans="1:27" x14ac:dyDescent="0.35">
      <c r="A4" s="351"/>
      <c r="B4" s="128"/>
      <c r="C4" t="s">
        <v>194</v>
      </c>
      <c r="H4" s="95"/>
      <c r="I4" s="95"/>
      <c r="J4" s="95"/>
    </row>
    <row r="5" spans="1:27" x14ac:dyDescent="0.35">
      <c r="A5" s="352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4"/>
      <c r="O7" s="353" t="s">
        <v>268</v>
      </c>
      <c r="P7" s="354"/>
      <c r="Q7" s="354"/>
      <c r="R7" s="354"/>
      <c r="S7" s="353" t="s">
        <v>272</v>
      </c>
      <c r="T7" s="354"/>
      <c r="U7" s="354"/>
      <c r="V7" s="354"/>
      <c r="W7" s="353" t="s">
        <v>273</v>
      </c>
      <c r="X7" s="354"/>
      <c r="Y7" s="354"/>
      <c r="Z7" s="354"/>
      <c r="AA7" s="222" t="s">
        <v>274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276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276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276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276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254</v>
      </c>
      <c r="B1" s="259" t="s">
        <v>247</v>
      </c>
      <c r="C1" s="259" t="s">
        <v>248</v>
      </c>
      <c r="D1" s="259" t="s">
        <v>249</v>
      </c>
      <c r="E1" s="259" t="s">
        <v>250</v>
      </c>
      <c r="F1" s="259" t="s">
        <v>251</v>
      </c>
      <c r="G1" s="259" t="s">
        <v>252</v>
      </c>
      <c r="H1" s="259" t="s">
        <v>253</v>
      </c>
      <c r="I1" s="259" t="s">
        <v>285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-35.750999999999976</v>
      </c>
      <c r="E3" s="259">
        <v>-4.3825959008611193</v>
      </c>
      <c r="F3" s="259">
        <v>30.68379862957454</v>
      </c>
      <c r="G3" s="259">
        <v>591.06441309996126</v>
      </c>
      <c r="H3" s="259">
        <v>0.73599999999999</v>
      </c>
      <c r="I3" s="259">
        <v>68.244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-54.593681691845177</v>
      </c>
      <c r="E4" s="259">
        <v>-2.8001771349484841</v>
      </c>
      <c r="F4" s="259">
        <v>66.012511731550148</v>
      </c>
      <c r="G4" s="259">
        <v>1201.8936191406992</v>
      </c>
      <c r="H4" s="259">
        <v>450.95025000000004</v>
      </c>
      <c r="I4" s="259">
        <v>61.90180399999997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-55.153337573248791</v>
      </c>
      <c r="E5" s="259">
        <v>-2.8288825740026482</v>
      </c>
      <c r="F5" s="259">
        <v>101.61723848447548</v>
      </c>
      <c r="G5" s="259">
        <v>854.05661636033483</v>
      </c>
      <c r="H5" s="259">
        <v>443.19820174709946</v>
      </c>
      <c r="I5" s="259">
        <v>92.454570502826414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-55.951846589752222</v>
      </c>
      <c r="E6" s="259">
        <v>-2.8698390843673991</v>
      </c>
      <c r="F6" s="259">
        <v>137.50135897728978</v>
      </c>
      <c r="G6" s="259">
        <v>906.03001879956446</v>
      </c>
      <c r="H6" s="259">
        <v>-298.69716490110829</v>
      </c>
      <c r="I6" s="259">
        <v>103.60367441070301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-56.695639249994201</v>
      </c>
      <c r="E7" s="259">
        <v>-2.907989125467509</v>
      </c>
      <c r="F7" s="259">
        <v>144.44402858127864</v>
      </c>
      <c r="G7" s="259">
        <v>926.50683572140088</v>
      </c>
      <c r="H7" s="259">
        <v>-305.33172438316558</v>
      </c>
      <c r="I7" s="259">
        <v>98.229777558424473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-332.74230778657443</v>
      </c>
      <c r="I8" s="259">
        <v>83.152512199130257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-334.34747023032236</v>
      </c>
      <c r="I9" s="259">
        <v>78.397392744450201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-335.92752585795336</v>
      </c>
      <c r="I10" s="259">
        <v>73.602356577807058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-337.49753875913746</v>
      </c>
      <c r="I11" s="259">
        <v>60.738306010595892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-339.06420408483939</v>
      </c>
      <c r="I12" s="259">
        <v>47.876046461255555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-340.63589077376469</v>
      </c>
      <c r="I13" s="259">
        <v>51.406664131078344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-342.22264155236019</v>
      </c>
      <c r="I14" s="259">
        <v>37.445842510045054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-343.82445642062589</v>
      </c>
      <c r="I15" s="259">
        <v>32.479535988951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-345.43631401533838</v>
      </c>
      <c r="I16" s="259">
        <v>33.038276481380422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-347.04482403456859</v>
      </c>
      <c r="I17" s="259">
        <v>33.603591434267457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-348.65835541702234</v>
      </c>
      <c r="I18" s="259">
        <v>34.180022012499421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-350.2752343749583</v>
      </c>
      <c r="I19" s="259">
        <v>34.226423302062813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-351.89043954515301</v>
      </c>
      <c r="I20" s="259">
        <v>34.27694756821063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-353.48555926245427</v>
      </c>
      <c r="I21" s="259">
        <v>34.3327483281833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-355.06896246556749</v>
      </c>
      <c r="I22" s="259">
        <v>34.393013957164499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-356.64064915449279</v>
      </c>
      <c r="I23" s="259">
        <v>34.464502021904309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topLeftCell="A19" workbookViewId="0">
      <selection activeCell="J34" sqref="J34"/>
    </sheetView>
  </sheetViews>
  <sheetFormatPr defaultColWidth="8.81640625" defaultRowHeight="14.5" x14ac:dyDescent="0.35"/>
  <sheetData>
    <row r="1" spans="1:10" s="297" customFormat="1" x14ac:dyDescent="0.35">
      <c r="A1" s="297" t="s">
        <v>320</v>
      </c>
      <c r="B1" s="297" t="s">
        <v>321</v>
      </c>
      <c r="C1" s="297" t="s">
        <v>322</v>
      </c>
      <c r="D1" s="297" t="s">
        <v>323</v>
      </c>
      <c r="E1" s="297" t="s">
        <v>324</v>
      </c>
      <c r="F1" s="297" t="s">
        <v>325</v>
      </c>
      <c r="G1" s="297" t="s">
        <v>326</v>
      </c>
      <c r="H1" s="297" t="s">
        <v>327</v>
      </c>
      <c r="I1" s="297" t="s">
        <v>328</v>
      </c>
      <c r="J1" s="297" t="s">
        <v>372</v>
      </c>
    </row>
    <row r="2" spans="1:10" x14ac:dyDescent="0.35">
      <c r="A2" t="s">
        <v>290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291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292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293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294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295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296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297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329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330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299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300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301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302</v>
      </c>
      <c r="H15">
        <v>1078100</v>
      </c>
      <c r="I15">
        <v>15600</v>
      </c>
      <c r="J15">
        <v>5000</v>
      </c>
    </row>
    <row r="16" spans="1:10" x14ac:dyDescent="0.35">
      <c r="A16" t="s">
        <v>303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304</v>
      </c>
      <c r="H17">
        <v>19100</v>
      </c>
      <c r="I17">
        <v>27000</v>
      </c>
      <c r="J17">
        <v>10800</v>
      </c>
    </row>
    <row r="18" spans="1:10" x14ac:dyDescent="0.35">
      <c r="A18" t="s">
        <v>305</v>
      </c>
      <c r="H18">
        <v>160900</v>
      </c>
      <c r="I18">
        <v>58400</v>
      </c>
      <c r="J18">
        <v>34500</v>
      </c>
    </row>
    <row r="19" spans="1:10" x14ac:dyDescent="0.35">
      <c r="A19" t="s">
        <v>306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307</v>
      </c>
      <c r="H20">
        <v>609300</v>
      </c>
      <c r="I20">
        <v>865600</v>
      </c>
      <c r="J20">
        <v>260300</v>
      </c>
    </row>
    <row r="21" spans="1:10" x14ac:dyDescent="0.35">
      <c r="A21" t="s">
        <v>308</v>
      </c>
      <c r="H21">
        <v>63800</v>
      </c>
      <c r="I21">
        <v>15000</v>
      </c>
      <c r="J21">
        <v>100</v>
      </c>
    </row>
    <row r="22" spans="1:10" x14ac:dyDescent="0.35">
      <c r="A22" t="s">
        <v>309</v>
      </c>
      <c r="H22">
        <v>73300</v>
      </c>
      <c r="I22">
        <v>73300</v>
      </c>
      <c r="J22">
        <v>73300</v>
      </c>
    </row>
    <row r="23" spans="1:10" x14ac:dyDescent="0.35">
      <c r="A23" t="s">
        <v>310</v>
      </c>
      <c r="H23">
        <v>140000</v>
      </c>
      <c r="I23">
        <v>140000</v>
      </c>
      <c r="J23">
        <v>140000</v>
      </c>
    </row>
    <row r="24" spans="1:10" x14ac:dyDescent="0.35">
      <c r="A24" t="s">
        <v>311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314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313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315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316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317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318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319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298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332</v>
      </c>
      <c r="H33">
        <v>277100</v>
      </c>
      <c r="I33">
        <v>228300</v>
      </c>
      <c r="J33">
        <v>213400</v>
      </c>
    </row>
    <row r="34" spans="1:10" x14ac:dyDescent="0.35">
      <c r="A34" t="s">
        <v>312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254</v>
      </c>
      <c r="B1" t="s">
        <v>286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230</v>
      </c>
    </row>
    <row r="3" spans="1:16" x14ac:dyDescent="0.35">
      <c r="B3" s="157" t="s">
        <v>231</v>
      </c>
    </row>
    <row r="4" spans="1:16" x14ac:dyDescent="0.35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234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235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236</v>
      </c>
      <c r="C8" s="160"/>
      <c r="D8" s="161">
        <f>SUMPRODUCT(B5:B6,C5:C6)</f>
        <v>0.45</v>
      </c>
    </row>
    <row r="9" spans="1:16" x14ac:dyDescent="0.35">
      <c r="B9" s="157" t="s">
        <v>237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239</v>
      </c>
      <c r="D19" s="157">
        <f>SUMPRODUCT(C15:C17,B15:B17)</f>
        <v>0.86186821348990206</v>
      </c>
    </row>
    <row r="20" spans="1:12" x14ac:dyDescent="0.35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240</v>
      </c>
    </row>
    <row r="23" spans="1:12" x14ac:dyDescent="0.35">
      <c r="A23" s="157" t="s">
        <v>241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242</v>
      </c>
      <c r="C26" s="157">
        <v>1065.5</v>
      </c>
      <c r="D26" s="157">
        <f>C26/C25</f>
        <v>0.18843065822516181</v>
      </c>
    </row>
    <row r="27" spans="1:12" x14ac:dyDescent="0.35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230</v>
      </c>
    </row>
    <row r="3" spans="1:16" x14ac:dyDescent="0.35">
      <c r="B3" s="157" t="s">
        <v>231</v>
      </c>
    </row>
    <row r="4" spans="1:16" x14ac:dyDescent="0.35">
      <c r="A4" s="157" t="s">
        <v>232</v>
      </c>
      <c r="C4" s="157" t="s">
        <v>233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234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235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236</v>
      </c>
      <c r="C8" s="160"/>
      <c r="D8" s="161">
        <f>SUMPRODUCT(B5:B6,C5:C6)</f>
        <v>0.52500000000000002</v>
      </c>
    </row>
    <row r="9" spans="1:16" x14ac:dyDescent="0.35">
      <c r="B9" s="157" t="s">
        <v>237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238</v>
      </c>
      <c r="C14" s="157" t="s">
        <v>233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235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239</v>
      </c>
      <c r="D19" s="157">
        <f>SUMPRODUCT(C15:C17,B15:B17)</f>
        <v>0.86186821348990206</v>
      </c>
    </row>
    <row r="20" spans="1:12" x14ac:dyDescent="0.35">
      <c r="B20" s="161" t="s">
        <v>237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240</v>
      </c>
    </row>
    <row r="23" spans="1:12" x14ac:dyDescent="0.35">
      <c r="A23" s="157" t="s">
        <v>241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242</v>
      </c>
      <c r="C26" s="157">
        <v>1065.5</v>
      </c>
      <c r="D26" s="157">
        <f>C26/C25</f>
        <v>0.18843065822516181</v>
      </c>
    </row>
    <row r="27" spans="1:12" x14ac:dyDescent="0.35">
      <c r="B27" s="157" t="s">
        <v>243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60"/>
      <c r="S8" s="361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218</v>
      </c>
      <c r="E12" s="28" t="s">
        <v>216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224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217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223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222</v>
      </c>
    </row>
    <row r="15" spans="1:19" x14ac:dyDescent="0.35">
      <c r="A15" t="s">
        <v>221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219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41" t="s">
        <v>206</v>
      </c>
      <c r="B1" s="341"/>
      <c r="C1" s="35"/>
      <c r="H1"/>
      <c r="I1"/>
      <c r="J1"/>
      <c r="X1" t="s">
        <v>28</v>
      </c>
      <c r="Z1" s="362" t="s">
        <v>84</v>
      </c>
      <c r="AA1" s="362"/>
      <c r="AB1" s="362"/>
      <c r="AC1" s="340"/>
      <c r="AD1" s="340"/>
      <c r="AE1" s="340"/>
      <c r="AF1" s="340"/>
    </row>
    <row r="2" spans="1:32" x14ac:dyDescent="0.35">
      <c r="A2" s="363" t="s">
        <v>191</v>
      </c>
      <c r="B2" s="107"/>
      <c r="C2" t="s">
        <v>192</v>
      </c>
    </row>
    <row r="3" spans="1:32" x14ac:dyDescent="0.35">
      <c r="A3" s="363"/>
      <c r="B3" s="108"/>
      <c r="C3" t="s">
        <v>193</v>
      </c>
    </row>
    <row r="4" spans="1:32" x14ac:dyDescent="0.35">
      <c r="A4" s="363"/>
      <c r="B4" s="109"/>
      <c r="C4" t="s">
        <v>194</v>
      </c>
    </row>
    <row r="5" spans="1:32" x14ac:dyDescent="0.35">
      <c r="A5" s="363"/>
      <c r="B5" s="98"/>
      <c r="C5" t="s">
        <v>181</v>
      </c>
    </row>
    <row r="7" spans="1:32" x14ac:dyDescent="0.35">
      <c r="C7" s="353" t="s">
        <v>160</v>
      </c>
      <c r="D7" s="354"/>
      <c r="E7" s="354"/>
      <c r="F7" s="355"/>
      <c r="G7" s="353" t="s">
        <v>165</v>
      </c>
      <c r="H7" s="354"/>
      <c r="I7" s="354"/>
      <c r="J7" s="355"/>
      <c r="K7" s="353" t="s">
        <v>176</v>
      </c>
      <c r="L7" s="354"/>
      <c r="M7" s="354"/>
      <c r="N7" s="355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853.25025000000005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-243.83788151563999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64" t="s">
        <v>104</v>
      </c>
      <c r="B2" s="364"/>
      <c r="C2" s="364"/>
      <c r="D2" s="364"/>
      <c r="E2" s="364"/>
      <c r="F2" s="364"/>
      <c r="G2" s="364"/>
      <c r="H2" s="364"/>
      <c r="I2" s="364"/>
      <c r="J2" s="364"/>
      <c r="K2" s="77"/>
    </row>
    <row r="3" spans="1:24" x14ac:dyDescent="0.35">
      <c r="A3" s="364" t="s">
        <v>105</v>
      </c>
      <c r="B3" s="364"/>
      <c r="C3" s="364"/>
      <c r="D3" s="364"/>
      <c r="E3" s="364"/>
      <c r="F3" s="364"/>
      <c r="G3" s="364"/>
      <c r="H3" s="364"/>
      <c r="I3" s="364"/>
      <c r="J3" s="364"/>
      <c r="K3" s="77"/>
    </row>
    <row r="4" spans="1:24" ht="15" thickBot="1" x14ac:dyDescent="0.4">
      <c r="A4" s="365"/>
      <c r="B4" s="365"/>
      <c r="C4" s="365"/>
      <c r="D4" s="365"/>
      <c r="E4" s="365"/>
      <c r="F4" s="365"/>
      <c r="G4" s="365"/>
      <c r="H4" s="365"/>
      <c r="I4" s="365"/>
      <c r="J4" s="365"/>
      <c r="K4" s="370" t="s">
        <v>160</v>
      </c>
      <c r="L4" s="370"/>
      <c r="M4" s="370"/>
      <c r="N4" s="370"/>
    </row>
    <row r="5" spans="1:24" x14ac:dyDescent="0.35">
      <c r="A5" s="47"/>
      <c r="B5" s="48"/>
      <c r="C5" s="366" t="s">
        <v>106</v>
      </c>
      <c r="D5" s="367"/>
      <c r="E5" s="367"/>
      <c r="F5" s="367"/>
      <c r="G5" s="367"/>
      <c r="H5" s="367"/>
      <c r="I5" s="367"/>
      <c r="J5" s="368"/>
      <c r="K5" s="78"/>
      <c r="L5" s="369" t="s">
        <v>107</v>
      </c>
      <c r="M5" s="340"/>
      <c r="N5" s="340"/>
    </row>
    <row r="6" spans="1:24" x14ac:dyDescent="0.35">
      <c r="A6" s="1" t="s">
        <v>109</v>
      </c>
      <c r="B6" s="49"/>
      <c r="C6" s="372">
        <v>2020</v>
      </c>
      <c r="D6" s="373"/>
      <c r="E6" s="373"/>
      <c r="F6" s="373"/>
      <c r="G6" s="373"/>
      <c r="H6" s="373"/>
      <c r="I6" s="373"/>
      <c r="J6" s="37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40" t="s">
        <v>9</v>
      </c>
      <c r="L22" s="340"/>
      <c r="M22" s="340"/>
      <c r="N22" s="340"/>
      <c r="O22" s="340" t="s">
        <v>10</v>
      </c>
      <c r="P22" s="340"/>
      <c r="Q22" s="340"/>
      <c r="R22" s="340"/>
      <c r="S22" s="340" t="s">
        <v>11</v>
      </c>
      <c r="T22" s="340"/>
      <c r="U22" s="340"/>
      <c r="V22" s="340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75" t="s">
        <v>108</v>
      </c>
      <c r="L23" s="375"/>
      <c r="M23" s="375"/>
      <c r="N23" s="375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71" t="s">
        <v>256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7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7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1" t="s">
        <v>141</v>
      </c>
      <c r="J33" s="85" t="s">
        <v>256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71"/>
      <c r="J34" t="s">
        <v>257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265</v>
      </c>
    </row>
    <row r="37" spans="3:23" x14ac:dyDescent="0.35">
      <c r="C37" t="s">
        <v>266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373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256</v>
      </c>
      <c r="O47">
        <v>32</v>
      </c>
    </row>
    <row r="48" spans="3:23" x14ac:dyDescent="0.35">
      <c r="N48" t="s">
        <v>257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79" t="s">
        <v>87</v>
      </c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</row>
    <row r="7" spans="1:18" x14ac:dyDescent="0.35">
      <c r="A7" s="376" t="s">
        <v>88</v>
      </c>
      <c r="B7" s="376"/>
      <c r="C7" s="376"/>
      <c r="D7" s="37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76" t="s">
        <v>89</v>
      </c>
      <c r="C8" s="376"/>
      <c r="D8" s="376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76" t="s">
        <v>90</v>
      </c>
      <c r="C9" s="376"/>
      <c r="D9" s="376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76" t="s">
        <v>91</v>
      </c>
      <c r="C10" s="376"/>
      <c r="D10" s="376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76" t="s">
        <v>58</v>
      </c>
      <c r="C11" s="376"/>
      <c r="D11" s="376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76" t="s">
        <v>34</v>
      </c>
      <c r="D13" s="376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76" t="s">
        <v>89</v>
      </c>
      <c r="C19" s="376"/>
      <c r="D19" s="376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76" t="s">
        <v>90</v>
      </c>
      <c r="C20" s="376"/>
      <c r="D20" s="376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76" t="s">
        <v>91</v>
      </c>
      <c r="C21" s="376"/>
      <c r="D21" s="376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76" t="s">
        <v>58</v>
      </c>
      <c r="C22" s="376"/>
      <c r="D22" s="376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77" t="s">
        <v>95</v>
      </c>
      <c r="I27" s="377"/>
      <c r="J27" s="377"/>
      <c r="K27" s="377"/>
      <c r="L27" s="377"/>
      <c r="M27" s="377"/>
      <c r="N27" s="377"/>
      <c r="O27" s="377"/>
      <c r="P27" s="377"/>
      <c r="Q27" s="377"/>
      <c r="R27" s="377"/>
      <c r="S27" s="377"/>
      <c r="T27" s="377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78" t="s">
        <v>99</v>
      </c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77" t="s">
        <v>101</v>
      </c>
      <c r="G48" s="377"/>
      <c r="H48" s="377"/>
      <c r="I48" s="377"/>
      <c r="J48" s="377"/>
      <c r="K48" s="377"/>
      <c r="L48" s="377"/>
      <c r="M48" s="377"/>
      <c r="N48" s="377"/>
      <c r="O48" s="377"/>
      <c r="P48" s="377"/>
      <c r="Q48" s="377"/>
      <c r="R48" s="377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57" t="s">
        <v>32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  <c r="L5" s="358"/>
      <c r="M5" s="358"/>
      <c r="N5" s="358"/>
      <c r="O5" s="358"/>
      <c r="P5" s="358"/>
      <c r="Q5" s="358"/>
      <c r="R5" s="358"/>
      <c r="S5" s="358"/>
    </row>
    <row r="6" spans="1:19" s="6" customFormat="1" ht="15" customHeight="1" x14ac:dyDescent="0.3">
      <c r="A6" s="359" t="s">
        <v>33</v>
      </c>
      <c r="B6" s="359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  <c r="O6" s="359"/>
      <c r="P6" s="359"/>
      <c r="Q6" s="359"/>
      <c r="R6" s="359"/>
      <c r="S6" s="359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60" t="s">
        <v>34</v>
      </c>
      <c r="S8" s="361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80" t="s">
        <v>42</v>
      </c>
      <c r="E75" s="381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66951ee6-cd93-49c7-9437-e871b2a117d6"/>
    <ds:schemaRef ds:uri="http://purl.org/dc/elements/1.1/"/>
    <ds:schemaRef ds:uri="cac5d118-ba7b-4807-b700-df6f95cfff50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2021-05-06T15:33:23Z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