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9B59DE1C-8D89-47E7-9696-E5B57A3E0453}" xr6:coauthVersionLast="44" xr6:coauthVersionMax="46" xr10:uidLastSave="{00000000-0000-0000-0000-000000000000}"/>
  <bookViews>
    <workbookView xWindow="-110" yWindow="-110" windowWidth="19420" windowHeight="10420" activeTab="2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9" l="1"/>
  <c r="L72" i="1" l="1"/>
  <c r="L73" i="1"/>
  <c r="M72" i="1" l="1"/>
  <c r="L69" i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6" i="1"/>
  <c r="X80" i="1"/>
  <c r="Q90" i="1"/>
  <c r="P63" i="1"/>
  <c r="O63" i="1"/>
  <c r="Q92" i="1"/>
  <c r="Z80" i="1"/>
  <c r="X79" i="1"/>
  <c r="V81" i="1"/>
  <c r="Y79" i="1"/>
  <c r="W81" i="1"/>
  <c r="Z79" i="1"/>
  <c r="X81" i="1"/>
  <c r="Y80" i="1"/>
  <c r="O80" i="1"/>
  <c r="Y81" i="1"/>
  <c r="R90" i="1"/>
  <c r="O65" i="1"/>
  <c r="P80" i="1"/>
  <c r="Z81" i="1"/>
  <c r="P65" i="1"/>
  <c r="Q80" i="1"/>
  <c r="Q65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O64" i="1"/>
  <c r="U66" i="1"/>
  <c r="Q64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O95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71" i="5" s="1"/>
  <c r="H47" i="5"/>
  <c r="H50" i="5" s="1"/>
  <c r="I68" i="5" l="1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<sst xmlns="http://schemas.openxmlformats.org/spreadsheetml/2006/main" count="1016" uniqueCount="383">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</sst>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134" zoomScaleNormal="110" workbookViewId="0">
      <pane xSplit="2" ySplit="3" topLeftCell="K70" activePane="bottomRight" state="frozen"/>
      <selection pane="topRight" activeCell="C1" sqref="C1"/>
      <selection pane="bottomLeft" activeCell="A4" sqref="A4"/>
      <selection pane="bottomRight" activeCell="R83" sqref="R83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1" t="s">
        <v>371</v>
      </c>
      <c r="B1" s="341"/>
      <c r="C1" s="268"/>
      <c r="D1" s="268"/>
      <c r="E1" s="35"/>
      <c r="N1" t="s">
        <v>373</v>
      </c>
      <c r="AC1" s="347" t="s">
        <v>247</v>
      </c>
      <c r="AD1" s="347"/>
      <c r="AE1" s="345" t="s">
        <v>245</v>
      </c>
      <c r="AF1" s="346"/>
      <c r="AG1" t="s">
        <v>28</v>
      </c>
      <c r="AI1" s="343" t="s">
        <v>278</v>
      </c>
      <c r="AJ1" s="343"/>
      <c r="AK1" s="343"/>
      <c r="AL1" s="343"/>
      <c r="AM1" s="342" t="s">
        <v>276</v>
      </c>
      <c r="AN1" s="342"/>
      <c r="AO1" s="342"/>
      <c r="AP1" s="342"/>
    </row>
    <row r="2" spans="1:43" ht="23" customHeight="1" x14ac:dyDescent="0.35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265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246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265</v>
      </c>
      <c r="AN3" s="97" t="s">
        <v>12</v>
      </c>
      <c r="AO3" s="97" t="s">
        <v>11</v>
      </c>
      <c r="AP3" s="97" t="s">
        <v>265</v>
      </c>
    </row>
    <row r="4" spans="1:43" ht="18.5" x14ac:dyDescent="0.45">
      <c r="A4" s="339" t="s">
        <v>261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259</v>
      </c>
      <c r="B5" t="s">
        <v>280</v>
      </c>
      <c r="C5" s="35" t="s">
        <v>291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214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260</v>
      </c>
      <c r="B7" t="s">
        <v>280</v>
      </c>
      <c r="C7" s="35" t="s">
        <v>292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214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256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280</v>
      </c>
      <c r="C12" t="s">
        <v>293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376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372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280</v>
      </c>
      <c r="C15" t="s">
        <v>294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376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214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280</v>
      </c>
      <c r="C18" t="s">
        <v>295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376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214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280</v>
      </c>
      <c r="C21" t="s">
        <v>296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376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214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262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263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297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298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299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300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264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280</v>
      </c>
      <c r="C34" t="s">
        <v>301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280</v>
      </c>
      <c r="C35" t="s">
        <v>302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338</v>
      </c>
      <c r="B36" t="s">
        <v>280</v>
      </c>
      <c r="C36" t="s">
        <v>303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339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346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350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332</v>
      </c>
      <c r="B41" t="s">
        <v>280</v>
      </c>
      <c r="C41" t="s">
        <v>304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211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344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280</v>
      </c>
      <c r="C48" s="107" t="s">
        <v>305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382</v>
      </c>
      <c r="B49" s="107" t="s">
        <v>280</v>
      </c>
      <c r="C49" s="107" t="s">
        <v>306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214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268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280</v>
      </c>
      <c r="C54" t="s">
        <v>307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794083.58333333337</v>
      </c>
      <c r="P54" s="144">
        <f t="shared" si="39"/>
        <v>794083.58333333337</v>
      </c>
      <c r="Q54" s="144">
        <f t="shared" si="39"/>
        <v>144083.58333333331</v>
      </c>
      <c r="R54" s="144">
        <f t="shared" si="39"/>
        <v>122750.25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719253.33333333337</v>
      </c>
      <c r="P55" s="116">
        <f t="shared" ref="P55:V55" si="41">P57+P58+SUM(P63:P66)</f>
        <v>719253.33333333337</v>
      </c>
      <c r="Q55" s="116">
        <f t="shared" si="41"/>
        <v>69253.333333333328</v>
      </c>
      <c r="R55" s="116">
        <f t="shared" si="41"/>
        <v>47920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336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334</v>
      </c>
      <c r="C57" t="s">
        <v>308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271</v>
      </c>
      <c r="C58" t="s">
        <v>333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281</v>
      </c>
      <c r="B59" s="185" t="s">
        <v>280</v>
      </c>
      <c r="C59" t="s">
        <v>309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282</v>
      </c>
      <c r="B60" s="185" t="s">
        <v>280</v>
      </c>
      <c r="C60" t="s">
        <v>310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283</v>
      </c>
      <c r="B61" s="185" t="s">
        <v>280</v>
      </c>
      <c r="C61" t="s">
        <v>311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337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335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x14ac:dyDescent="0.35">
      <c r="A64" s="273" t="s">
        <v>348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282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351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280</v>
      </c>
      <c r="C68" t="s">
        <v>312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562900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227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228</v>
      </c>
      <c r="F71" s="197"/>
      <c r="G71" s="197"/>
      <c r="H71" s="197"/>
      <c r="I71" s="202"/>
      <c r="J71" s="202"/>
      <c r="K71" s="202"/>
      <c r="L71" s="202">
        <f>L70-L72</f>
        <v>230950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208</v>
      </c>
      <c r="B72" s="138" t="s">
        <v>280</v>
      </c>
      <c r="C72" t="s">
        <v>313</v>
      </c>
      <c r="D72"/>
      <c r="F72" s="204"/>
      <c r="G72" s="204"/>
      <c r="H72" s="204"/>
      <c r="I72" s="205"/>
      <c r="J72" s="205"/>
      <c r="K72" s="205"/>
      <c r="L72" s="205">
        <f>597.9*1000 +L77+L76</f>
        <v>653300</v>
      </c>
      <c r="M72" s="205">
        <f>M75+M76+M77</f>
        <v>87800</v>
      </c>
      <c r="N72" s="205">
        <f>VLOOKUP($C$72,'Haver NA'!$A$1:$J$34,10,0)</f>
        <v>29000</v>
      </c>
      <c r="O72" s="139"/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x14ac:dyDescent="0.35">
      <c r="A73" s="134" t="s">
        <v>209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87200</v>
      </c>
      <c r="O73" s="116">
        <f t="shared" ref="O73:Z73" si="44">O74+O78</f>
        <v>159900</v>
      </c>
      <c r="P73" s="116">
        <f t="shared" si="44"/>
        <v>121000</v>
      </c>
      <c r="Q73" s="116">
        <f t="shared" si="44"/>
        <v>121000</v>
      </c>
      <c r="R73" s="116">
        <f t="shared" si="44"/>
        <v>115000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59000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340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100900</v>
      </c>
      <c r="P74" s="116">
        <f t="shared" si="45"/>
        <v>62000</v>
      </c>
      <c r="Q74" s="116">
        <f t="shared" si="45"/>
        <v>62000</v>
      </c>
      <c r="R74" s="116">
        <f t="shared" si="45"/>
        <v>56000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197</v>
      </c>
      <c r="B75" s="35" t="s">
        <v>280</v>
      </c>
      <c r="C75" s="35" t="s">
        <v>377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60000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381</v>
      </c>
      <c r="B76" s="107" t="s">
        <v>280</v>
      </c>
      <c r="C76" s="107" t="s">
        <v>378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28900</v>
      </c>
      <c r="P76" s="337">
        <v>0</v>
      </c>
      <c r="Q76" s="337">
        <v>0</v>
      </c>
      <c r="R76" s="337">
        <v>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201</v>
      </c>
      <c r="B77" s="107" t="s">
        <v>280</v>
      </c>
      <c r="C77" s="107" t="s">
        <v>379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12000</v>
      </c>
      <c r="O77" s="337">
        <v>12000</v>
      </c>
      <c r="P77" s="337">
        <v>12000</v>
      </c>
      <c r="Q77" s="337">
        <v>12000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341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59000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342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343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</f>
        <v>27333.333333333332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347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216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321350</v>
      </c>
      <c r="M83" s="206">
        <f t="shared" si="47"/>
        <v>291400</v>
      </c>
      <c r="N83" s="308">
        <f t="shared" si="47"/>
        <v>284151</v>
      </c>
      <c r="O83" s="144">
        <f t="shared" si="47"/>
        <v>357638.804</v>
      </c>
      <c r="P83" s="144">
        <f t="shared" si="47"/>
        <v>319529.75921599998</v>
      </c>
      <c r="Q83" s="144">
        <f t="shared" si="47"/>
        <v>320323.878252864</v>
      </c>
      <c r="R83" s="144">
        <f t="shared" si="47"/>
        <v>315121.17376587546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263972.36794275837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280</v>
      </c>
      <c r="C85" t="s">
        <v>314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203</v>
      </c>
      <c r="B86" s="35" t="s">
        <v>280</v>
      </c>
      <c r="C86" t="s">
        <v>315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380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356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352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354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204</v>
      </c>
      <c r="B93" s="35" t="s">
        <v>280</v>
      </c>
      <c r="C93" t="s">
        <v>316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35">
      <c r="A95" s="141" t="s">
        <v>213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35">
      <c r="A97" s="35" t="s">
        <v>15</v>
      </c>
      <c r="B97" s="35" t="s">
        <v>280</v>
      </c>
      <c r="C97" t="s">
        <v>317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35">
      <c r="A98" s="35" t="s">
        <v>229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226</v>
      </c>
      <c r="B100" s="35" t="s">
        <v>280</v>
      </c>
      <c r="C100" t="s">
        <v>318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268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221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18</v>
      </c>
      <c r="B103" s="35" t="s">
        <v>280</v>
      </c>
      <c r="C103" t="s">
        <v>319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35">
      <c r="A104" s="169" t="s">
        <v>284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285</v>
      </c>
      <c r="B105" s="35" t="s">
        <v>280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215</v>
      </c>
      <c r="B106" s="35" t="s">
        <v>280</v>
      </c>
      <c r="C106" t="s">
        <v>320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35">
      <c r="A108" s="169" t="s">
        <v>284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285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372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35">
      <c r="A112" s="141" t="s">
        <v>212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35">
      <c r="A113" s="141" t="s">
        <v>230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355</v>
      </c>
      <c r="B1" s="97" t="s">
        <v>357</v>
      </c>
      <c r="C1" s="97" t="s">
        <v>358</v>
      </c>
    </row>
    <row r="2" spans="1:3" x14ac:dyDescent="0.35">
      <c r="A2" s="289" t="s">
        <v>360</v>
      </c>
      <c r="B2" s="289">
        <v>325</v>
      </c>
      <c r="C2" s="290">
        <f>B2*1000</f>
        <v>325000</v>
      </c>
    </row>
    <row r="3" spans="1:3" x14ac:dyDescent="0.35">
      <c r="A3" s="289" t="s">
        <v>361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362</v>
      </c>
      <c r="B6" s="289">
        <v>63</v>
      </c>
      <c r="C6" s="290">
        <f t="shared" si="0"/>
        <v>63000</v>
      </c>
    </row>
    <row r="7" spans="1:3" x14ac:dyDescent="0.35">
      <c r="A7" s="291" t="s">
        <v>352</v>
      </c>
      <c r="B7">
        <v>22</v>
      </c>
      <c r="C7" s="290">
        <f>B7*1000</f>
        <v>22000</v>
      </c>
    </row>
    <row r="8" spans="1:3" x14ac:dyDescent="0.35">
      <c r="A8" s="176" t="s">
        <v>353</v>
      </c>
      <c r="B8">
        <v>20</v>
      </c>
      <c r="C8" s="290">
        <f>B8*1000</f>
        <v>20000</v>
      </c>
    </row>
    <row r="9" spans="1:3" x14ac:dyDescent="0.35">
      <c r="A9" s="176" t="s">
        <v>354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363</v>
      </c>
      <c r="B11" s="289">
        <v>45</v>
      </c>
      <c r="C11" s="290">
        <f t="shared" si="0"/>
        <v>45000</v>
      </c>
    </row>
    <row r="12" spans="1:3" x14ac:dyDescent="0.35">
      <c r="A12" s="291" t="s">
        <v>364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365</v>
      </c>
      <c r="B14" s="289">
        <v>80</v>
      </c>
      <c r="C14" s="290">
        <f t="shared" si="0"/>
        <v>80000</v>
      </c>
    </row>
    <row r="15" spans="1:3" x14ac:dyDescent="0.35">
      <c r="A15" s="291" t="s">
        <v>346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366</v>
      </c>
      <c r="B17">
        <v>30</v>
      </c>
      <c r="C17" s="290">
        <f t="shared" si="0"/>
        <v>30000</v>
      </c>
    </row>
    <row r="18" spans="1:3" x14ac:dyDescent="0.35">
      <c r="A18" s="291" t="s">
        <v>367</v>
      </c>
      <c r="B18">
        <v>20</v>
      </c>
      <c r="C18" s="290">
        <f t="shared" si="0"/>
        <v>20000</v>
      </c>
    </row>
    <row r="19" spans="1:3" x14ac:dyDescent="0.35">
      <c r="A19" s="291" t="s">
        <v>368</v>
      </c>
      <c r="B19">
        <v>5</v>
      </c>
      <c r="C19" s="290">
        <f t="shared" si="0"/>
        <v>5000</v>
      </c>
    </row>
    <row r="20" spans="1:3" ht="15" thickBot="1" x14ac:dyDescent="0.4">
      <c r="A20" s="293" t="s">
        <v>369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tabSelected="1" zoomScale="130" zoomScaleNormal="130" workbookViewId="0">
      <pane xSplit="2" ySplit="8" topLeftCell="E53" activePane="bottomRight" state="frozen"/>
      <selection pane="topRight" activeCell="C1" sqref="C1"/>
      <selection pane="bottomLeft" activeCell="A9" sqref="A9"/>
      <selection pane="bottomRight" activeCell="I60" sqref="I60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9" ht="18.5" x14ac:dyDescent="0.45">
      <c r="A1" s="348" t="s">
        <v>206</v>
      </c>
      <c r="B1" s="349"/>
      <c r="C1" s="35"/>
      <c r="H1"/>
      <c r="I1" s="240"/>
      <c r="J1" s="356" t="s">
        <v>279</v>
      </c>
      <c r="V1" s="340"/>
      <c r="W1" s="340"/>
      <c r="X1" s="340"/>
      <c r="Y1" s="340"/>
    </row>
    <row r="2" spans="1:49" x14ac:dyDescent="0.35">
      <c r="A2" s="350" t="s">
        <v>191</v>
      </c>
      <c r="B2" s="126"/>
      <c r="C2" t="s">
        <v>192</v>
      </c>
      <c r="I2" s="241"/>
      <c r="J2" s="356"/>
    </row>
    <row r="3" spans="1:49" x14ac:dyDescent="0.35">
      <c r="A3" s="351"/>
      <c r="B3" s="127"/>
      <c r="C3" t="s">
        <v>193</v>
      </c>
      <c r="I3" s="241"/>
      <c r="J3" s="356"/>
    </row>
    <row r="4" spans="1:49" x14ac:dyDescent="0.35">
      <c r="A4" s="351"/>
      <c r="B4" s="128"/>
      <c r="C4" t="s">
        <v>194</v>
      </c>
    </row>
    <row r="5" spans="1:49" x14ac:dyDescent="0.35">
      <c r="A5" s="352"/>
      <c r="B5" s="129"/>
      <c r="C5" t="s">
        <v>181</v>
      </c>
    </row>
    <row r="7" spans="1:49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269</v>
      </c>
      <c r="P7" s="354"/>
      <c r="Q7" s="354"/>
      <c r="R7" s="354"/>
      <c r="S7" s="353" t="s">
        <v>273</v>
      </c>
      <c r="T7" s="354"/>
      <c r="U7" s="354"/>
      <c r="V7" s="354"/>
      <c r="W7" s="353" t="s">
        <v>274</v>
      </c>
      <c r="X7" s="354"/>
      <c r="Y7" s="354"/>
      <c r="Z7" s="354"/>
      <c r="AA7" s="222" t="s">
        <v>275</v>
      </c>
    </row>
    <row r="8" spans="1:49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x14ac:dyDescent="0.35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x14ac:dyDescent="0.35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x14ac:dyDescent="0.35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x14ac:dyDescent="0.35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x14ac:dyDescent="0.35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x14ac:dyDescent="0.35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x14ac:dyDescent="0.35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35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35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222.38398180893648</v>
      </c>
      <c r="O21" s="149">
        <f t="shared" ref="O21:AA21" si="0">N21*(1+O23)</f>
        <v>219.97510963898978</v>
      </c>
      <c r="P21" s="104">
        <f t="shared" si="0"/>
        <v>217.56623746904305</v>
      </c>
      <c r="Q21" s="104">
        <f t="shared" si="0"/>
        <v>215.15736529909628</v>
      </c>
      <c r="R21" s="104">
        <f t="shared" si="0"/>
        <v>212.74849312914955</v>
      </c>
      <c r="S21" s="149">
        <f t="shared" si="0"/>
        <v>214.00672523264217</v>
      </c>
      <c r="T21" s="104">
        <f t="shared" si="0"/>
        <v>215.26495733613447</v>
      </c>
      <c r="U21" s="104">
        <f t="shared" si="0"/>
        <v>216.52318943962678</v>
      </c>
      <c r="V21" s="104">
        <f t="shared" si="0"/>
        <v>217.78142154311922</v>
      </c>
      <c r="W21" s="149">
        <f t="shared" si="0"/>
        <v>221.01783327030435</v>
      </c>
      <c r="X21" s="104">
        <f t="shared" si="0"/>
        <v>224.25424499748971</v>
      </c>
      <c r="Y21" s="104">
        <f t="shared" si="0"/>
        <v>227.49065672467472</v>
      </c>
      <c r="Z21" s="104">
        <f t="shared" si="0"/>
        <v>230.72706845185994</v>
      </c>
      <c r="AA21" s="149">
        <f t="shared" si="0"/>
        <v>233.95007172417809</v>
      </c>
      <c r="AB21" s="95"/>
    </row>
    <row r="22" spans="1:49" x14ac:dyDescent="0.35">
      <c r="B22" t="s">
        <v>177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3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8.0958169064125514</v>
      </c>
      <c r="H24" s="217">
        <f t="shared" ref="H24" si="18">H21-H22</f>
        <v>15.945084134642201</v>
      </c>
      <c r="I24" s="217">
        <f t="shared" ref="I24" si="19">I21-I22</f>
        <v>11.798701344421289</v>
      </c>
      <c r="J24" s="217">
        <f t="shared" ref="J24" si="20">J21-J22</f>
        <v>7.6523185542003773</v>
      </c>
      <c r="K24" s="150">
        <f t="shared" ref="K24:AA24" si="21">K21-K22</f>
        <v>7.0672258031208912</v>
      </c>
      <c r="L24" s="217">
        <f t="shared" si="21"/>
        <v>48.039537083112549</v>
      </c>
      <c r="M24" s="239">
        <f t="shared" si="21"/>
        <v>47.454444332033063</v>
      </c>
      <c r="N24" s="217">
        <f t="shared" si="21"/>
        <v>47.613845224176771</v>
      </c>
      <c r="O24" s="150">
        <f t="shared" si="21"/>
        <v>47.098090151658965</v>
      </c>
      <c r="P24" s="217">
        <f t="shared" si="21"/>
        <v>46.582335079141131</v>
      </c>
      <c r="Q24" s="217">
        <f t="shared" si="21"/>
        <v>46.066580006623298</v>
      </c>
      <c r="R24" s="217">
        <f t="shared" si="21"/>
        <v>45.550824934105464</v>
      </c>
      <c r="S24" s="150">
        <f t="shared" si="21"/>
        <v>45.820220544996459</v>
      </c>
      <c r="T24" s="217">
        <f t="shared" si="21"/>
        <v>46.08961615588737</v>
      </c>
      <c r="U24" s="217">
        <f t="shared" si="21"/>
        <v>46.359011766778281</v>
      </c>
      <c r="V24" s="217">
        <f t="shared" si="21"/>
        <v>46.62840737766922</v>
      </c>
      <c r="W24" s="150">
        <f t="shared" si="21"/>
        <v>47.321344008295341</v>
      </c>
      <c r="X24" s="217">
        <f t="shared" si="21"/>
        <v>48.01428063892152</v>
      </c>
      <c r="Y24" s="217">
        <f t="shared" si="21"/>
        <v>48.707217269547613</v>
      </c>
      <c r="Z24" s="217">
        <f t="shared" si="21"/>
        <v>49.400153900173734</v>
      </c>
      <c r="AA24" s="150">
        <f t="shared" si="21"/>
        <v>50.090219694107674</v>
      </c>
      <c r="AB24" s="244"/>
    </row>
    <row r="25" spans="1:49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35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35">
      <c r="B29" t="s">
        <v>177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3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35">
      <c r="B31" s="99" t="s">
        <v>178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-11.329229999999995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270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-35.750999999999976</v>
      </c>
      <c r="H37" s="217">
        <f t="shared" si="47"/>
        <v>-54.593681691845177</v>
      </c>
      <c r="I37" s="217">
        <f t="shared" si="47"/>
        <v>-55.153337573248791</v>
      </c>
      <c r="J37" s="217">
        <f t="shared" si="47"/>
        <v>-55.951846589752222</v>
      </c>
      <c r="K37" s="150">
        <f t="shared" si="47"/>
        <v>-56.695639249994201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270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-2.8001771349484841</v>
      </c>
      <c r="I43" s="217">
        <f t="shared" si="49"/>
        <v>-2.8288825740026482</v>
      </c>
      <c r="J43" s="217">
        <f t="shared" si="49"/>
        <v>-2.8698390843673991</v>
      </c>
      <c r="K43" s="150">
        <f t="shared" si="49"/>
        <v>-2.907989125467509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1473.0268768819492</v>
      </c>
      <c r="L47" s="104">
        <f t="shared" ref="L47:AA47" si="50">K47*(1+L49)</f>
        <v>1504.4702729216931</v>
      </c>
      <c r="M47" s="104">
        <f t="shared" si="50"/>
        <v>1535.9136689614381</v>
      </c>
      <c r="N47" s="104">
        <f t="shared" si="50"/>
        <v>1567.3570650011823</v>
      </c>
      <c r="O47" s="149">
        <f t="shared" si="50"/>
        <v>1580.6895805420113</v>
      </c>
      <c r="P47" s="104">
        <f t="shared" si="50"/>
        <v>1594.0220960828426</v>
      </c>
      <c r="Q47" s="104">
        <f t="shared" si="50"/>
        <v>1607.3546116236716</v>
      </c>
      <c r="R47" s="104">
        <f t="shared" si="50"/>
        <v>1620.6871271645016</v>
      </c>
      <c r="S47" s="149">
        <f t="shared" si="50"/>
        <v>1631.6773524648111</v>
      </c>
      <c r="T47" s="104">
        <f t="shared" si="50"/>
        <v>1642.6675777651208</v>
      </c>
      <c r="U47" s="104">
        <f t="shared" si="50"/>
        <v>1653.6578030654305</v>
      </c>
      <c r="V47" s="104">
        <f t="shared" si="50"/>
        <v>1664.6480283657397</v>
      </c>
      <c r="W47" s="149">
        <f t="shared" si="50"/>
        <v>1705.6654323951707</v>
      </c>
      <c r="X47" s="104">
        <f t="shared" si="50"/>
        <v>1746.6828364246021</v>
      </c>
      <c r="Y47" s="104">
        <f t="shared" si="50"/>
        <v>1787.7002404540322</v>
      </c>
      <c r="Z47" s="104">
        <f t="shared" si="50"/>
        <v>1828.7176444834631</v>
      </c>
      <c r="AA47" s="149">
        <f t="shared" si="50"/>
        <v>1859.2880041522844</v>
      </c>
      <c r="AB47" s="95"/>
    </row>
    <row r="48" spans="1:28" x14ac:dyDescent="0.35">
      <c r="B48" t="s">
        <v>177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3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-12.65283740934774</v>
      </c>
      <c r="I50" s="217">
        <f t="shared" ref="I50" si="72">I47-I48</f>
        <v>23.849631860713998</v>
      </c>
      <c r="J50" s="239">
        <f t="shared" ref="J50" si="73">J47-J48</f>
        <v>55.567426605703986</v>
      </c>
      <c r="K50" s="150">
        <f t="shared" ref="K50:AA50" si="74">K47-K48</f>
        <v>56.779447015824189</v>
      </c>
      <c r="L50" s="217">
        <f t="shared" si="74"/>
        <v>57.991467425944165</v>
      </c>
      <c r="M50" s="217">
        <f t="shared" si="74"/>
        <v>59.203487836064141</v>
      </c>
      <c r="N50" s="217">
        <f t="shared" si="74"/>
        <v>60.415508246184345</v>
      </c>
      <c r="O50" s="150">
        <f t="shared" si="74"/>
        <v>60.929424775216376</v>
      </c>
      <c r="P50" s="217">
        <f t="shared" si="74"/>
        <v>61.443341304248634</v>
      </c>
      <c r="Q50" s="217">
        <f t="shared" si="74"/>
        <v>61.957257833280664</v>
      </c>
      <c r="R50" s="217">
        <f t="shared" si="74"/>
        <v>62.471174362312695</v>
      </c>
      <c r="S50" s="150">
        <f t="shared" si="74"/>
        <v>62.894804728414101</v>
      </c>
      <c r="T50" s="217">
        <f t="shared" si="74"/>
        <v>63.318435094515735</v>
      </c>
      <c r="U50" s="217">
        <f t="shared" si="74"/>
        <v>63.742065460617368</v>
      </c>
      <c r="V50" s="217">
        <f t="shared" si="74"/>
        <v>64.165695826718775</v>
      </c>
      <c r="W50" s="150">
        <f t="shared" si="74"/>
        <v>65.74675694336679</v>
      </c>
      <c r="X50" s="217">
        <f t="shared" si="74"/>
        <v>67.327818060015034</v>
      </c>
      <c r="Y50" s="217">
        <f t="shared" si="74"/>
        <v>68.908879176663049</v>
      </c>
      <c r="Z50" s="217">
        <f t="shared" si="74"/>
        <v>70.489940293311065</v>
      </c>
      <c r="AA50" s="150">
        <f t="shared" si="74"/>
        <v>71.668308552785447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35">
      <c r="B55" t="s">
        <v>177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3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210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35">
      <c r="B62" t="s">
        <v>177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3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391.78358333333341</v>
      </c>
      <c r="I64" s="217">
        <f t="shared" si="103"/>
        <v>389.89820174709951</v>
      </c>
      <c r="J64" s="217">
        <f t="shared" si="103"/>
        <v>-262.03049823444167</v>
      </c>
      <c r="K64" s="150">
        <f t="shared" si="103"/>
        <v>-285.33172438316558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main!L83/1000</f>
        <v>321.35000000000002</v>
      </c>
      <c r="F68" s="218">
        <f>main!M83/1000</f>
        <v>291.39999999999998</v>
      </c>
      <c r="G68" s="151">
        <f>main!N83/1000</f>
        <v>284.15100000000001</v>
      </c>
      <c r="H68" s="218">
        <f>main!O83/1000</f>
        <v>357.63880399999999</v>
      </c>
      <c r="I68" s="218">
        <f>main!P83/1000</f>
        <v>319.529759216</v>
      </c>
      <c r="J68" s="218">
        <f>main!Q83/1000</f>
        <v>320.32387825286401</v>
      </c>
      <c r="K68" s="151">
        <f>main!R83/1000</f>
        <v>315.12117376587548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35">
      <c r="B69" t="s">
        <v>177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3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49.271999999999991</v>
      </c>
      <c r="G71" s="150">
        <f t="shared" ref="G71:K71" si="117">G68-G69</f>
        <v>58.244</v>
      </c>
      <c r="H71" s="217">
        <f t="shared" si="117"/>
        <v>96.90180399999997</v>
      </c>
      <c r="I71" s="217">
        <f t="shared" si="117"/>
        <v>87.454570502826414</v>
      </c>
      <c r="J71" s="217">
        <f t="shared" si="117"/>
        <v>104.60367441070301</v>
      </c>
      <c r="K71" s="150">
        <f t="shared" si="117"/>
        <v>94.229777558424473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H1" activePane="topRight" state="frozen"/>
      <selection pane="topRight" activeCell="J5" sqref="J5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255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286</v>
      </c>
      <c r="J1" t="s">
        <v>272</v>
      </c>
      <c r="K1" t="s">
        <v>288</v>
      </c>
      <c r="L1" t="s">
        <v>289</v>
      </c>
      <c r="M1" t="s">
        <v>290</v>
      </c>
      <c r="N1" t="s">
        <v>345</v>
      </c>
      <c r="O1" t="s">
        <v>359</v>
      </c>
      <c r="P1" t="s">
        <v>370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321.35000000000002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8.0958169064125514</v>
      </c>
      <c r="C4">
        <v>-61.292000000000002</v>
      </c>
      <c r="D4">
        <v>-35.750999999999976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58.244</v>
      </c>
      <c r="J4" s="151">
        <f>'add-ons calculations'!G68</f>
        <v>284.15100000000001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15.945084134642201</v>
      </c>
      <c r="C5">
        <v>-11.329229999999995</v>
      </c>
      <c r="D5">
        <v>-54.593681691845177</v>
      </c>
      <c r="E5">
        <v>-2.8001771349484841</v>
      </c>
      <c r="F5">
        <v>-12.65283740934774</v>
      </c>
      <c r="G5">
        <v>1309.4238025000002</v>
      </c>
      <c r="H5">
        <v>391.78358333333341</v>
      </c>
      <c r="I5">
        <v>96.90180399999997</v>
      </c>
      <c r="J5" s="151">
        <f>'add-ons calculations'!H68</f>
        <v>357.63880399999999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11.798701344421289</v>
      </c>
      <c r="C6">
        <v>-15.253798527921759</v>
      </c>
      <c r="D6">
        <v>-55.153337573248791</v>
      </c>
      <c r="E6">
        <v>-2.8288825740026482</v>
      </c>
      <c r="F6">
        <v>23.849631860713998</v>
      </c>
      <c r="G6">
        <v>245.4925168769189</v>
      </c>
      <c r="H6">
        <v>389.89820174709951</v>
      </c>
      <c r="I6">
        <v>87.454570502826414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v>26.5</v>
      </c>
      <c r="P6">
        <v>0</v>
      </c>
    </row>
    <row r="7" spans="1:16" x14ac:dyDescent="0.35">
      <c r="A7" s="188">
        <v>44469</v>
      </c>
      <c r="B7">
        <v>7.6523185542003773</v>
      </c>
      <c r="C7">
        <v>-3.9853764337182724</v>
      </c>
      <c r="D7">
        <v>-55.951846589752222</v>
      </c>
      <c r="E7">
        <v>-2.8698390843673991</v>
      </c>
      <c r="F7">
        <v>55.567426605703986</v>
      </c>
      <c r="G7">
        <v>184.80221870982382</v>
      </c>
      <c r="H7">
        <v>-262.03049823444167</v>
      </c>
      <c r="I7">
        <v>104.60367441070301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v>26.5</v>
      </c>
      <c r="P7">
        <v>0</v>
      </c>
    </row>
    <row r="8" spans="1:16" x14ac:dyDescent="0.35">
      <c r="A8" s="188">
        <v>44561</v>
      </c>
      <c r="B8">
        <v>7.0672258031208912</v>
      </c>
      <c r="C8">
        <v>-6.1647437995782752</v>
      </c>
      <c r="D8">
        <v>-56.695639249994201</v>
      </c>
      <c r="E8">
        <v>-2.907989125467509</v>
      </c>
      <c r="F8">
        <v>56.779447015824189</v>
      </c>
      <c r="G8">
        <v>168.7715747900852</v>
      </c>
      <c r="H8">
        <v>-285.33172438316558</v>
      </c>
      <c r="I8">
        <v>94.229777558424473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v>26.5</v>
      </c>
      <c r="P8">
        <v>0</v>
      </c>
    </row>
    <row r="9" spans="1:16" x14ac:dyDescent="0.35">
      <c r="A9" s="188">
        <v>44651</v>
      </c>
      <c r="B9">
        <v>48.039537083112549</v>
      </c>
      <c r="C9">
        <v>-8.0025135083951398</v>
      </c>
      <c r="D9">
        <v>0</v>
      </c>
      <c r="E9">
        <v>0</v>
      </c>
      <c r="F9">
        <v>57.991467425944165</v>
      </c>
      <c r="G9">
        <v>168.92115468914358</v>
      </c>
      <c r="H9">
        <v>-332.74230778657443</v>
      </c>
      <c r="I9">
        <v>83.152512199130257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v>26.5</v>
      </c>
      <c r="P9">
        <v>0</v>
      </c>
    </row>
    <row r="10" spans="1:16" x14ac:dyDescent="0.35">
      <c r="A10" s="188">
        <v>44742</v>
      </c>
      <c r="B10">
        <v>47.454444332033063</v>
      </c>
      <c r="C10">
        <v>-8.1358115154851305</v>
      </c>
      <c r="D10">
        <v>0</v>
      </c>
      <c r="E10">
        <v>0</v>
      </c>
      <c r="F10">
        <v>59.203487836064141</v>
      </c>
      <c r="G10">
        <v>168.28713733479617</v>
      </c>
      <c r="H10">
        <v>-334.34747023032236</v>
      </c>
      <c r="I10">
        <v>78.397392744450201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v>26.5</v>
      </c>
      <c r="P10">
        <v>0</v>
      </c>
    </row>
    <row r="11" spans="1:16" x14ac:dyDescent="0.35">
      <c r="A11" s="188">
        <v>44834</v>
      </c>
      <c r="B11">
        <v>47.613845224176771</v>
      </c>
      <c r="C11">
        <v>-8.1776661628989018</v>
      </c>
      <c r="D11">
        <v>0</v>
      </c>
      <c r="E11">
        <v>0</v>
      </c>
      <c r="F11">
        <v>60.415508246184345</v>
      </c>
      <c r="G11">
        <v>166.48062816995434</v>
      </c>
      <c r="H11">
        <v>-335.92752585795336</v>
      </c>
      <c r="I11">
        <v>73.602356577807058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v>26.5</v>
      </c>
      <c r="P11">
        <v>0</v>
      </c>
    </row>
    <row r="12" spans="1:16" x14ac:dyDescent="0.35">
      <c r="A12" s="188">
        <v>44926</v>
      </c>
      <c r="B12">
        <v>47.098090151658965</v>
      </c>
      <c r="C12">
        <v>-8.5862851488537615</v>
      </c>
      <c r="D12">
        <v>0</v>
      </c>
      <c r="E12">
        <v>0</v>
      </c>
      <c r="F12">
        <v>60.929424775216376</v>
      </c>
      <c r="G12">
        <v>168.62534824212094</v>
      </c>
      <c r="H12">
        <v>-337.49753875913746</v>
      </c>
      <c r="I12">
        <v>60.738306010595892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v>26.5</v>
      </c>
      <c r="P12">
        <v>0</v>
      </c>
    </row>
    <row r="13" spans="1:16" x14ac:dyDescent="0.35">
      <c r="A13" s="188">
        <v>45016</v>
      </c>
      <c r="B13">
        <v>46.582335079141131</v>
      </c>
      <c r="C13">
        <v>-8.9951372198217712</v>
      </c>
      <c r="D13">
        <v>0</v>
      </c>
      <c r="E13">
        <v>0</v>
      </c>
      <c r="F13">
        <v>61.443341304248634</v>
      </c>
      <c r="G13">
        <v>169.74356938095775</v>
      </c>
      <c r="H13">
        <v>-339.06420408483939</v>
      </c>
      <c r="I13">
        <v>47.876046461255555</v>
      </c>
      <c r="K13" s="102">
        <f t="shared" si="1"/>
        <v>44</v>
      </c>
      <c r="L13">
        <v>0</v>
      </c>
      <c r="M13">
        <v>44</v>
      </c>
      <c r="N13">
        <v>59</v>
      </c>
      <c r="O13">
        <v>26.5</v>
      </c>
      <c r="P13">
        <v>0</v>
      </c>
    </row>
    <row r="14" spans="1:16" x14ac:dyDescent="0.35">
      <c r="A14" s="188">
        <v>45107</v>
      </c>
      <c r="B14">
        <v>46.066580006623298</v>
      </c>
      <c r="C14">
        <v>-9.4042229585155326</v>
      </c>
      <c r="D14">
        <v>0</v>
      </c>
      <c r="E14">
        <v>0</v>
      </c>
      <c r="F14">
        <v>61.957257833280664</v>
      </c>
      <c r="G14">
        <v>170.13720482098574</v>
      </c>
      <c r="H14">
        <v>-340.63589077376469</v>
      </c>
      <c r="I14">
        <v>51.406664131078344</v>
      </c>
      <c r="K14" s="102">
        <f t="shared" si="1"/>
        <v>0</v>
      </c>
      <c r="N14">
        <v>59</v>
      </c>
      <c r="O14">
        <v>26.5</v>
      </c>
      <c r="P14">
        <v>0</v>
      </c>
    </row>
    <row r="15" spans="1:16" x14ac:dyDescent="0.35">
      <c r="A15" s="188">
        <v>45199</v>
      </c>
      <c r="B15">
        <v>45.550824934105464</v>
      </c>
      <c r="C15">
        <v>-10.174728012378409</v>
      </c>
      <c r="D15">
        <v>0</v>
      </c>
      <c r="E15">
        <v>0</v>
      </c>
      <c r="F15">
        <v>62.471174362312695</v>
      </c>
      <c r="G15">
        <v>169.69779297530022</v>
      </c>
      <c r="H15">
        <v>-342.22264155236019</v>
      </c>
      <c r="I15">
        <v>37.445842510045054</v>
      </c>
      <c r="K15" s="102">
        <f t="shared" si="1"/>
        <v>0</v>
      </c>
      <c r="N15">
        <v>59</v>
      </c>
      <c r="O15">
        <v>26.5</v>
      </c>
      <c r="P15">
        <v>0</v>
      </c>
    </row>
    <row r="16" spans="1:16" x14ac:dyDescent="0.35">
      <c r="A16" s="188">
        <v>45291</v>
      </c>
      <c r="B16">
        <v>45.820220544996459</v>
      </c>
      <c r="C16">
        <v>-10.481366564078854</v>
      </c>
      <c r="D16">
        <v>0</v>
      </c>
      <c r="E16">
        <v>0</v>
      </c>
      <c r="F16">
        <v>62.894804728414101</v>
      </c>
      <c r="G16">
        <v>170.55624736271193</v>
      </c>
      <c r="H16">
        <v>-343.82445642062589</v>
      </c>
      <c r="I16">
        <v>32.479535988951</v>
      </c>
      <c r="K16" s="102">
        <f t="shared" si="1"/>
        <v>0</v>
      </c>
      <c r="N16">
        <v>59</v>
      </c>
      <c r="O16">
        <v>26.5</v>
      </c>
      <c r="P16">
        <v>0</v>
      </c>
    </row>
    <row r="17" spans="1:16" x14ac:dyDescent="0.35">
      <c r="A17" s="188">
        <v>45382</v>
      </c>
      <c r="B17">
        <v>46.08961615588737</v>
      </c>
      <c r="C17">
        <v>-10.804259404107256</v>
      </c>
      <c r="D17">
        <v>0</v>
      </c>
      <c r="E17">
        <v>0</v>
      </c>
      <c r="F17">
        <v>63.318435094515735</v>
      </c>
      <c r="G17">
        <v>171.52051640171408</v>
      </c>
      <c r="H17">
        <v>-345.43631401533838</v>
      </c>
      <c r="I17">
        <v>33.038276481380422</v>
      </c>
      <c r="K17" s="102">
        <f t="shared" si="1"/>
        <v>0</v>
      </c>
      <c r="N17">
        <v>59</v>
      </c>
      <c r="O17">
        <v>26.5</v>
      </c>
      <c r="P17">
        <v>0</v>
      </c>
    </row>
    <row r="18" spans="1:16" x14ac:dyDescent="0.35">
      <c r="A18" s="188">
        <v>45473</v>
      </c>
      <c r="B18">
        <v>46.359011766778281</v>
      </c>
      <c r="C18">
        <v>-11.141928869888432</v>
      </c>
      <c r="D18">
        <v>0</v>
      </c>
      <c r="E18">
        <v>0</v>
      </c>
      <c r="F18">
        <v>63.742065460617368</v>
      </c>
      <c r="G18">
        <v>172.44063678295106</v>
      </c>
      <c r="H18">
        <v>-347.04482403456859</v>
      </c>
      <c r="I18">
        <v>33.603591434267457</v>
      </c>
      <c r="K18" s="102">
        <f t="shared" si="1"/>
        <v>0</v>
      </c>
      <c r="N18">
        <v>59</v>
      </c>
      <c r="O18">
        <v>26.5</v>
      </c>
      <c r="P18">
        <v>0</v>
      </c>
    </row>
    <row r="19" spans="1:16" x14ac:dyDescent="0.35">
      <c r="A19" s="188">
        <v>45565</v>
      </c>
      <c r="B19">
        <v>46.62840737766922</v>
      </c>
      <c r="C19">
        <v>-11.458911059615787</v>
      </c>
      <c r="D19">
        <v>0</v>
      </c>
      <c r="E19">
        <v>0</v>
      </c>
      <c r="F19">
        <v>64.165695826718775</v>
      </c>
      <c r="G19">
        <v>173.42008081117865</v>
      </c>
      <c r="H19">
        <v>-348.65835541702234</v>
      </c>
      <c r="I19">
        <v>34.180022012499421</v>
      </c>
      <c r="K19" s="102">
        <f t="shared" si="1"/>
        <v>0</v>
      </c>
      <c r="N19">
        <v>59</v>
      </c>
      <c r="O19">
        <v>26.5</v>
      </c>
      <c r="P19">
        <v>0</v>
      </c>
    </row>
    <row r="20" spans="1:16" x14ac:dyDescent="0.35">
      <c r="A20" s="188">
        <v>45657</v>
      </c>
      <c r="B20">
        <v>47.321344008295341</v>
      </c>
      <c r="C20">
        <v>-11.494732358093188</v>
      </c>
      <c r="D20">
        <v>0</v>
      </c>
      <c r="E20">
        <v>0</v>
      </c>
      <c r="F20">
        <v>65.74675694336679</v>
      </c>
      <c r="G20">
        <v>177.4518963720202</v>
      </c>
      <c r="H20">
        <v>-350.2752343749583</v>
      </c>
      <c r="I20">
        <v>34.226423302062813</v>
      </c>
      <c r="K20" s="102">
        <f t="shared" si="1"/>
        <v>0</v>
      </c>
      <c r="N20">
        <v>59</v>
      </c>
      <c r="O20">
        <v>26.5</v>
      </c>
      <c r="P20">
        <v>0</v>
      </c>
    </row>
    <row r="21" spans="1:16" x14ac:dyDescent="0.35">
      <c r="A21" s="188">
        <v>45747</v>
      </c>
      <c r="B21">
        <v>48.01428063892152</v>
      </c>
      <c r="C21">
        <v>-11.529075993995264</v>
      </c>
      <c r="D21">
        <v>0</v>
      </c>
      <c r="E21">
        <v>0</v>
      </c>
      <c r="F21">
        <v>67.327818060015034</v>
      </c>
      <c r="G21">
        <v>180.85881900115442</v>
      </c>
      <c r="H21">
        <v>-351.89043954515301</v>
      </c>
      <c r="I21">
        <v>34.27694756821063</v>
      </c>
      <c r="K21" s="102">
        <f t="shared" si="1"/>
        <v>0</v>
      </c>
      <c r="N21">
        <v>59</v>
      </c>
      <c r="O21">
        <v>26.5</v>
      </c>
      <c r="P21">
        <v>0</v>
      </c>
    </row>
    <row r="22" spans="1:16" x14ac:dyDescent="0.35">
      <c r="A22" s="188">
        <v>45838</v>
      </c>
      <c r="B22">
        <v>48.707217269547613</v>
      </c>
      <c r="C22">
        <v>-11.56194196732207</v>
      </c>
      <c r="D22">
        <v>0</v>
      </c>
      <c r="E22">
        <v>0</v>
      </c>
      <c r="F22">
        <v>68.908879176663049</v>
      </c>
      <c r="G22">
        <v>183.48112379736654</v>
      </c>
      <c r="H22">
        <v>-353.48555926245427</v>
      </c>
      <c r="I22">
        <v>34.3327483281833</v>
      </c>
      <c r="K22" s="102">
        <f t="shared" si="1"/>
        <v>0</v>
      </c>
      <c r="N22">
        <v>59</v>
      </c>
      <c r="O22">
        <v>26.5</v>
      </c>
      <c r="P22">
        <v>0</v>
      </c>
    </row>
    <row r="23" spans="1:16" x14ac:dyDescent="0.35">
      <c r="A23" s="188">
        <v>45930</v>
      </c>
      <c r="B23">
        <v>49.400153900173734</v>
      </c>
      <c r="C23">
        <v>-11.594807940648877</v>
      </c>
      <c r="D23">
        <v>0</v>
      </c>
      <c r="E23">
        <v>0</v>
      </c>
      <c r="F23">
        <v>70.489940293311065</v>
      </c>
      <c r="G23">
        <v>185.39454849432309</v>
      </c>
      <c r="H23">
        <v>-355.06896246556749</v>
      </c>
      <c r="I23">
        <v>34.393013957164499</v>
      </c>
      <c r="K23" s="102">
        <f t="shared" si="1"/>
        <v>0</v>
      </c>
      <c r="N23">
        <v>59</v>
      </c>
      <c r="O23">
        <v>26.5</v>
      </c>
      <c r="P23">
        <v>0</v>
      </c>
    </row>
    <row r="24" spans="1:16" x14ac:dyDescent="0.35">
      <c r="A24" s="188">
        <v>46022</v>
      </c>
      <c r="B24">
        <v>50.090219694107674</v>
      </c>
      <c r="C24">
        <v>-11.629429434809026</v>
      </c>
      <c r="D24">
        <v>0</v>
      </c>
      <c r="E24">
        <v>0</v>
      </c>
      <c r="F24">
        <v>71.668308552785447</v>
      </c>
      <c r="G24">
        <v>186.28741412573436</v>
      </c>
      <c r="H24">
        <v>-356.64064915449279</v>
      </c>
      <c r="I24">
        <v>34.464502021904309</v>
      </c>
      <c r="K24" s="102">
        <f t="shared" si="1"/>
        <v>0</v>
      </c>
      <c r="N24">
        <v>59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265</v>
      </c>
      <c r="U1" s="340"/>
      <c r="V1" s="340"/>
      <c r="W1" s="340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213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212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8" t="s">
        <v>206</v>
      </c>
      <c r="B1" s="349"/>
      <c r="C1" s="35"/>
      <c r="I1" s="240"/>
      <c r="J1" s="356" t="s">
        <v>279</v>
      </c>
      <c r="V1" s="340"/>
      <c r="W1" s="340"/>
      <c r="X1" s="340"/>
      <c r="Y1" s="340"/>
    </row>
    <row r="2" spans="1:27" x14ac:dyDescent="0.35">
      <c r="A2" s="350" t="s">
        <v>191</v>
      </c>
      <c r="B2" s="126"/>
      <c r="C2" t="s">
        <v>192</v>
      </c>
      <c r="H2" s="95"/>
      <c r="I2" s="241"/>
      <c r="J2" s="356"/>
    </row>
    <row r="3" spans="1:27" x14ac:dyDescent="0.35">
      <c r="A3" s="351"/>
      <c r="B3" s="127"/>
      <c r="C3" t="s">
        <v>193</v>
      </c>
      <c r="H3" s="95"/>
      <c r="I3" s="241"/>
      <c r="J3" s="356"/>
    </row>
    <row r="4" spans="1:27" x14ac:dyDescent="0.35">
      <c r="A4" s="351"/>
      <c r="B4" s="128"/>
      <c r="C4" t="s">
        <v>194</v>
      </c>
      <c r="H4" s="95"/>
      <c r="I4" s="95"/>
      <c r="J4" s="95"/>
    </row>
    <row r="5" spans="1:27" x14ac:dyDescent="0.35">
      <c r="A5" s="352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269</v>
      </c>
      <c r="P7" s="354"/>
      <c r="Q7" s="354"/>
      <c r="R7" s="354"/>
      <c r="S7" s="353" t="s">
        <v>273</v>
      </c>
      <c r="T7" s="354"/>
      <c r="U7" s="354"/>
      <c r="V7" s="354"/>
      <c r="W7" s="353" t="s">
        <v>274</v>
      </c>
      <c r="X7" s="354"/>
      <c r="Y7" s="354"/>
      <c r="Z7" s="354"/>
      <c r="AA7" s="222" t="s">
        <v>275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255</v>
      </c>
      <c r="B1" s="259" t="s">
        <v>248</v>
      </c>
      <c r="C1" s="259" t="s">
        <v>249</v>
      </c>
      <c r="D1" s="259" t="s">
        <v>250</v>
      </c>
      <c r="E1" s="259" t="s">
        <v>251</v>
      </c>
      <c r="F1" s="259" t="s">
        <v>252</v>
      </c>
      <c r="G1" s="259" t="s">
        <v>253</v>
      </c>
      <c r="H1" s="259" t="s">
        <v>254</v>
      </c>
      <c r="I1" s="259" t="s">
        <v>286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-35.750999999999976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58.244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-54.593681691845177</v>
      </c>
      <c r="E4" s="259">
        <v>-2.8001771349484841</v>
      </c>
      <c r="F4" s="259">
        <v>66.012511731550148</v>
      </c>
      <c r="G4" s="259">
        <v>1201.8936191406992</v>
      </c>
      <c r="H4" s="259">
        <v>391.78358333333341</v>
      </c>
      <c r="I4" s="259">
        <v>96.90180399999997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-55.153337573248791</v>
      </c>
      <c r="E5" s="259">
        <v>-2.8288825740026482</v>
      </c>
      <c r="F5" s="259">
        <v>101.61723848447548</v>
      </c>
      <c r="G5" s="259">
        <v>854.05661636033483</v>
      </c>
      <c r="H5" s="259">
        <v>389.89820174709951</v>
      </c>
      <c r="I5" s="259">
        <v>87.454570502826414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-55.951846589752222</v>
      </c>
      <c r="E6" s="259">
        <v>-2.8698390843673991</v>
      </c>
      <c r="F6" s="259">
        <v>137.50135897728978</v>
      </c>
      <c r="G6" s="259">
        <v>906.03001879956446</v>
      </c>
      <c r="H6" s="259">
        <v>-262.03049823444167</v>
      </c>
      <c r="I6" s="259">
        <v>104.60367441070301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-56.695639249994201</v>
      </c>
      <c r="E7" s="259">
        <v>-2.907989125467509</v>
      </c>
      <c r="F7" s="259">
        <v>144.44402858127864</v>
      </c>
      <c r="G7" s="259">
        <v>926.50683572140088</v>
      </c>
      <c r="H7" s="259">
        <v>-285.33172438316558</v>
      </c>
      <c r="I7" s="259">
        <v>94.229777558424473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-332.74230778657443</v>
      </c>
      <c r="I8" s="259">
        <v>83.152512199130257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-334.34747023032236</v>
      </c>
      <c r="I9" s="259">
        <v>78.397392744450201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-335.92752585795336</v>
      </c>
      <c r="I10" s="259">
        <v>73.602356577807058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-337.49753875913746</v>
      </c>
      <c r="I11" s="259">
        <v>60.738306010595892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-339.06420408483939</v>
      </c>
      <c r="I12" s="259">
        <v>47.876046461255555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-340.63589077376469</v>
      </c>
      <c r="I13" s="259">
        <v>51.406664131078344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-342.22264155236019</v>
      </c>
      <c r="I14" s="259">
        <v>37.445842510045054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-343.82445642062589</v>
      </c>
      <c r="I15" s="259">
        <v>32.479535988951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-345.43631401533838</v>
      </c>
      <c r="I16" s="259">
        <v>33.038276481380422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-347.04482403456859</v>
      </c>
      <c r="I17" s="259">
        <v>33.603591434267457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-348.65835541702234</v>
      </c>
      <c r="I18" s="259">
        <v>34.180022012499421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-350.2752343749583</v>
      </c>
      <c r="I19" s="259">
        <v>34.226423302062813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-351.89043954515301</v>
      </c>
      <c r="I20" s="259">
        <v>34.27694756821063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-353.48555926245427</v>
      </c>
      <c r="I21" s="259">
        <v>34.3327483281833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-355.06896246556749</v>
      </c>
      <c r="I22" s="259">
        <v>34.393013957164499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defaultColWidth="8.81640625" defaultRowHeight="14.5" x14ac:dyDescent="0.35"/>
  <sheetData>
    <row r="1" spans="1:10" s="297" customFormat="1" x14ac:dyDescent="0.35">
      <c r="A1" s="297" t="s">
        <v>321</v>
      </c>
      <c r="B1" s="297" t="s">
        <v>322</v>
      </c>
      <c r="C1" s="297" t="s">
        <v>323</v>
      </c>
      <c r="D1" s="297" t="s">
        <v>324</v>
      </c>
      <c r="E1" s="297" t="s">
        <v>325</v>
      </c>
      <c r="F1" s="297" t="s">
        <v>326</v>
      </c>
      <c r="G1" s="297" t="s">
        <v>327</v>
      </c>
      <c r="H1" s="297" t="s">
        <v>328</v>
      </c>
      <c r="I1" s="297" t="s">
        <v>329</v>
      </c>
      <c r="J1" s="297" t="s">
        <v>374</v>
      </c>
    </row>
    <row r="2" spans="1:10" x14ac:dyDescent="0.35">
      <c r="A2" t="s">
        <v>291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292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293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294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295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296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297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298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330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331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300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301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302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303</v>
      </c>
      <c r="H15">
        <v>1078100</v>
      </c>
      <c r="I15">
        <v>15600</v>
      </c>
      <c r="J15">
        <v>5000</v>
      </c>
    </row>
    <row r="16" spans="1:10" x14ac:dyDescent="0.35">
      <c r="A16" t="s">
        <v>304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305</v>
      </c>
      <c r="H17">
        <v>19100</v>
      </c>
      <c r="I17">
        <v>27000</v>
      </c>
      <c r="J17">
        <v>10800</v>
      </c>
    </row>
    <row r="18" spans="1:10" x14ac:dyDescent="0.35">
      <c r="A18" t="s">
        <v>306</v>
      </c>
      <c r="H18">
        <v>160900</v>
      </c>
      <c r="I18">
        <v>58400</v>
      </c>
      <c r="J18">
        <v>34500</v>
      </c>
    </row>
    <row r="19" spans="1:10" x14ac:dyDescent="0.35">
      <c r="A19" t="s">
        <v>307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308</v>
      </c>
      <c r="H20">
        <v>609300</v>
      </c>
      <c r="I20">
        <v>865600</v>
      </c>
      <c r="J20">
        <v>260300</v>
      </c>
    </row>
    <row r="21" spans="1:10" x14ac:dyDescent="0.35">
      <c r="A21" t="s">
        <v>309</v>
      </c>
      <c r="H21">
        <v>63800</v>
      </c>
      <c r="I21">
        <v>15000</v>
      </c>
      <c r="J21">
        <v>100</v>
      </c>
    </row>
    <row r="22" spans="1:10" x14ac:dyDescent="0.35">
      <c r="A22" t="s">
        <v>310</v>
      </c>
      <c r="H22">
        <v>73300</v>
      </c>
      <c r="I22">
        <v>73300</v>
      </c>
      <c r="J22">
        <v>73300</v>
      </c>
    </row>
    <row r="23" spans="1:10" x14ac:dyDescent="0.35">
      <c r="A23" t="s">
        <v>311</v>
      </c>
      <c r="H23">
        <v>140000</v>
      </c>
      <c r="I23">
        <v>140000</v>
      </c>
      <c r="J23">
        <v>140000</v>
      </c>
    </row>
    <row r="24" spans="1:10" x14ac:dyDescent="0.35">
      <c r="A24" t="s">
        <v>312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315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314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316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317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318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319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320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299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333</v>
      </c>
      <c r="H33">
        <v>277100</v>
      </c>
      <c r="I33">
        <v>228300</v>
      </c>
      <c r="J33">
        <v>213400</v>
      </c>
    </row>
    <row r="34" spans="1:10" x14ac:dyDescent="0.35">
      <c r="A34" t="s">
        <v>313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255</v>
      </c>
      <c r="B1" t="s">
        <v>287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237</v>
      </c>
      <c r="C8" s="160"/>
      <c r="D8" s="161">
        <f>SUMPRODUCT(B5:B6,C5:C6)</f>
        <v>0.45</v>
      </c>
    </row>
    <row r="9" spans="1:16" x14ac:dyDescent="0.35">
      <c r="B9" s="157" t="s">
        <v>238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237</v>
      </c>
      <c r="C8" s="160"/>
      <c r="D8" s="161">
        <f>SUMPRODUCT(B5:B6,C5:C6)</f>
        <v>0.52500000000000002</v>
      </c>
    </row>
    <row r="9" spans="1:16" x14ac:dyDescent="0.35">
      <c r="B9" s="157" t="s">
        <v>238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219</v>
      </c>
      <c r="E12" s="28" t="s">
        <v>217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225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218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224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223</v>
      </c>
    </row>
    <row r="15" spans="1:19" x14ac:dyDescent="0.35">
      <c r="A15" t="s">
        <v>222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220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35">
      <c r="A2" s="363" t="s">
        <v>191</v>
      </c>
      <c r="B2" s="107"/>
      <c r="C2" t="s">
        <v>192</v>
      </c>
    </row>
    <row r="3" spans="1:32" x14ac:dyDescent="0.35">
      <c r="A3" s="363"/>
      <c r="B3" s="108"/>
      <c r="C3" t="s">
        <v>193</v>
      </c>
    </row>
    <row r="4" spans="1:32" x14ac:dyDescent="0.35">
      <c r="A4" s="363"/>
      <c r="B4" s="109"/>
      <c r="C4" t="s">
        <v>194</v>
      </c>
    </row>
    <row r="5" spans="1:32" x14ac:dyDescent="0.35">
      <c r="A5" s="363"/>
      <c r="B5" s="98"/>
      <c r="C5" t="s">
        <v>181</v>
      </c>
    </row>
    <row r="7" spans="1:32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9" t="s">
        <v>104</v>
      </c>
      <c r="B2" s="369"/>
      <c r="C2" s="369"/>
      <c r="D2" s="369"/>
      <c r="E2" s="369"/>
      <c r="F2" s="369"/>
      <c r="G2" s="369"/>
      <c r="H2" s="369"/>
      <c r="I2" s="369"/>
      <c r="J2" s="369"/>
      <c r="K2" s="77"/>
    </row>
    <row r="3" spans="1:24" x14ac:dyDescent="0.35">
      <c r="A3" s="369" t="s">
        <v>105</v>
      </c>
      <c r="B3" s="369"/>
      <c r="C3" s="369"/>
      <c r="D3" s="369"/>
      <c r="E3" s="369"/>
      <c r="F3" s="369"/>
      <c r="G3" s="369"/>
      <c r="H3" s="369"/>
      <c r="I3" s="369"/>
      <c r="J3" s="369"/>
      <c r="K3" s="77"/>
    </row>
    <row r="4" spans="1:24" ht="15" thickBot="1" x14ac:dyDescent="0.4">
      <c r="A4" s="370"/>
      <c r="B4" s="370"/>
      <c r="C4" s="370"/>
      <c r="D4" s="370"/>
      <c r="E4" s="370"/>
      <c r="F4" s="370"/>
      <c r="G4" s="370"/>
      <c r="H4" s="370"/>
      <c r="I4" s="370"/>
      <c r="J4" s="370"/>
      <c r="K4" s="375" t="s">
        <v>160</v>
      </c>
      <c r="L4" s="375"/>
      <c r="M4" s="375"/>
      <c r="N4" s="375"/>
    </row>
    <row r="5" spans="1:24" x14ac:dyDescent="0.35">
      <c r="A5" s="47"/>
      <c r="B5" s="48"/>
      <c r="C5" s="371" t="s">
        <v>106</v>
      </c>
      <c r="D5" s="372"/>
      <c r="E5" s="372"/>
      <c r="F5" s="372"/>
      <c r="G5" s="372"/>
      <c r="H5" s="372"/>
      <c r="I5" s="372"/>
      <c r="J5" s="373"/>
      <c r="K5" s="78"/>
      <c r="L5" s="374" t="s">
        <v>107</v>
      </c>
      <c r="M5" s="340"/>
      <c r="N5" s="340"/>
    </row>
    <row r="6" spans="1:24" x14ac:dyDescent="0.35">
      <c r="A6" s="1" t="s">
        <v>109</v>
      </c>
      <c r="B6" s="49"/>
      <c r="C6" s="365">
        <v>2020</v>
      </c>
      <c r="D6" s="366"/>
      <c r="E6" s="366"/>
      <c r="F6" s="366"/>
      <c r="G6" s="366"/>
      <c r="H6" s="366"/>
      <c r="I6" s="366"/>
      <c r="J6" s="367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8" t="s">
        <v>108</v>
      </c>
      <c r="L23" s="368"/>
      <c r="M23" s="368"/>
      <c r="N23" s="368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64" t="s">
        <v>257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64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64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64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64" t="s">
        <v>141</v>
      </c>
      <c r="J33" s="85" t="s">
        <v>257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64"/>
      <c r="J34" t="s">
        <v>258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266</v>
      </c>
    </row>
    <row r="37" spans="3:23" x14ac:dyDescent="0.35">
      <c r="C37" t="s">
        <v>267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375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257</v>
      </c>
      <c r="O47">
        <v>32</v>
      </c>
    </row>
    <row r="48" spans="3:23" x14ac:dyDescent="0.35">
      <c r="N48" t="s">
        <v>258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7" t="s">
        <v>87</v>
      </c>
      <c r="F6" s="377"/>
      <c r="G6" s="377"/>
      <c r="H6" s="377"/>
      <c r="I6" s="377"/>
      <c r="J6" s="377"/>
      <c r="K6" s="377"/>
      <c r="L6" s="377"/>
      <c r="M6" s="377"/>
      <c r="N6" s="377"/>
      <c r="O6" s="377"/>
      <c r="P6" s="377"/>
      <c r="Q6" s="377"/>
      <c r="R6" s="377"/>
    </row>
    <row r="7" spans="1:18" x14ac:dyDescent="0.35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8" t="s">
        <v>95</v>
      </c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9" t="s">
        <v>99</v>
      </c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8" t="s">
        <v>101</v>
      </c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66951ee6-cd93-49c7-9437-e871b2a117d6"/>
    <ds:schemaRef ds:uri="cac5d118-ba7b-4807-b700-df6f95cfff50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2021-05-05T13:33:54Z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