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389FF805-33BF-A74B-98C5-3C5CD60BF2E7}" xr6:coauthVersionLast="45" xr6:coauthVersionMax="45" xr10:uidLastSave="{00000000-0000-0000-0000-000000000000}"/>
  <bookViews>
    <workbookView xWindow="34540" yWindow="13500" windowWidth="33600" windowHeight="19480" activeTab="11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0" i="1" l="1"/>
  <c r="L77" i="1"/>
  <c r="L74" i="1"/>
  <c r="L71" i="1"/>
  <c r="L67" i="1"/>
  <c r="L65" i="1"/>
  <c r="L64" i="1"/>
  <c r="L54" i="1"/>
  <c r="L52" i="1"/>
  <c r="L51" i="1"/>
  <c r="L50" i="1"/>
  <c r="L48" i="1"/>
  <c r="L46" i="1"/>
  <c r="L41" i="1"/>
  <c r="L40" i="1"/>
  <c r="L34" i="1"/>
  <c r="L32" i="1"/>
  <c r="L31" i="1"/>
  <c r="L30" i="1"/>
  <c r="L26" i="1"/>
  <c r="L25" i="1"/>
  <c r="L24" i="1"/>
  <c r="L23" i="1"/>
  <c r="L18" i="1"/>
  <c r="L16" i="1"/>
  <c r="L14" i="1"/>
  <c r="L12" i="1"/>
  <c r="L7" i="1"/>
  <c r="L5" i="1"/>
  <c r="L33" i="1" l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V46" i="1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40" i="11" s="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K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Z40" i="11" l="1"/>
  <c r="V47" i="11"/>
  <c r="U47" i="11"/>
  <c r="AA33" i="11"/>
  <c r="P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6" i="1"/>
  <c r="X86" i="1"/>
  <c r="W86" i="1"/>
  <c r="Y85" i="1"/>
  <c r="Y87" i="1" s="1"/>
  <c r="X85" i="1"/>
  <c r="X87" i="1" s="1"/>
  <c r="W85" i="1"/>
  <c r="W87" i="1" s="1"/>
  <c r="N81" i="1"/>
  <c r="O81" i="1" s="1"/>
  <c r="P81" i="1" s="1"/>
  <c r="Q81" i="1" s="1"/>
  <c r="R81" i="1" s="1"/>
  <c r="S81" i="1" s="1"/>
  <c r="L82" i="1"/>
  <c r="L78" i="1"/>
  <c r="F78" i="1"/>
  <c r="G78" i="1"/>
  <c r="H78" i="1"/>
  <c r="I78" i="1"/>
  <c r="J78" i="1"/>
  <c r="K78" i="1"/>
  <c r="K82" i="1"/>
  <c r="J82" i="1"/>
  <c r="N37" i="1" l="1"/>
  <c r="L49" i="1" l="1"/>
  <c r="K49" i="1"/>
  <c r="L72" i="1"/>
  <c r="L55" i="1"/>
  <c r="N16" i="1"/>
  <c r="N6" i="1"/>
  <c r="N12" i="1"/>
  <c r="N14" i="1"/>
  <c r="N11" i="1" l="1"/>
  <c r="AA25" i="5"/>
  <c r="Z25" i="5"/>
  <c r="Y25" i="5"/>
  <c r="X25" i="5"/>
  <c r="W25" i="5"/>
  <c r="V25" i="5"/>
  <c r="U25" i="5"/>
  <c r="T25" i="5"/>
  <c r="S25" i="5"/>
  <c r="R25" i="5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U72" i="5"/>
  <c r="U73" i="5" s="1"/>
  <c r="V72" i="5"/>
  <c r="W72" i="5"/>
  <c r="W73" i="5" s="1"/>
  <c r="X72" i="5"/>
  <c r="Y72" i="5"/>
  <c r="Z72" i="5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G42" i="1"/>
  <c r="L58" i="5"/>
  <c r="M58" i="5"/>
  <c r="M59" i="5" s="1"/>
  <c r="N58" i="5"/>
  <c r="O58" i="5"/>
  <c r="P58" i="5"/>
  <c r="Q58" i="5"/>
  <c r="R58" i="5"/>
  <c r="S58" i="5"/>
  <c r="T58" i="5"/>
  <c r="U58" i="5"/>
  <c r="V58" i="5"/>
  <c r="W58" i="5"/>
  <c r="W59" i="5" s="1"/>
  <c r="X58" i="5"/>
  <c r="Y58" i="5"/>
  <c r="Z58" i="5"/>
  <c r="AA58" i="5"/>
  <c r="X59" i="5" l="1"/>
  <c r="T73" i="5"/>
  <c r="R26" i="5"/>
  <c r="T59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6" i="1"/>
  <c r="Y66" i="1"/>
  <c r="X66" i="1"/>
  <c r="W66" i="1"/>
  <c r="P72" i="5"/>
  <c r="Q72" i="5"/>
  <c r="L4" i="10" l="1"/>
  <c r="G38" i="11" s="1"/>
  <c r="G41" i="11" s="1"/>
  <c r="O31" i="1"/>
  <c r="Q73" i="5"/>
  <c r="R73" i="5"/>
  <c r="O72" i="5"/>
  <c r="S47" i="1"/>
  <c r="N48" i="1"/>
  <c r="P48" i="1"/>
  <c r="Q48" i="1"/>
  <c r="R48" i="1"/>
  <c r="T48" i="1"/>
  <c r="U48" i="1"/>
  <c r="V48" i="1"/>
  <c r="T49" i="1"/>
  <c r="U49" i="1"/>
  <c r="V49" i="1"/>
  <c r="P31" i="1" l="1"/>
  <c r="M4" i="10"/>
  <c r="H38" i="11" s="1"/>
  <c r="H41" i="11" s="1"/>
  <c r="O47" i="1"/>
  <c r="P47" i="1"/>
  <c r="U47" i="1"/>
  <c r="T47" i="1"/>
  <c r="N47" i="1"/>
  <c r="V47" i="1"/>
  <c r="R47" i="1"/>
  <c r="Q47" i="1"/>
  <c r="L47" i="1"/>
  <c r="E44" i="5"/>
  <c r="L32" i="5"/>
  <c r="M32" i="5"/>
  <c r="L65" i="5"/>
  <c r="M66" i="5" s="1"/>
  <c r="L72" i="5"/>
  <c r="M72" i="5"/>
  <c r="N72" i="5"/>
  <c r="S58" i="1"/>
  <c r="T58" i="1"/>
  <c r="U58" i="1"/>
  <c r="V58" i="1"/>
  <c r="W58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K22" i="1"/>
  <c r="E38" i="5" s="1"/>
  <c r="J22" i="1"/>
  <c r="I22" i="1"/>
  <c r="H22" i="1"/>
  <c r="G22" i="1"/>
  <c r="F22" i="1"/>
  <c r="E22" i="1"/>
  <c r="V6" i="1"/>
  <c r="U6" i="1"/>
  <c r="T6" i="1"/>
  <c r="S6" i="1"/>
  <c r="R6" i="1"/>
  <c r="Q6" i="1"/>
  <c r="P6" i="1"/>
  <c r="O6" i="1"/>
  <c r="L6" i="1"/>
  <c r="K6" i="1"/>
  <c r="J6" i="1"/>
  <c r="I6" i="1"/>
  <c r="H6" i="1"/>
  <c r="G6" i="1"/>
  <c r="F6" i="1"/>
  <c r="K27" i="1"/>
  <c r="J27" i="1"/>
  <c r="I27" i="1"/>
  <c r="H27" i="1"/>
  <c r="G27" i="1"/>
  <c r="F27" i="1"/>
  <c r="E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L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2" i="9" l="1" a="1"/>
  <c r="E13" i="9" s="1"/>
  <c r="E2" i="12" a="1"/>
  <c r="R38" i="11"/>
  <c r="Q41" i="11"/>
  <c r="T67" i="5"/>
  <c r="U64" i="5"/>
  <c r="T23" i="1"/>
  <c r="S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K11" i="1"/>
  <c r="J11" i="1"/>
  <c r="I11" i="1"/>
  <c r="H11" i="1"/>
  <c r="G11" i="1"/>
  <c r="F11" i="1"/>
  <c r="E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K72" i="1" l="1"/>
  <c r="J72" i="1"/>
  <c r="I72" i="1"/>
  <c r="H72" i="1"/>
  <c r="G72" i="1"/>
  <c r="F72" i="1"/>
  <c r="E72" i="1"/>
  <c r="K58" i="1"/>
  <c r="F55" i="1"/>
  <c r="G55" i="1"/>
  <c r="H55" i="1"/>
  <c r="I55" i="1"/>
  <c r="J55" i="1"/>
  <c r="K55" i="1"/>
  <c r="K56" i="1" s="1"/>
  <c r="E55" i="1"/>
  <c r="AJ67" i="1"/>
  <c r="AI67" i="1"/>
  <c r="AH67" i="1"/>
  <c r="I76" i="1"/>
  <c r="J76" i="1"/>
  <c r="F15" i="7" s="1"/>
  <c r="J15" i="7" s="1"/>
  <c r="J13" i="7" s="1"/>
  <c r="F76" i="1"/>
  <c r="G76" i="1"/>
  <c r="H76" i="1"/>
  <c r="E76" i="1"/>
  <c r="K62" i="1" l="1"/>
  <c r="E71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J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L6" i="10" s="1"/>
  <c r="G24" i="11" s="1"/>
  <c r="G27" i="11" s="1"/>
  <c r="L15" i="7"/>
  <c r="L13" i="7" s="1"/>
  <c r="AC74" i="1"/>
  <c r="D25" i="5"/>
  <c r="E50" i="5"/>
  <c r="L86" i="1"/>
  <c r="E85" i="1"/>
  <c r="E87" i="1" s="1"/>
  <c r="K86" i="1"/>
  <c r="D24" i="5" s="1"/>
  <c r="L39" i="1"/>
  <c r="K39" i="1"/>
  <c r="O74" i="1" l="1"/>
  <c r="M6" i="10" s="1"/>
  <c r="H24" i="11" s="1"/>
  <c r="H27" i="11" s="1"/>
  <c r="L42" i="1"/>
  <c r="N67" i="1"/>
  <c r="E24" i="5"/>
  <c r="L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6" i="1"/>
  <c r="O66" i="1"/>
  <c r="P66" i="1"/>
  <c r="Q66" i="1"/>
  <c r="R66" i="1"/>
  <c r="S66" i="1"/>
  <c r="T66" i="1"/>
  <c r="U66" i="1"/>
  <c r="V66" i="1"/>
  <c r="L66" i="1"/>
  <c r="L56" i="1" s="1"/>
  <c r="O39" i="1"/>
  <c r="P39" i="1"/>
  <c r="Q39" i="1"/>
  <c r="R39" i="1"/>
  <c r="N39" i="1"/>
  <c r="P74" i="1" l="1"/>
  <c r="N6" i="10" s="1"/>
  <c r="I24" i="11" s="1"/>
  <c r="I27" i="11" s="1"/>
  <c r="O67" i="1"/>
  <c r="N56" i="1"/>
  <c r="O56" i="1" s="1"/>
  <c r="E54" i="6"/>
  <c r="E56" i="6" s="1"/>
  <c r="L62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7" i="1" l="1"/>
  <c r="F54" i="6"/>
  <c r="Q74" i="1"/>
  <c r="O6" i="10" s="1"/>
  <c r="J24" i="11" s="1"/>
  <c r="J27" i="11" s="1"/>
  <c r="F71" i="5"/>
  <c r="J3" i="9" s="1"/>
  <c r="P5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67" i="1" l="1"/>
  <c r="G54" i="6"/>
  <c r="F56" i="6"/>
  <c r="F58" i="6" s="1"/>
  <c r="R74" i="1"/>
  <c r="P6" i="10" s="1"/>
  <c r="K24" i="11" s="1"/>
  <c r="K27" i="11" s="1"/>
  <c r="AD74" i="1"/>
  <c r="Q5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7" i="1" l="1"/>
  <c r="G56" i="6"/>
  <c r="G58" i="6" s="1"/>
  <c r="H54" i="6"/>
  <c r="S74" i="1"/>
  <c r="Q6" i="10" s="1"/>
  <c r="L24" i="11" s="1"/>
  <c r="L27" i="11" s="1"/>
  <c r="R56" i="1"/>
  <c r="S5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7" i="1" l="1"/>
  <c r="H56" i="6"/>
  <c r="H58" i="6" s="1"/>
  <c r="I54" i="6"/>
  <c r="T74" i="1"/>
  <c r="R6" i="10" s="1"/>
  <c r="M24" i="11" s="1"/>
  <c r="T56" i="1"/>
  <c r="S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7" i="1"/>
  <c r="M27" i="11"/>
  <c r="N24" i="11"/>
  <c r="U74" i="1"/>
  <c r="S6" i="10" s="1"/>
  <c r="U56" i="1"/>
  <c r="T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4" i="1"/>
  <c r="T6" i="10" s="1"/>
  <c r="U67" i="1"/>
  <c r="AE74" i="1"/>
  <c r="V56" i="1"/>
  <c r="U62" i="1"/>
  <c r="N71" i="5" s="1"/>
  <c r="N74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7" i="1"/>
  <c r="V86" i="1" s="1"/>
  <c r="D2" i="9" a="1"/>
  <c r="D18" i="9" s="1"/>
  <c r="K52" i="5"/>
  <c r="L52" i="5"/>
  <c r="V62" i="1"/>
  <c r="O71" i="5" s="1"/>
  <c r="O74" i="5" s="1"/>
  <c r="W56" i="1"/>
  <c r="W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4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O54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24" i="11" l="1"/>
  <c r="R27" i="11"/>
  <c r="S71" i="5"/>
  <c r="R74" i="5"/>
  <c r="R54" i="1"/>
  <c r="Q54" i="1"/>
  <c r="T24" i="11" l="1"/>
  <c r="S27" i="11"/>
  <c r="T71" i="5"/>
  <c r="S74" i="5"/>
  <c r="F85" i="1"/>
  <c r="F87" i="1" s="1"/>
  <c r="G85" i="1"/>
  <c r="G87" i="1" s="1"/>
  <c r="H85" i="1"/>
  <c r="H87" i="1" s="1"/>
  <c r="I85" i="1"/>
  <c r="I87" i="1" s="1"/>
  <c r="J85" i="1"/>
  <c r="J87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K42" i="1"/>
  <c r="J42" i="1"/>
  <c r="I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K43" i="1"/>
  <c r="I68" i="1"/>
  <c r="J68" i="1"/>
  <c r="D57" i="5" s="1"/>
  <c r="J43" i="1"/>
  <c r="V71" i="5"/>
  <c r="U74" i="5"/>
  <c r="G47" i="2"/>
  <c r="G49" i="2" s="1"/>
  <c r="G50" i="2" s="1"/>
  <c r="G32" i="4"/>
  <c r="G33" i="4" s="1"/>
  <c r="K38" i="4"/>
  <c r="K18" i="4" s="1"/>
  <c r="X43" i="2"/>
  <c r="AE38" i="1"/>
  <c r="Q18" i="4"/>
  <c r="P38" i="1" s="1"/>
  <c r="S17" i="4"/>
  <c r="R36" i="1" s="1"/>
  <c r="L26" i="4"/>
  <c r="M26" i="4"/>
  <c r="M28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35" i="1" s="1"/>
  <c r="N42" i="1"/>
  <c r="O42" i="1" s="1"/>
  <c r="P42" i="1" s="1"/>
  <c r="Q42" i="1" s="1"/>
  <c r="R42" i="1" s="1"/>
  <c r="S42" i="1" s="1"/>
  <c r="W71" i="5"/>
  <c r="V74" i="5"/>
  <c r="R35" i="1"/>
  <c r="N28" i="4"/>
  <c r="M33" i="4"/>
  <c r="M37" i="4" s="1"/>
  <c r="M17" i="4" s="1"/>
  <c r="K36" i="1" s="1"/>
  <c r="K35" i="1" s="1"/>
  <c r="AE36" i="1"/>
  <c r="L34" i="4"/>
  <c r="L38" i="4"/>
  <c r="L18" i="4" s="1"/>
  <c r="P18" i="4"/>
  <c r="O38" i="1" s="1"/>
  <c r="O18" i="4"/>
  <c r="N38" i="1" s="1"/>
  <c r="R18" i="4"/>
  <c r="Q38" i="1" s="1"/>
  <c r="L3" i="9" l="1" a="1"/>
  <c r="L3" i="9" s="1"/>
  <c r="Q33" i="1"/>
  <c r="AD36" i="1"/>
  <c r="M3" i="9" a="1"/>
  <c r="M3" i="9" s="1"/>
  <c r="X24" i="11"/>
  <c r="W27" i="11"/>
  <c r="N33" i="1"/>
  <c r="T42" i="1"/>
  <c r="R33" i="1"/>
  <c r="AE33" i="1" s="1"/>
  <c r="O33" i="1"/>
  <c r="M34" i="4"/>
  <c r="X71" i="5"/>
  <c r="W74" i="5"/>
  <c r="K68" i="1"/>
  <c r="E57" i="5" s="1"/>
  <c r="N33" i="4"/>
  <c r="N17" i="4" s="1"/>
  <c r="L36" i="1" s="1"/>
  <c r="N10" i="4"/>
  <c r="AD38" i="1"/>
  <c r="M38" i="4"/>
  <c r="M18" i="4" s="1"/>
  <c r="K38" i="1" s="1"/>
  <c r="N8" i="4"/>
  <c r="N18" i="4"/>
  <c r="L38" i="1" s="1"/>
  <c r="L85" i="1" s="1"/>
  <c r="L8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F42" i="1"/>
  <c r="G68" i="1"/>
  <c r="H42" i="1"/>
  <c r="E42" i="1"/>
  <c r="AB33" i="1"/>
  <c r="I47" i="2"/>
  <c r="H47" i="2"/>
  <c r="F24" i="2"/>
  <c r="N30" i="1" l="1"/>
  <c r="L3" i="10" s="1"/>
  <c r="G45" i="11" s="1"/>
  <c r="G48" i="11" s="1"/>
  <c r="K3" i="9" a="1"/>
  <c r="K3" i="9" s="1"/>
  <c r="Y24" i="11"/>
  <c r="X27" i="11"/>
  <c r="U42" i="1"/>
  <c r="E68" i="1"/>
  <c r="F68" i="1"/>
  <c r="F43" i="1"/>
  <c r="G43" i="1"/>
  <c r="H68" i="1"/>
  <c r="H43" i="1"/>
  <c r="I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L35" i="1"/>
  <c r="AC38" i="1"/>
  <c r="K85" i="1"/>
  <c r="AD33" i="1"/>
  <c r="H49" i="2"/>
  <c r="H50" i="2" s="1"/>
  <c r="AC36" i="1"/>
  <c r="I49" i="2"/>
  <c r="I50" i="2" s="1"/>
  <c r="Z24" i="11" l="1"/>
  <c r="Y27" i="11"/>
  <c r="AC33" i="1"/>
  <c r="Z71" i="5"/>
  <c r="Y74" i="5"/>
  <c r="K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7" i="1"/>
  <c r="L69" i="1"/>
  <c r="B2" i="12" l="1" a="1"/>
  <c r="B2" i="12" s="1"/>
  <c r="F50" i="5"/>
  <c r="F53" i="5" s="1"/>
  <c r="N18" i="1"/>
  <c r="AC18" i="1"/>
  <c r="AH42" i="1"/>
  <c r="L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69" i="1"/>
  <c r="AB42" i="1"/>
  <c r="O18" i="1"/>
  <c r="L68" i="1"/>
  <c r="AC42" i="1"/>
  <c r="AN42" i="1" s="1"/>
  <c r="AD31" i="1"/>
  <c r="F57" i="5" l="1"/>
  <c r="F60" i="5" s="1"/>
  <c r="AM42" i="1"/>
  <c r="N68" i="1"/>
  <c r="G57" i="5" s="1"/>
  <c r="G60" i="5" s="1"/>
  <c r="P18" i="1"/>
  <c r="O12" i="1"/>
  <c r="AE31" i="1"/>
  <c r="Q18" i="1" l="1"/>
  <c r="AD18" i="1" s="1"/>
  <c r="P12" i="1"/>
  <c r="O11" i="1"/>
  <c r="O68" i="1"/>
  <c r="H57" i="5" s="1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8" i="1"/>
  <c r="I57" i="5" s="1"/>
  <c r="I60" i="5" s="1"/>
  <c r="S18" i="1" l="1"/>
  <c r="R12" i="1"/>
  <c r="Q11" i="1"/>
  <c r="Q30" i="1"/>
  <c r="O3" i="10" s="1"/>
  <c r="J45" i="11" s="1"/>
  <c r="J48" i="11" s="1"/>
  <c r="Q68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68" i="1"/>
  <c r="S30" i="1"/>
  <c r="Q3" i="10" s="1"/>
  <c r="L48" i="11" l="1"/>
  <c r="M60" i="5"/>
  <c r="V18" i="1"/>
  <c r="AE18" i="1"/>
  <c r="U12" i="1"/>
  <c r="T11" i="1"/>
  <c r="T68" i="1"/>
  <c r="T30" i="1"/>
  <c r="R3" i="10" s="1"/>
  <c r="M48" i="11" l="1"/>
  <c r="N60" i="5"/>
  <c r="U11" i="1"/>
  <c r="V12" i="1"/>
  <c r="V11" i="1" s="1"/>
  <c r="AE12" i="1"/>
  <c r="U68" i="1"/>
  <c r="AE42" i="1"/>
  <c r="U30" i="1"/>
  <c r="S3" i="10" s="1"/>
  <c r="N48" i="11" l="1"/>
  <c r="O60" i="5"/>
  <c r="V68" i="1"/>
  <c r="G71" i="5"/>
  <c r="G74" i="5" s="1"/>
  <c r="N69" i="1"/>
  <c r="G50" i="5" s="1"/>
  <c r="G53" i="5" s="1"/>
  <c r="N86" i="1"/>
  <c r="F24" i="5" s="1"/>
  <c r="F27" i="5" s="1"/>
  <c r="O48" i="11" l="1"/>
  <c r="P60" i="5"/>
  <c r="O86" i="1"/>
  <c r="G24" i="5" s="1"/>
  <c r="G27" i="5" s="1"/>
  <c r="H71" i="5"/>
  <c r="H74" i="5" s="1"/>
  <c r="O69" i="1"/>
  <c r="H50" i="5" s="1"/>
  <c r="H53" i="5" s="1"/>
  <c r="P48" i="11" l="1"/>
  <c r="Q60" i="5"/>
  <c r="I71" i="5"/>
  <c r="I74" i="5" s="1"/>
  <c r="P86" i="1"/>
  <c r="H24" i="5" s="1"/>
  <c r="H27" i="5" s="1"/>
  <c r="P69" i="1"/>
  <c r="I50" i="5" s="1"/>
  <c r="I53" i="5" s="1"/>
  <c r="Q48" i="11" l="1"/>
  <c r="R60" i="5"/>
  <c r="J71" i="5"/>
  <c r="J74" i="5" s="1"/>
  <c r="AD67" i="1"/>
  <c r="Q86" i="1"/>
  <c r="I24" i="5" s="1"/>
  <c r="I27" i="5" s="1"/>
  <c r="Q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69" i="1"/>
  <c r="R86" i="1"/>
  <c r="J24" i="5" s="1"/>
  <c r="J27" i="5" s="1"/>
  <c r="I2" i="9" l="1" a="1"/>
  <c r="I4" i="9" s="1"/>
  <c r="I2" i="12" a="1"/>
  <c r="S48" i="11"/>
  <c r="K53" i="5"/>
  <c r="P50" i="5"/>
  <c r="O53" i="5"/>
  <c r="T60" i="5"/>
  <c r="S86" i="1"/>
  <c r="K24" i="5" s="1"/>
  <c r="K27" i="5" s="1"/>
  <c r="S69" i="1"/>
  <c r="L53" i="5" s="1"/>
  <c r="I15" i="9" l="1"/>
  <c r="I3" i="9"/>
  <c r="I6" i="9"/>
  <c r="I18" i="9"/>
  <c r="I11" i="9"/>
  <c r="I10" i="9"/>
  <c r="I12" i="9"/>
  <c r="I2" i="9"/>
  <c r="I19" i="9"/>
  <c r="I21" i="9"/>
  <c r="I13" i="9"/>
  <c r="I9" i="9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6" i="1"/>
  <c r="L24" i="5" s="1"/>
  <c r="L27" i="5" s="1"/>
  <c r="T69" i="1"/>
  <c r="M53" i="5" s="1"/>
  <c r="U48" i="11" l="1"/>
  <c r="R50" i="5"/>
  <c r="Q53" i="5"/>
  <c r="V60" i="5"/>
  <c r="U69" i="1"/>
  <c r="N53" i="5" s="1"/>
  <c r="U86" i="1"/>
  <c r="M24" i="5" s="1"/>
  <c r="AE67" i="1"/>
  <c r="V48" i="11" l="1"/>
  <c r="M27" i="5"/>
  <c r="N24" i="5"/>
  <c r="S50" i="5"/>
  <c r="R53" i="5"/>
  <c r="W60" i="5"/>
  <c r="N72" i="1"/>
  <c r="O72" i="1" s="1"/>
  <c r="W48" i="11" l="1"/>
  <c r="O24" i="5"/>
  <c r="N27" i="5"/>
  <c r="S53" i="5"/>
  <c r="T50" i="5"/>
  <c r="X60" i="5"/>
  <c r="N71" i="1"/>
  <c r="O71" i="1"/>
  <c r="P72" i="1"/>
  <c r="X48" i="11" l="1"/>
  <c r="O85" i="1"/>
  <c r="O87" i="1" s="1"/>
  <c r="H31" i="5" s="1"/>
  <c r="H34" i="5" s="1"/>
  <c r="M5" i="10"/>
  <c r="H31" i="11" s="1"/>
  <c r="H34" i="11" s="1"/>
  <c r="N85" i="1"/>
  <c r="N8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72" i="1"/>
  <c r="P71" i="1"/>
  <c r="Y48" i="11" l="1"/>
  <c r="P85" i="1"/>
  <c r="P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2" i="1"/>
  <c r="Q71" i="1"/>
  <c r="AA48" i="11" l="1"/>
  <c r="Z48" i="11"/>
  <c r="Q85" i="1"/>
  <c r="Q87" i="1" s="1"/>
  <c r="J31" i="5" s="1"/>
  <c r="J34" i="5" s="1"/>
  <c r="O5" i="10"/>
  <c r="J31" i="11" s="1"/>
  <c r="J34" i="11" s="1"/>
  <c r="R24" i="5"/>
  <c r="Q27" i="5"/>
  <c r="W50" i="5"/>
  <c r="V53" i="5"/>
  <c r="S72" i="1"/>
  <c r="R71" i="1"/>
  <c r="G2" i="12" l="1" a="1"/>
  <c r="G2" i="12" s="1"/>
  <c r="R85" i="1"/>
  <c r="R87" i="1" s="1"/>
  <c r="K31" i="5" s="1"/>
  <c r="K34" i="5" s="1"/>
  <c r="P5" i="10"/>
  <c r="K31" i="11" s="1"/>
  <c r="K34" i="11" s="1"/>
  <c r="R27" i="5"/>
  <c r="S24" i="5"/>
  <c r="X50" i="5"/>
  <c r="W53" i="5"/>
  <c r="S71" i="1"/>
  <c r="T7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5" i="1"/>
  <c r="S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1" i="1"/>
  <c r="U72" i="1"/>
  <c r="L34" i="11" l="1"/>
  <c r="M31" i="11"/>
  <c r="T85" i="1"/>
  <c r="R5" i="10"/>
  <c r="U71" i="1"/>
  <c r="V72" i="1"/>
  <c r="V71" i="1" s="1"/>
  <c r="T27" i="5"/>
  <c r="U24" i="5"/>
  <c r="L34" i="5"/>
  <c r="Z50" i="5"/>
  <c r="Y53" i="5"/>
  <c r="T87" i="1"/>
  <c r="N31" i="11" l="1"/>
  <c r="M34" i="11"/>
  <c r="V85" i="1"/>
  <c r="V87" i="1" s="1"/>
  <c r="T5" i="10"/>
  <c r="U85" i="1"/>
  <c r="U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tc={E09211C7-D54A-419D-82CE-C4BD25648B45}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L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M33" authorId="2" shapeId="0" xr:uid="{E09211C7-D54A-419D-82CE-C4BD25648B45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K56" authorId="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K61" authorId="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2" authorId="5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79" authorId="6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L83" authorId="7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8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9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0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<sst xmlns="http://schemas.openxmlformats.org/spreadsheetml/2006/main" count="930" uniqueCount="340">
  <si>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</si>
  <si>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</si>
  <si>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</si>
  <si>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</si>
  <si>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</si>
  <si>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</si>
  <si>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</si>
  <si>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</si>
  <si>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</si>
  <si>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</si>
  <si>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</si>
  <si>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</si>
  <si>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</si>
  <si>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</si>
  <si>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</si>
  <si>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</si>
  <si>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</si>
  <si>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</si>
  <si>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</si>
  <si>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</si>
  <si>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</si>
  <si>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</si>
  <si>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</si>
  <si>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</si>
  <si>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</si>
  <si>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</si>
  <si>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</si>
  <si>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</si>
  <si>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</si>
  <si>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</si>
  <si>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</si>
  <si>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</si>
  <si>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</si>
  <si>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</si>
  <si>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</si>
  <si>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</si>
  <si>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</si>
  <si>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</si>
  <si>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</si>
  <si>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</si>
  <si>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</si>
  <si>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</si>
  <si>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</si>
  <si>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</si>
  <si>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</si>
  <si>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</si>
  <si>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</si>
  <si>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</si>
  <si>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</si>
  <si>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</si>
  <si>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</si>
  <si>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</si>
  <si>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</si>
  <si>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</si>
  <si>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</si>
  <si>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</si>
  <si>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</si>
  <si>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</si>
  <si>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</si>
  <si>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</si>
  <si>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</si>
  <si>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</si>
  <si>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</si>
  <si>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</si>
  <si>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</si>
  <si>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</si>
  <si>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</si>
  <si>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</si>
  <si>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</si>
  <si>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</si>
  <si>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</si>
  <si>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</si>
  <si>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</si>
  <si>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</si>
  <si>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</si>
  <si>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</si>
  <si>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</si>
  <si>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</si>
  <si>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</si>
  <si>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</si>
  <si>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</si>
  <si>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</si>
  <si>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</si>
  <si>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</si>
  <si>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</si>
  <si>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</si>
  <si>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</si>
  <si>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</si>
  <si>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</si>
  <si>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</si>
  <si>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</si>
  <si>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</si>
  <si>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</si>
  <si>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</si>
  <si>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</si>
  <si>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</si>
  <si>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</si>
  <si>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</si>
  <si>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</si>
  <si>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</si>
  <si>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</si>
  <si>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</si>
  <si>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</si>
  <si>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</si>
  <si>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</si>
  <si>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</si>
  <si>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</si>
  <si>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</si>
  <si>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</si>
  <si>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</si>
  <si>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</si>
  <si>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</si>
  <si>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</si>
  <si>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</si>
  <si>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</si>
  <si>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</si>
  <si>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</si>
  <si>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</si>
  <si>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</si>
  <si>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</si>
  <si>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</si>
  <si>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</si>
  <si>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</si>
  <si>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</si>
  <si>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</si>
  <si>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</si>
  <si>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</si>
  <si>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</si>
  <si>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</si>
  <si>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</si>
  <si>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</si>
  <si>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</si>
  <si>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</si>
  <si>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</si>
  <si>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</si>
  <si>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</si>
  <si>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</si>
  <si>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</si>
  <si>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</si>
  <si>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</si>
  <si>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</si>
  <si>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</si>
  <si>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</si>
  <si>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</si>
  <si>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</si>
  <si>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</si>
  <si>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</si>
  <si>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</si>
  <si>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</si>
  <si>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</si>
  <si>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</si>
  <si>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</si>
  <si>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</si>
  <si>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</si>
  <si>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</si>
  <si>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</si>
  <si>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</si>
  <si>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</si>
  <si>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</si>
  <si>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</si>
  <si>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</si>
  <si>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</si>
  <si>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</si>
  <si>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</si>
  <si>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</si>
  <si>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</si>
  <si>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</si>
  <si>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</si>
  <si>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</si>
  <si>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</si>
  <si>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</si>
  <si>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</si>
  <si>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</si>
  <si>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</si>
  <si>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</si>
  <si>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</si>
  <si>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</si>
  <si>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</si>
  <si>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</si>
  <si>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</si>
  <si>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</si>
  <si>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</si>
  <si>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</si>
  <si>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</si>
  <si>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</si>
  <si>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</si>
  <si>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</si>
  <si>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</si>
  <si>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</si>
  <si>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</si>
  <si>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</si>
  <si>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</si>
  <si>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</si>
  <si>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</si>
  <si>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</si>
  <si>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</si>
  <si>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</si>
  <si>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</si>
  <si>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</si>
  <si>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</si>
  <si>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</si>
  <si>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</si>
  <si>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</si>
  <si>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</si>
  <si>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</si>
  <si>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</si>
  <si>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</si>
  <si>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</si>
  <si>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</si>
  <si>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</si>
  <si>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</si>
  <si>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</si>
  <si>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</si>
  <si>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</si>
  <si>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</si>
  <si>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</si>
  <si>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</si>
  <si>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</si>
  <si>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</si>
  <si>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</si>
  <si>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</si>
  <si>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</si>
  <si>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</si>
  <si>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</si>
  <si>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</si>
  <si>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</si>
  <si>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</si>
  <si>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</si>
  <si>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</si>
  <si>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</si>
  <si>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</si>
  <si>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</si>
  <si>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</si>
  <si>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</si>
  <si>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</si>
  <si>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</si>
  <si>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</si>
  <si>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</si>
  <si>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</si>
  <si>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</si>
  <si>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</si>
  <si>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</si>
  <si>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</si>
  <si>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</si>
  <si>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</si>
  <si>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</si>
  <si>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</si>
  <si>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</si>
  <si>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</si>
  <si>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</si>
  <si>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</si>
  <si>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</si>
  <si>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</si>
  <si>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</si>
  <si>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</si>
  <si>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</si>
  <si>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</si>
  <si>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</si>
  <si>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</si>
  <si>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</si>
  <si>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</si>
  <si>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</si>
  <si>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</si>
  <si>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</si>
  <si>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</si>
  <si>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</si>
  <si>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</si>
  <si>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</si>
  <si>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</si>
  <si>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</si>
  <si>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</si>
  <si>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</si>
  <si>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</si>
  <si>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</si>
  <si>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</si>
  <si>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</si>
  <si>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</si>
  <si>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</si>
  <si>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</si>
  <si>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</si>
  <si>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</si>
  <si>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</si>
  <si>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</si>
  <si>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</si>
  <si>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</si>
  <si>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</si>
  <si>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</si>
  <si>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</si>
  <si>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</si>
  <si>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</si>
  <si>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</si>
  <si>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</si>
  <si>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</si>
  <si>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</si>
  <si>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</si>
  <si>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</si>
  <si>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</si>
  <si>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</si>
  <si>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</si>
  <si>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</si>
  <si>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</si>
  <si>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</si>
  <si>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</si>
  <si>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</si>
  <si>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</si>
  <si>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</si>
  <si>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</si>
  <si>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</si>
  <si>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</si>
  <si>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</si>
  <si>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</si>
  <si>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</si>
  <si>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</si>
  <si>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</si>
  <si>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</si>
  <si>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</si>
  <si>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</si>
  <si>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</si>
  <si>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</si>
  <si>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</si>
  <si>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</si>
  <si>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</si>
  <si>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</si>
  <si>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</si>
  <si>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</si>
  <si>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</si>
  <si>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</si>
  <si>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</si>
  <si>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</si>
  <si>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</si>
  <si>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</si>
  <si>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</si>
  <si>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</si>
  <si>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</si>
  <si>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</si>
  <si>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</si>
  <si>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</si>
  <si>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</si>
  <si>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first estimate</t>
  </si>
  <si>
    <t>second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</si>
</sst>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17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left" wrapText="1" indent="3"/>
    </xf>
    <xf numFmtId="169" fontId="0" fillId="17" borderId="33" xfId="1" applyNumberFormat="1" applyFont="1" applyFill="1" applyBorder="1"/>
    <xf numFmtId="0" fontId="0" fillId="0" borderId="0" xfId="0" applyNumberFormat="1"/>
    <xf numFmtId="10" fontId="0" fillId="17" borderId="0" xfId="7" applyNumberFormat="1" applyFont="1" applyFill="1" applyBorder="1"/>
    <xf numFmtId="169" fontId="0" fillId="17" borderId="0" xfId="1" applyNumberFormat="1" applyFont="1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  <xf numFmtId="0" fontId="0" fillId="2" borderId="0" xfId="0" applyFill="1" applyAlignment="1">
      <alignment horizontal="left" indent="3"/>
    </xf>
    <xf numFmtId="0" fontId="25" fillId="2" borderId="0" xfId="0" applyFont="1" applyFill="1" applyAlignment="1">
      <alignment horizontal="left" indent="3"/>
    </xf>
    <xf numFmtId="0" fontId="0" fillId="2" borderId="0" xfId="0" applyFill="1" applyAlignment="1">
      <alignment wrapText="1"/>
    </xf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3" dT="2020-10-29T15:30:32.00" personId="{2D35AFA9-F227-4AE7-B9A7-D673D9D18C70}" id="{7314685E-335E-47AA-B478-1BA6ABF2BDA3}">
    <text>BEA has 771k for total UI but not including Trump UI. Add trump UI for the real total</text>
  </threadedComment>
  <threadedComment ref="M33" dT="2020-10-29T15:30:32.00" personId="{2D35AFA9-F227-4AE7-B9A7-D673D9D18C70}" id="{E09211C7-D54A-419D-82CE-C4BD25648B45}">
    <text>BEA has 771k for total UI but not including Trump UI. Add trump UI for the real total</text>
  </threadedComment>
  <threadedComment ref="K56" dT="2020-09-10T19:09:05.64" personId="{2D35AFA9-F227-4AE7-B9A7-D673D9D18C70}" id="{2D81BDF9-A0D8-4A1A-915B-91D32E8E61FF}">
    <text>grow with nom purchases</text>
  </threadedComment>
  <threadedComment ref="K61" dT="2020-10-27T15:26:37.39" personId="{2D35AFA9-F227-4AE7-B9A7-D673D9D18C70}" id="{33EF6DF5-9556-47EC-86E1-A12FDBDC0AA8}">
    <text>CBO indicated 17 for q2? why do we split the quarter 3 payments into q2?</text>
  </threadedComment>
  <threadedComment ref="K61" dT="2020-10-28T16:31:53.35" personId="{2D35AFA9-F227-4AE7-B9A7-D673D9D18C70}" id="{1079BF34-6E2F-4888-8715-72B28B28D9AA}" parentId="{33EF6DF5-9556-47EC-86E1-A12FDBDC0AA8}">
    <text>we're comfortable leaving this as is</text>
  </threadedComment>
  <threadedComment ref="N72" dT="2020-09-11T20:43:00.49" personId="{2D35AFA9-F227-4AE7-B9A7-D673D9D18C70}" id="{11731043-8530-4DAC-9476-3C98D0D836BB}">
    <text>grow with S&amp;L nom purchases</text>
  </threadedComment>
  <threadedComment ref="N79" dT="2020-10-29T17:11:18.12" personId="{2D35AFA9-F227-4AE7-B9A7-D673D9D18C70}" id="{DF0EC25E-9AE4-45F2-BCE9-95D46AA2D480}">
    <text>CBO projected is 1.96%</text>
  </threadedComment>
  <threadedComment ref="L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zoomScale="171" zoomScaleNormal="171" workbookViewId="0">
      <pane xSplit="2" ySplit="3" topLeftCell="E19" activePane="bottomRight" state="frozen"/>
      <selection pane="topRight" activeCell="C1" sqref="C1"/>
      <selection pane="bottomLeft" activeCell="A4" sqref="A4"/>
      <selection pane="bottomRight" activeCell="A35" sqref="A35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3" max="3" width="10.83203125" style="35" customWidth="1"/>
    <col min="5" max="12" width="16.1640625" bestFit="1" customWidth="1"/>
    <col min="13" max="13" width="16.1640625" style="35" customWidth="1"/>
    <col min="14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31" width="8.83203125" customWidth="1"/>
    <col min="32" max="32" width="15.5" hidden="1" customWidth="1"/>
    <col min="33" max="33" width="10.5" hidden="1" customWidth="1"/>
    <col min="38" max="38" width="8.6640625" style="145"/>
  </cols>
  <sheetData>
    <row r="1" spans="1:42" ht="19" x14ac:dyDescent="0.25">
      <c r="A1" s="290" t="s">
        <v>163</v>
      </c>
      <c r="B1" s="290"/>
      <c r="C1" s="279"/>
      <c r="D1" s="35"/>
      <c r="L1" t="s">
        <v>339</v>
      </c>
      <c r="M1" s="35" t="s">
        <v>338</v>
      </c>
      <c r="AB1" s="178" t="s">
        <v>249</v>
      </c>
      <c r="AC1" s="292" t="s">
        <v>247</v>
      </c>
      <c r="AD1" s="292"/>
      <c r="AE1" s="292"/>
      <c r="AF1" t="s">
        <v>28</v>
      </c>
      <c r="AH1" s="293" t="s">
        <v>282</v>
      </c>
      <c r="AI1" s="293"/>
      <c r="AJ1" s="293"/>
      <c r="AK1" s="293"/>
      <c r="AL1" s="291" t="s">
        <v>280</v>
      </c>
      <c r="AM1" s="291"/>
      <c r="AN1" s="291"/>
      <c r="AO1" s="291"/>
    </row>
    <row r="2" spans="1:42" x14ac:dyDescent="0.2">
      <c r="E2" s="289" t="s">
        <v>21</v>
      </c>
      <c r="F2" s="289"/>
      <c r="G2" s="289"/>
      <c r="H2" s="289"/>
      <c r="I2" s="289" t="s">
        <v>9</v>
      </c>
      <c r="J2" s="289"/>
      <c r="K2" s="289"/>
      <c r="L2" s="289"/>
      <c r="M2" s="282"/>
      <c r="N2" s="289" t="s">
        <v>10</v>
      </c>
      <c r="O2" s="289"/>
      <c r="P2" s="289"/>
      <c r="Q2" s="289"/>
      <c r="R2" s="289" t="s">
        <v>11</v>
      </c>
      <c r="S2" s="289"/>
      <c r="T2" s="289"/>
      <c r="U2" s="289"/>
      <c r="V2" s="289" t="s">
        <v>268</v>
      </c>
      <c r="W2" s="289"/>
      <c r="X2" s="289"/>
      <c r="Y2" s="289"/>
      <c r="Z2" s="228"/>
      <c r="AA2" s="228"/>
      <c r="AB2" s="155"/>
      <c r="AC2" s="289" t="s">
        <v>102</v>
      </c>
      <c r="AD2" s="289"/>
      <c r="AE2" s="289"/>
      <c r="AF2" s="155"/>
      <c r="AG2" s="155" t="s">
        <v>21</v>
      </c>
      <c r="AH2" s="289" t="s">
        <v>102</v>
      </c>
      <c r="AI2" s="289"/>
      <c r="AJ2" s="289"/>
      <c r="AK2" s="229"/>
    </row>
    <row r="3" spans="1:42" x14ac:dyDescent="0.2">
      <c r="E3" s="198" t="s">
        <v>5</v>
      </c>
      <c r="F3" s="198" t="s">
        <v>6</v>
      </c>
      <c r="G3" s="198" t="s">
        <v>7</v>
      </c>
      <c r="H3" s="198" t="s">
        <v>8</v>
      </c>
      <c r="I3" s="198" t="s">
        <v>5</v>
      </c>
      <c r="J3" s="198" t="s">
        <v>6</v>
      </c>
      <c r="K3" s="198" t="s">
        <v>7</v>
      </c>
      <c r="L3" s="198" t="s">
        <v>8</v>
      </c>
      <c r="M3" s="281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6" t="s">
        <v>21</v>
      </c>
      <c r="AC3" s="179" t="s">
        <v>9</v>
      </c>
      <c r="AD3" s="131" t="s">
        <v>12</v>
      </c>
      <c r="AE3" s="131" t="s">
        <v>11</v>
      </c>
      <c r="AF3" s="2" t="s">
        <v>248</v>
      </c>
      <c r="AG3" s="2" t="s">
        <v>159</v>
      </c>
      <c r="AH3" s="182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9" x14ac:dyDescent="0.25">
      <c r="A4" s="288" t="s">
        <v>264</v>
      </c>
      <c r="B4" s="288"/>
      <c r="C4" s="279"/>
      <c r="E4" s="198"/>
      <c r="F4" s="198"/>
      <c r="G4" s="198"/>
      <c r="H4" s="198"/>
      <c r="I4" s="198"/>
      <c r="J4" s="198"/>
      <c r="K4" s="198"/>
      <c r="L4" s="198"/>
      <c r="M4" s="281"/>
      <c r="AB4" s="191"/>
      <c r="AC4" s="179"/>
      <c r="AD4" s="191"/>
      <c r="AE4" s="191"/>
      <c r="AF4" s="190"/>
      <c r="AG4" s="190"/>
      <c r="AH4" s="182"/>
      <c r="AI4" s="97"/>
      <c r="AJ4" s="97"/>
      <c r="AK4" s="97"/>
    </row>
    <row r="5" spans="1:42" x14ac:dyDescent="0.2">
      <c r="A5" t="s">
        <v>261</v>
      </c>
      <c r="B5" t="s">
        <v>284</v>
      </c>
      <c r="C5" s="35" t="s">
        <v>295</v>
      </c>
      <c r="E5" s="199">
        <v>20909.900000000001</v>
      </c>
      <c r="F5" s="199">
        <v>21115.3</v>
      </c>
      <c r="G5" s="199">
        <v>21329.9</v>
      </c>
      <c r="H5" s="199">
        <v>21540.3</v>
      </c>
      <c r="I5" s="199">
        <v>21747.4</v>
      </c>
      <c r="J5" s="199">
        <v>21561.1</v>
      </c>
      <c r="K5" s="199">
        <v>19520.099999999999</v>
      </c>
      <c r="L5" s="198">
        <f>VLOOKUP(C5,'Haver NA'!$A$1:$I$34,9,0)</f>
        <v>21157.1</v>
      </c>
      <c r="M5" s="281">
        <v>21157.599999999999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1"/>
      <c r="AC5" s="179"/>
      <c r="AD5" s="191"/>
      <c r="AE5" s="191"/>
      <c r="AF5" s="190"/>
      <c r="AG5" s="190"/>
      <c r="AH5" s="182"/>
      <c r="AI5" s="97"/>
      <c r="AJ5" s="97"/>
      <c r="AK5" s="97"/>
    </row>
    <row r="6" spans="1:42" s="170" customFormat="1" x14ac:dyDescent="0.2">
      <c r="A6" s="169" t="s">
        <v>216</v>
      </c>
      <c r="C6" s="280"/>
      <c r="E6" s="200"/>
      <c r="F6" s="201">
        <f>F5/E5-1</f>
        <v>9.8230981496802983E-3</v>
      </c>
      <c r="G6" s="201">
        <f t="shared" ref="G6:V6" si="0">G5/F5-1</f>
        <v>1.016324655581502E-2</v>
      </c>
      <c r="H6" s="201">
        <f t="shared" si="0"/>
        <v>9.864087501582075E-3</v>
      </c>
      <c r="I6" s="201">
        <f t="shared" si="0"/>
        <v>9.6145364734938621E-3</v>
      </c>
      <c r="J6" s="201">
        <f t="shared" si="0"/>
        <v>-8.5665412876942959E-3</v>
      </c>
      <c r="K6" s="201">
        <f t="shared" si="0"/>
        <v>-9.4661218583467432E-2</v>
      </c>
      <c r="L6" s="201">
        <f t="shared" si="0"/>
        <v>8.3862275295720767E-2</v>
      </c>
      <c r="M6" s="286">
        <v>8.3887889918596636E-2</v>
      </c>
      <c r="N6" s="197">
        <f>N5/L5-1</f>
        <v>2.0245797273123589E-2</v>
      </c>
      <c r="O6" s="197">
        <f t="shared" si="0"/>
        <v>1.6584913488053799E-2</v>
      </c>
      <c r="P6" s="197">
        <f t="shared" si="0"/>
        <v>1.5901441788333637E-2</v>
      </c>
      <c r="Q6" s="197">
        <f t="shared" si="0"/>
        <v>1.6730073962049286E-2</v>
      </c>
      <c r="R6" s="197">
        <f t="shared" si="0"/>
        <v>1.1020986822230627E-2</v>
      </c>
      <c r="S6" s="197">
        <f t="shared" si="0"/>
        <v>9.9767362739422438E-3</v>
      </c>
      <c r="T6" s="197">
        <f t="shared" si="0"/>
        <v>9.7780367450215344E-3</v>
      </c>
      <c r="U6" s="197">
        <f t="shared" si="0"/>
        <v>1.0125144258513741E-2</v>
      </c>
      <c r="V6" s="197">
        <f t="shared" si="0"/>
        <v>1.0170928727628814E-2</v>
      </c>
      <c r="W6" s="175"/>
      <c r="X6" s="172"/>
      <c r="Y6" s="172"/>
      <c r="Z6" s="172"/>
      <c r="AA6" s="172"/>
      <c r="AB6" s="172"/>
      <c r="AC6" s="173"/>
      <c r="AD6" s="173"/>
      <c r="AE6" s="173"/>
      <c r="AF6" s="174"/>
      <c r="AH6" s="174"/>
      <c r="AI6" s="174"/>
      <c r="AJ6" s="174"/>
      <c r="AK6" s="174"/>
      <c r="AL6" s="240"/>
    </row>
    <row r="7" spans="1:42" x14ac:dyDescent="0.2">
      <c r="A7" t="s">
        <v>262</v>
      </c>
      <c r="B7" t="s">
        <v>284</v>
      </c>
      <c r="C7" s="35" t="s">
        <v>296</v>
      </c>
      <c r="E7" s="199">
        <v>18813.900000000001</v>
      </c>
      <c r="F7" s="199">
        <v>18950.3</v>
      </c>
      <c r="G7" s="199">
        <v>19020.599999999999</v>
      </c>
      <c r="H7" s="199">
        <v>19141.7</v>
      </c>
      <c r="I7" s="199">
        <v>19254</v>
      </c>
      <c r="J7" s="199">
        <v>19010.8</v>
      </c>
      <c r="K7" s="199">
        <v>17302.5</v>
      </c>
      <c r="L7" s="198">
        <f>VLOOKUP(C7,'Haver NA'!$A$1:$I$34,9,0)</f>
        <v>18583.5</v>
      </c>
      <c r="M7" s="281">
        <v>18584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1"/>
      <c r="AC7" s="179"/>
      <c r="AD7" s="191"/>
      <c r="AE7" s="191"/>
      <c r="AF7" s="190"/>
      <c r="AG7" s="190"/>
      <c r="AH7" s="182"/>
      <c r="AI7" s="97"/>
      <c r="AJ7" s="97"/>
      <c r="AK7" s="97"/>
    </row>
    <row r="8" spans="1:42" s="212" customFormat="1" x14ac:dyDescent="0.2">
      <c r="A8" s="212" t="s">
        <v>263</v>
      </c>
      <c r="C8" s="169"/>
      <c r="E8" s="216"/>
      <c r="F8" s="216"/>
      <c r="G8" s="216"/>
      <c r="H8" s="216"/>
      <c r="I8" s="216"/>
      <c r="J8" s="216"/>
      <c r="K8" s="216"/>
      <c r="L8" s="198"/>
      <c r="M8" s="281"/>
      <c r="N8" s="215"/>
      <c r="O8" s="215"/>
      <c r="P8" s="215"/>
      <c r="Q8" s="215"/>
      <c r="R8" s="215"/>
      <c r="S8" s="215"/>
      <c r="T8" s="215"/>
      <c r="U8" s="215"/>
      <c r="V8" s="215"/>
      <c r="W8" s="221"/>
      <c r="AB8" s="213"/>
      <c r="AC8" s="214"/>
      <c r="AD8" s="213"/>
      <c r="AE8" s="213"/>
      <c r="AH8" s="214"/>
      <c r="AI8" s="213"/>
      <c r="AJ8" s="213"/>
      <c r="AK8" s="213"/>
      <c r="AL8" s="241"/>
    </row>
    <row r="9" spans="1:42" x14ac:dyDescent="0.2">
      <c r="E9" s="198"/>
      <c r="F9" s="198"/>
      <c r="G9" s="198"/>
      <c r="H9" s="198"/>
      <c r="I9" s="198"/>
      <c r="J9" s="198"/>
      <c r="K9" s="198"/>
      <c r="L9" s="198"/>
      <c r="M9" s="281"/>
      <c r="AB9" s="191"/>
      <c r="AC9" s="179"/>
      <c r="AD9" s="191"/>
      <c r="AE9" s="191"/>
      <c r="AF9" s="190"/>
      <c r="AG9" s="190"/>
      <c r="AH9" s="182"/>
      <c r="AI9" s="97"/>
      <c r="AJ9" s="97"/>
      <c r="AK9" s="97"/>
    </row>
    <row r="10" spans="1:42" x14ac:dyDescent="0.2">
      <c r="A10" t="s">
        <v>1</v>
      </c>
      <c r="E10" s="198"/>
      <c r="F10" s="198"/>
      <c r="G10" s="198"/>
      <c r="H10" s="198"/>
      <c r="I10" s="198"/>
      <c r="J10" s="198"/>
      <c r="K10" s="198"/>
      <c r="L10" s="198"/>
      <c r="M10" s="281"/>
      <c r="AC10" s="145"/>
      <c r="AH10" s="145"/>
    </row>
    <row r="11" spans="1:42" x14ac:dyDescent="0.2">
      <c r="A11" s="176" t="s">
        <v>258</v>
      </c>
      <c r="E11" s="199">
        <f>E12+E14+E16</f>
        <v>3178</v>
      </c>
      <c r="F11" s="199">
        <f t="shared" ref="F11:V11" si="1">F12+F14+F16</f>
        <v>3259.5</v>
      </c>
      <c r="G11" s="199">
        <f t="shared" si="1"/>
        <v>3269.2</v>
      </c>
      <c r="H11" s="199">
        <f t="shared" si="1"/>
        <v>3290.6</v>
      </c>
      <c r="I11" s="199">
        <f t="shared" si="1"/>
        <v>3336.3</v>
      </c>
      <c r="J11" s="199">
        <f t="shared" si="1"/>
        <v>3376.8</v>
      </c>
      <c r="K11" s="199">
        <f t="shared" si="1"/>
        <v>3091.4840000000004</v>
      </c>
      <c r="L11" s="198">
        <f t="shared" si="1"/>
        <v>3261.5</v>
      </c>
      <c r="M11" s="281">
        <v>3245.1670000000004</v>
      </c>
      <c r="N11" s="167">
        <f t="shared" si="1"/>
        <v>3387.1048000000001</v>
      </c>
      <c r="O11" s="167">
        <f t="shared" si="1"/>
        <v>3521.5368584000003</v>
      </c>
      <c r="P11" s="167">
        <f t="shared" si="1"/>
        <v>3554.9076107392002</v>
      </c>
      <c r="Q11" s="167">
        <f t="shared" si="1"/>
        <v>3588.753267395994</v>
      </c>
      <c r="R11" s="167">
        <f t="shared" si="1"/>
        <v>3652.1603363688446</v>
      </c>
      <c r="S11" s="167">
        <f t="shared" si="1"/>
        <v>3694.164025044206</v>
      </c>
      <c r="T11" s="167">
        <f t="shared" si="1"/>
        <v>3736.8070340187869</v>
      </c>
      <c r="U11" s="167">
        <f t="shared" si="1"/>
        <v>3780.1045278320798</v>
      </c>
      <c r="V11" s="167">
        <f t="shared" si="1"/>
        <v>3855.7066183887214</v>
      </c>
      <c r="W11" s="168"/>
      <c r="AC11" s="145"/>
      <c r="AH11" s="145"/>
    </row>
    <row r="12" spans="1:42" x14ac:dyDescent="0.2">
      <c r="A12" s="217" t="s">
        <v>25</v>
      </c>
      <c r="B12" t="s">
        <v>284</v>
      </c>
      <c r="C12" t="s">
        <v>297</v>
      </c>
      <c r="E12" s="199">
        <v>1634.2</v>
      </c>
      <c r="F12" s="199">
        <v>1695.5</v>
      </c>
      <c r="G12" s="199">
        <v>1703.1</v>
      </c>
      <c r="H12" s="199">
        <v>1713.2</v>
      </c>
      <c r="I12" s="199">
        <v>1740.2</v>
      </c>
      <c r="J12" s="199">
        <v>1756.6</v>
      </c>
      <c r="K12" s="199">
        <v>1599.3</v>
      </c>
      <c r="L12" s="198">
        <f>VLOOKUP(C12,'Haver NA'!$A$1:$I$34,9,0)</f>
        <v>1687.2</v>
      </c>
      <c r="M12" s="281">
        <v>1686.3530000000001</v>
      </c>
      <c r="N12" s="168">
        <f>L12*(1+N13)</f>
        <v>1788.4320000000002</v>
      </c>
      <c r="O12" s="168">
        <f t="shared" ref="O12:U12" si="2">N12*(1+O13)</f>
        <v>1899.3147840000004</v>
      </c>
      <c r="P12" s="168">
        <f t="shared" si="2"/>
        <v>1914.5093022720005</v>
      </c>
      <c r="Q12" s="168">
        <f t="shared" si="2"/>
        <v>1929.8253766901764</v>
      </c>
      <c r="R12" s="168">
        <f t="shared" si="2"/>
        <v>1949.1236304570782</v>
      </c>
      <c r="S12" s="168">
        <f t="shared" si="2"/>
        <v>1968.614866761649</v>
      </c>
      <c r="T12" s="168">
        <f t="shared" si="2"/>
        <v>1988.3010154292654</v>
      </c>
      <c r="U12" s="168">
        <f t="shared" si="2"/>
        <v>2008.184025583558</v>
      </c>
      <c r="V12" s="168">
        <f t="shared" ref="O12:V14" si="3">U12*(1+V13)</f>
        <v>2048.3477060952291</v>
      </c>
      <c r="W12" s="168"/>
      <c r="X12" s="44"/>
      <c r="Y12" s="44"/>
      <c r="Z12" s="44"/>
      <c r="AA12" s="44"/>
      <c r="AB12" s="44">
        <f>AVERAGE(E12:H12)</f>
        <v>1686.4999999999998</v>
      </c>
      <c r="AC12" s="180">
        <f>AVERAGE(I12,J12,K12,L12)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AVERAGE(E12:H12)</f>
        <v>1686.4999999999998</v>
      </c>
      <c r="AG12">
        <v>1653</v>
      </c>
      <c r="AH12" s="183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0" customFormat="1" x14ac:dyDescent="0.2">
      <c r="A13" s="218" t="s">
        <v>216</v>
      </c>
      <c r="C13" s="280"/>
      <c r="E13" s="200"/>
      <c r="F13" s="200"/>
      <c r="G13" s="200"/>
      <c r="H13" s="200"/>
      <c r="I13" s="200"/>
      <c r="J13" s="200"/>
      <c r="K13" s="200"/>
      <c r="L13" s="198"/>
      <c r="M13" s="281"/>
      <c r="N13" s="175">
        <v>0.06</v>
      </c>
      <c r="O13" s="175">
        <v>6.2E-2</v>
      </c>
      <c r="P13" s="175">
        <v>8.0000000000000002E-3</v>
      </c>
      <c r="Q13" s="175">
        <v>8.0000000000000002E-3</v>
      </c>
      <c r="R13" s="175">
        <v>0.01</v>
      </c>
      <c r="S13" s="175">
        <v>0.01</v>
      </c>
      <c r="T13" s="175">
        <v>0.01</v>
      </c>
      <c r="U13" s="175">
        <v>0.01</v>
      </c>
      <c r="V13" s="175">
        <v>0.02</v>
      </c>
      <c r="W13" s="175"/>
      <c r="X13" s="172"/>
      <c r="Y13" s="172"/>
      <c r="Z13" s="172"/>
      <c r="AA13" s="172"/>
      <c r="AB13" s="172"/>
      <c r="AC13" s="181"/>
      <c r="AD13" s="173"/>
      <c r="AE13" s="173"/>
      <c r="AF13" s="174"/>
      <c r="AH13" s="184"/>
      <c r="AI13" s="174"/>
      <c r="AJ13" s="174"/>
      <c r="AK13" s="174"/>
      <c r="AL13" s="240"/>
    </row>
    <row r="14" spans="1:42" x14ac:dyDescent="0.2">
      <c r="A14" s="217" t="s">
        <v>26</v>
      </c>
      <c r="B14" t="s">
        <v>284</v>
      </c>
      <c r="C14" t="s">
        <v>298</v>
      </c>
      <c r="E14" s="199">
        <v>183.5</v>
      </c>
      <c r="F14" s="199">
        <v>172.1</v>
      </c>
      <c r="G14" s="199">
        <v>168.3</v>
      </c>
      <c r="H14" s="199">
        <v>175.1</v>
      </c>
      <c r="I14" s="199">
        <v>179.2</v>
      </c>
      <c r="J14" s="199">
        <v>183.8</v>
      </c>
      <c r="K14" s="199">
        <v>131.4</v>
      </c>
      <c r="L14" s="198">
        <f>VLOOKUP(C14,'Haver NA'!$A$1:$I$34,9,0)</f>
        <v>144.69999999999999</v>
      </c>
      <c r="M14" s="281">
        <v>144.66200000000001</v>
      </c>
      <c r="N14" s="168">
        <f>L14*(1+N15)</f>
        <v>150.488</v>
      </c>
      <c r="O14" s="168">
        <f t="shared" si="3"/>
        <v>162.45179599999997</v>
      </c>
      <c r="P14" s="168">
        <f t="shared" si="3"/>
        <v>168.94986783999997</v>
      </c>
      <c r="Q14" s="168">
        <f t="shared" si="3"/>
        <v>175.70786255359997</v>
      </c>
      <c r="R14" s="168">
        <f t="shared" si="3"/>
        <v>182.73617705574398</v>
      </c>
      <c r="S14" s="168">
        <f t="shared" si="3"/>
        <v>190.04562413797373</v>
      </c>
      <c r="T14" s="168">
        <f t="shared" si="3"/>
        <v>197.64744910349268</v>
      </c>
      <c r="U14" s="168">
        <f t="shared" si="3"/>
        <v>205.55334706763239</v>
      </c>
      <c r="V14" s="168">
        <f t="shared" si="3"/>
        <v>209.66441400898503</v>
      </c>
      <c r="W14" s="168"/>
      <c r="X14" s="44"/>
      <c r="Y14" s="44"/>
      <c r="Z14" s="44"/>
      <c r="AA14" s="44"/>
      <c r="AB14" s="44">
        <f>AVERAGE(E14:H14)</f>
        <v>174.75000000000003</v>
      </c>
      <c r="AC14" s="180">
        <f>AVERAGE(I14,J14,K14,L14)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AVERAGE(E14:H14)</f>
        <v>174.75000000000003</v>
      </c>
      <c r="AG14">
        <v>173</v>
      </c>
      <c r="AH14" s="183"/>
      <c r="AI14" s="3"/>
      <c r="AJ14" s="3"/>
      <c r="AK14" s="3"/>
      <c r="AL14" s="242"/>
      <c r="AM14" s="35"/>
      <c r="AN14" s="35"/>
      <c r="AO14" s="35"/>
      <c r="AP14" s="35"/>
    </row>
    <row r="15" spans="1:42" s="170" customFormat="1" x14ac:dyDescent="0.2">
      <c r="A15" s="218" t="s">
        <v>216</v>
      </c>
      <c r="C15" s="280"/>
      <c r="E15" s="200"/>
      <c r="F15" s="200"/>
      <c r="G15" s="200"/>
      <c r="H15" s="200"/>
      <c r="I15" s="200"/>
      <c r="J15" s="200"/>
      <c r="K15" s="200"/>
      <c r="L15" s="198"/>
      <c r="M15" s="281"/>
      <c r="N15" s="175">
        <v>0.04</v>
      </c>
      <c r="O15" s="175">
        <v>7.9500000000000001E-2</v>
      </c>
      <c r="P15" s="175">
        <v>0.04</v>
      </c>
      <c r="Q15" s="175">
        <v>0.04</v>
      </c>
      <c r="R15" s="175">
        <v>0.04</v>
      </c>
      <c r="S15" s="175">
        <v>0.04</v>
      </c>
      <c r="T15" s="175">
        <v>0.04</v>
      </c>
      <c r="U15" s="175">
        <v>0.04</v>
      </c>
      <c r="V15" s="175">
        <v>0.02</v>
      </c>
      <c r="W15" s="175"/>
      <c r="X15" s="172"/>
      <c r="Y15" s="172"/>
      <c r="Z15" s="172"/>
      <c r="AA15" s="172"/>
      <c r="AB15" s="172"/>
      <c r="AC15" s="181"/>
      <c r="AD15" s="185"/>
      <c r="AE15" s="185"/>
      <c r="AF15" s="174"/>
      <c r="AH15" s="183"/>
      <c r="AI15" s="185"/>
      <c r="AJ15" s="185"/>
      <c r="AK15" s="185"/>
      <c r="AL15" s="240"/>
    </row>
    <row r="16" spans="1:42" x14ac:dyDescent="0.2">
      <c r="A16" s="217" t="s">
        <v>27</v>
      </c>
      <c r="B16" t="s">
        <v>284</v>
      </c>
      <c r="C16" t="s">
        <v>299</v>
      </c>
      <c r="E16" s="199">
        <v>1360.3</v>
      </c>
      <c r="F16" s="199">
        <v>1391.9</v>
      </c>
      <c r="G16" s="199">
        <v>1397.8</v>
      </c>
      <c r="H16" s="199">
        <v>1402.3</v>
      </c>
      <c r="I16" s="199">
        <v>1416.9</v>
      </c>
      <c r="J16" s="199">
        <v>1436.4</v>
      </c>
      <c r="K16" s="199">
        <v>1360.7840000000001</v>
      </c>
      <c r="L16" s="198">
        <f>VLOOKUP(C16,'Haver NA'!$A$1:$I$34,9,0)</f>
        <v>1429.6</v>
      </c>
      <c r="M16" s="281">
        <v>1414.152</v>
      </c>
      <c r="N16" s="168">
        <f>L16*(1+N17)</f>
        <v>1448.1847999999998</v>
      </c>
      <c r="O16" s="168">
        <f t="shared" ref="O16:V16" si="4">N16*(1+O17)</f>
        <v>1459.7702783999998</v>
      </c>
      <c r="P16" s="168">
        <f t="shared" si="4"/>
        <v>1471.4484406271999</v>
      </c>
      <c r="Q16" s="168">
        <f t="shared" si="4"/>
        <v>1483.2200281522175</v>
      </c>
      <c r="R16" s="168">
        <f t="shared" si="4"/>
        <v>1520.3005288560228</v>
      </c>
      <c r="S16" s="168">
        <f t="shared" si="4"/>
        <v>1535.503534144583</v>
      </c>
      <c r="T16" s="168">
        <f t="shared" si="4"/>
        <v>1550.858569486029</v>
      </c>
      <c r="U16" s="168">
        <f t="shared" si="4"/>
        <v>1566.3671551808893</v>
      </c>
      <c r="V16" s="168">
        <f t="shared" si="4"/>
        <v>1597.6944982845071</v>
      </c>
      <c r="W16" s="168"/>
      <c r="X16" s="44"/>
      <c r="Y16" s="44"/>
      <c r="Z16" s="44"/>
      <c r="AA16" s="44"/>
      <c r="AB16" s="44">
        <f>AVERAGE(E16:H16)</f>
        <v>1388.075</v>
      </c>
      <c r="AC16" s="180">
        <f>AVERAGE(I16,J16,K16,L16)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AVERAGE(E16:H16)</f>
        <v>1388.075</v>
      </c>
      <c r="AG16">
        <v>1395</v>
      </c>
      <c r="AH16" s="183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0" customFormat="1" x14ac:dyDescent="0.2">
      <c r="A17" s="218" t="s">
        <v>216</v>
      </c>
      <c r="C17" s="280"/>
      <c r="E17" s="200"/>
      <c r="F17" s="200"/>
      <c r="G17" s="200"/>
      <c r="H17" s="200"/>
      <c r="I17" s="200"/>
      <c r="J17" s="200"/>
      <c r="K17" s="200"/>
      <c r="L17" s="198"/>
      <c r="M17" s="281"/>
      <c r="N17" s="175">
        <v>1.2999999999999999E-2</v>
      </c>
      <c r="O17" s="175">
        <v>8.0000000000000002E-3</v>
      </c>
      <c r="P17" s="175">
        <v>8.0000000000000002E-3</v>
      </c>
      <c r="Q17" s="175">
        <v>8.0000000000000002E-3</v>
      </c>
      <c r="R17" s="175">
        <v>2.5000000000000001E-2</v>
      </c>
      <c r="S17" s="175">
        <v>0.01</v>
      </c>
      <c r="T17" s="175">
        <v>0.01</v>
      </c>
      <c r="U17" s="175">
        <v>0.01</v>
      </c>
      <c r="V17" s="175">
        <v>0.02</v>
      </c>
      <c r="W17" s="175"/>
      <c r="X17" s="172"/>
      <c r="Y17" s="172"/>
      <c r="Z17" s="172"/>
      <c r="AA17" s="172"/>
      <c r="AB17" s="172"/>
      <c r="AC17" s="181"/>
      <c r="AD17" s="173"/>
      <c r="AE17" s="173"/>
      <c r="AF17" s="174"/>
      <c r="AH17" s="184"/>
      <c r="AI17" s="174"/>
      <c r="AJ17" s="174"/>
      <c r="AK17" s="174"/>
      <c r="AL17" s="240"/>
    </row>
    <row r="18" spans="1:38" x14ac:dyDescent="0.2">
      <c r="A18" s="176" t="s">
        <v>0</v>
      </c>
      <c r="B18" t="s">
        <v>284</v>
      </c>
      <c r="C18" t="s">
        <v>300</v>
      </c>
      <c r="E18" s="199">
        <v>234.7</v>
      </c>
      <c r="F18" s="199">
        <v>213.8</v>
      </c>
      <c r="G18" s="199">
        <v>224.2</v>
      </c>
      <c r="H18" s="199">
        <v>201.6</v>
      </c>
      <c r="I18" s="199">
        <v>229.7</v>
      </c>
      <c r="J18" s="199">
        <v>180.5</v>
      </c>
      <c r="K18" s="199">
        <v>171.5</v>
      </c>
      <c r="L18" s="198">
        <f>VLOOKUP(C18,'Haver NA'!$A$1:$I$34,9,0)</f>
        <v>205.3</v>
      </c>
      <c r="M18" s="281">
        <v>191.99161110990462</v>
      </c>
      <c r="N18" s="168">
        <f>L18*(1+N19)</f>
        <v>210.4325</v>
      </c>
      <c r="O18" s="168">
        <f t="shared" ref="O18" si="5">N18*(1+O19)</f>
        <v>213.58898749999997</v>
      </c>
      <c r="P18" s="168">
        <f t="shared" ref="P18" si="6">O18*(1+P19)</f>
        <v>216.79282231249996</v>
      </c>
      <c r="Q18" s="168">
        <f t="shared" ref="Q18" si="7">P18*(1+Q19)</f>
        <v>220.04471464718745</v>
      </c>
      <c r="R18" s="168">
        <f t="shared" ref="R18" si="8">Q18*(1+R19)</f>
        <v>233.24739752601872</v>
      </c>
      <c r="S18" s="168">
        <f t="shared" ref="S18" si="9">R18*(1+S19)</f>
        <v>247.24224137757986</v>
      </c>
      <c r="T18" s="168">
        <f t="shared" ref="T18" si="10">S18*(1+T19)</f>
        <v>262.07677586023465</v>
      </c>
      <c r="U18" s="168">
        <f t="shared" ref="U18:V18" si="11">T18*(1+U19)</f>
        <v>277.80138241184875</v>
      </c>
      <c r="V18" s="168">
        <f t="shared" si="11"/>
        <v>294.46946535655968</v>
      </c>
      <c r="W18" s="168"/>
      <c r="X18" s="44"/>
      <c r="Y18" s="44"/>
      <c r="Z18" s="44"/>
      <c r="AA18" s="44"/>
      <c r="AB18" s="44">
        <f>AVERAGE(E18:H18)</f>
        <v>218.57500000000002</v>
      </c>
      <c r="AC18" s="180">
        <f>AVERAGE(I18,J18,K18,L18)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AVERAGE(E18:H18)</f>
        <v>218.57500000000002</v>
      </c>
      <c r="AG18" s="34">
        <v>166</v>
      </c>
      <c r="AH18" s="145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0" customFormat="1" x14ac:dyDescent="0.2">
      <c r="A19" s="177" t="s">
        <v>216</v>
      </c>
      <c r="C19" s="280"/>
      <c r="E19" s="200"/>
      <c r="F19" s="200"/>
      <c r="G19" s="200"/>
      <c r="H19" s="200"/>
      <c r="I19" s="200"/>
      <c r="J19" s="200"/>
      <c r="K19" s="200"/>
      <c r="L19" s="198"/>
      <c r="M19" s="281"/>
      <c r="N19" s="175">
        <v>2.5000000000000001E-2</v>
      </c>
      <c r="O19" s="175">
        <v>1.4999999999999999E-2</v>
      </c>
      <c r="P19" s="175">
        <v>1.4999999999999999E-2</v>
      </c>
      <c r="Q19" s="175">
        <v>1.4999999999999999E-2</v>
      </c>
      <c r="R19" s="175">
        <v>0.06</v>
      </c>
      <c r="S19" s="175">
        <v>0.06</v>
      </c>
      <c r="T19" s="175">
        <v>0.06</v>
      </c>
      <c r="U19" s="175">
        <v>0.06</v>
      </c>
      <c r="V19" s="175">
        <v>0.06</v>
      </c>
      <c r="W19" s="171"/>
      <c r="X19" s="172"/>
      <c r="Y19" s="172"/>
      <c r="Z19" s="172"/>
      <c r="AA19" s="172"/>
      <c r="AB19" s="172"/>
      <c r="AC19" s="173"/>
      <c r="AD19" s="173"/>
      <c r="AE19" s="173"/>
      <c r="AF19" s="174"/>
      <c r="AH19" s="174"/>
      <c r="AI19" s="174"/>
      <c r="AJ19" s="174"/>
      <c r="AK19" s="174"/>
      <c r="AL19" s="240"/>
    </row>
    <row r="20" spans="1:38" s="170" customFormat="1" x14ac:dyDescent="0.2">
      <c r="A20" s="169"/>
      <c r="C20" s="280"/>
      <c r="E20" s="200"/>
      <c r="F20" s="200"/>
      <c r="G20" s="200"/>
      <c r="H20" s="200"/>
      <c r="I20" s="200"/>
      <c r="J20" s="200"/>
      <c r="K20" s="200"/>
      <c r="L20" s="198"/>
      <c r="M20" s="281"/>
      <c r="N20" s="175"/>
      <c r="O20" s="175"/>
      <c r="P20" s="175"/>
      <c r="Q20" s="175"/>
      <c r="R20" s="175"/>
      <c r="S20" s="175"/>
      <c r="T20" s="175"/>
      <c r="U20" s="175"/>
      <c r="V20" s="171"/>
      <c r="W20" s="171"/>
      <c r="X20" s="172"/>
      <c r="Y20" s="172"/>
      <c r="Z20" s="172"/>
      <c r="AA20" s="172"/>
      <c r="AB20" s="172"/>
      <c r="AC20" s="173"/>
      <c r="AD20" s="173"/>
      <c r="AE20" s="173"/>
      <c r="AF20" s="174"/>
      <c r="AH20" s="174"/>
      <c r="AI20" s="174"/>
      <c r="AJ20" s="174"/>
      <c r="AK20" s="174"/>
      <c r="AL20" s="240"/>
    </row>
    <row r="21" spans="1:38" s="170" customFormat="1" x14ac:dyDescent="0.2">
      <c r="A21" t="s">
        <v>265</v>
      </c>
      <c r="C21" s="280"/>
      <c r="E21" s="200"/>
      <c r="F21" s="200"/>
      <c r="G21" s="200"/>
      <c r="H21" s="200"/>
      <c r="I21" s="200"/>
      <c r="J21" s="200"/>
      <c r="K21" s="200"/>
      <c r="L21" s="198"/>
      <c r="M21" s="281"/>
      <c r="N21" s="175"/>
      <c r="O21" s="175"/>
      <c r="P21" s="175"/>
      <c r="Q21" s="175"/>
      <c r="R21" s="175"/>
      <c r="S21" s="175"/>
      <c r="T21" s="175"/>
      <c r="U21" s="175"/>
      <c r="V21" s="171"/>
      <c r="W21" s="171"/>
      <c r="X21" s="172"/>
      <c r="Y21" s="172"/>
      <c r="Z21" s="172"/>
      <c r="AA21" s="172"/>
      <c r="AB21" s="172"/>
      <c r="AC21" s="173"/>
      <c r="AD21" s="173"/>
      <c r="AE21" s="173"/>
      <c r="AF21" s="174"/>
      <c r="AH21" s="174"/>
      <c r="AI21" s="174"/>
      <c r="AJ21" s="174"/>
      <c r="AK21" s="174"/>
      <c r="AL21" s="240"/>
    </row>
    <row r="22" spans="1:38" x14ac:dyDescent="0.2">
      <c r="A22" s="176" t="s">
        <v>266</v>
      </c>
      <c r="E22" s="204">
        <f>SUM(E23:E25)</f>
        <v>1773.6</v>
      </c>
      <c r="F22" s="204">
        <f t="shared" ref="F22:U22" si="12">SUM(F23:F25)</f>
        <v>1798.8</v>
      </c>
      <c r="G22" s="204">
        <f t="shared" si="12"/>
        <v>1853.9</v>
      </c>
      <c r="H22" s="204">
        <f t="shared" si="12"/>
        <v>1832.2</v>
      </c>
      <c r="I22" s="204">
        <f t="shared" si="12"/>
        <v>1832.4</v>
      </c>
      <c r="J22" s="204">
        <f t="shared" si="12"/>
        <v>1862.4</v>
      </c>
      <c r="K22" s="204">
        <f t="shared" si="12"/>
        <v>1779.8019999999999</v>
      </c>
      <c r="L22" s="198">
        <f t="shared" si="12"/>
        <v>1836.9459999999999</v>
      </c>
      <c r="M22" s="281">
        <v>1840.777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2">
      <c r="A23" s="217" t="s">
        <v>22</v>
      </c>
      <c r="C23" t="s">
        <v>301</v>
      </c>
      <c r="E23" s="198">
        <v>456.5</v>
      </c>
      <c r="F23" s="198">
        <v>475.2</v>
      </c>
      <c r="G23" s="198">
        <v>519.4</v>
      </c>
      <c r="H23" s="198">
        <v>483.9</v>
      </c>
      <c r="I23" s="198">
        <v>480.9</v>
      </c>
      <c r="J23" s="198">
        <v>495.8</v>
      </c>
      <c r="K23" s="199">
        <v>496.37400000000002</v>
      </c>
      <c r="L23" s="198">
        <f>VLOOKUP(C23,'Haver NA'!$A$1:$I$34,9,0)</f>
        <v>499.4</v>
      </c>
      <c r="M23" s="281">
        <v>505.42700000000002</v>
      </c>
      <c r="N23" s="102">
        <f>L23*(1+N$6)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2">
      <c r="A24" s="217" t="s">
        <v>23</v>
      </c>
      <c r="C24" t="s">
        <v>302</v>
      </c>
      <c r="E24" s="198">
        <v>1295.5</v>
      </c>
      <c r="F24" s="198">
        <v>1301.5999999999999</v>
      </c>
      <c r="G24" s="198">
        <v>1312.4</v>
      </c>
      <c r="H24" s="198">
        <v>1326.5</v>
      </c>
      <c r="I24" s="198">
        <v>1330.4</v>
      </c>
      <c r="J24" s="198">
        <v>1346.2</v>
      </c>
      <c r="K24" s="199">
        <v>1264.3219999999999</v>
      </c>
      <c r="L24" s="198">
        <f>VLOOKUP(C24,'Haver NA'!$A$1:$I$34,9,0)</f>
        <v>1317.3</v>
      </c>
      <c r="M24" s="281">
        <v>1315.133</v>
      </c>
      <c r="N24" s="102">
        <f>L24*(1+N$6)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2">
      <c r="A25" s="217" t="s">
        <v>24</v>
      </c>
      <c r="C25" t="s">
        <v>303</v>
      </c>
      <c r="E25" s="198">
        <v>21.6</v>
      </c>
      <c r="F25" s="198">
        <v>22</v>
      </c>
      <c r="G25" s="198">
        <v>22.1</v>
      </c>
      <c r="H25" s="198">
        <v>21.8</v>
      </c>
      <c r="I25" s="198">
        <v>21.1</v>
      </c>
      <c r="J25" s="198">
        <v>20.399999999999999</v>
      </c>
      <c r="K25" s="199">
        <v>19.106000000000002</v>
      </c>
      <c r="L25" s="198">
        <f>VLOOKUP(C25,'Haver NA'!$A$1:$I$34,9,0)</f>
        <v>20.245999999999999</v>
      </c>
      <c r="M25" s="281">
        <v>20.216999999999999</v>
      </c>
      <c r="N25" s="102">
        <f>L25*(1+N$6)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2">
      <c r="A26" s="176" t="s">
        <v>0</v>
      </c>
      <c r="C26" t="s">
        <v>304</v>
      </c>
      <c r="E26" s="198">
        <v>63.5</v>
      </c>
      <c r="F26" s="198">
        <v>68.5</v>
      </c>
      <c r="G26" s="198">
        <v>68.7</v>
      </c>
      <c r="H26" s="198">
        <v>69.8</v>
      </c>
      <c r="I26" s="198">
        <v>71</v>
      </c>
      <c r="J26" s="198">
        <v>62.7</v>
      </c>
      <c r="K26" s="198">
        <v>54.2</v>
      </c>
      <c r="L26" s="198">
        <f>VLOOKUP(C26,'Haver NA'!$A$1:$I$34,9,0)</f>
        <v>79.099999999999994</v>
      </c>
      <c r="M26" s="281">
        <v>58.746723633587941</v>
      </c>
      <c r="N26" s="102">
        <f>L26*(1+N6)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6" customFormat="1" x14ac:dyDescent="0.2">
      <c r="A27" s="177" t="s">
        <v>267</v>
      </c>
      <c r="E27" s="211">
        <f t="shared" ref="E27:K27" si="18">E26/E18</f>
        <v>0.27055815935236471</v>
      </c>
      <c r="F27" s="211">
        <f t="shared" si="18"/>
        <v>0.32039289055191766</v>
      </c>
      <c r="G27" s="211">
        <f t="shared" si="18"/>
        <v>0.30642283675289922</v>
      </c>
      <c r="H27" s="211">
        <f t="shared" si="18"/>
        <v>0.34623015873015872</v>
      </c>
      <c r="I27" s="211">
        <f t="shared" si="18"/>
        <v>0.30909882455376581</v>
      </c>
      <c r="J27" s="211">
        <f t="shared" si="18"/>
        <v>0.3473684210526316</v>
      </c>
      <c r="K27" s="211">
        <f t="shared" si="18"/>
        <v>0.31603498542274056</v>
      </c>
      <c r="L27" s="198"/>
      <c r="M27" s="281"/>
      <c r="N27" s="194"/>
      <c r="O27" s="194"/>
      <c r="P27" s="194"/>
      <c r="Q27" s="194"/>
      <c r="R27" s="194"/>
      <c r="S27" s="194"/>
      <c r="T27" s="194"/>
      <c r="U27" s="194"/>
      <c r="AL27" s="243"/>
    </row>
    <row r="28" spans="1:38" s="170" customFormat="1" x14ac:dyDescent="0.2">
      <c r="A28" s="195"/>
      <c r="B28" s="196"/>
      <c r="C28" s="280"/>
      <c r="E28" s="200"/>
      <c r="F28" s="200"/>
      <c r="G28" s="200"/>
      <c r="H28" s="200"/>
      <c r="I28" s="200"/>
      <c r="J28" s="200"/>
      <c r="K28" s="200"/>
      <c r="L28" s="198"/>
      <c r="M28" s="281"/>
      <c r="N28" s="175"/>
      <c r="O28" s="175"/>
      <c r="P28" s="175"/>
      <c r="Q28" s="175"/>
      <c r="R28" s="175"/>
      <c r="S28" s="175"/>
      <c r="T28" s="175"/>
      <c r="U28" s="175"/>
      <c r="V28" s="171"/>
      <c r="W28" s="171"/>
      <c r="X28" s="172"/>
      <c r="Y28" s="172"/>
      <c r="Z28" s="172"/>
      <c r="AA28" s="172"/>
      <c r="AB28" s="172"/>
      <c r="AC28" s="173"/>
      <c r="AD28" s="173"/>
      <c r="AE28" s="173"/>
      <c r="AF28" s="174"/>
      <c r="AH28" s="174">
        <f>$AB$30*('figuring out social benefits'!G47/'figuring out social benefits'!$F$47)</f>
        <v>3428.146799249083</v>
      </c>
      <c r="AI28" s="174">
        <f>$AB$30*('figuring out social benefits'!H47/'figuring out social benefits'!$F$47)</f>
        <v>2649.6527204036238</v>
      </c>
      <c r="AJ28" s="174">
        <f>$AB$30*('figuring out social benefits'!I47/'figuring out social benefits'!$F$47)</f>
        <v>2766.2949511126526</v>
      </c>
      <c r="AK28" s="174"/>
      <c r="AL28" s="240"/>
    </row>
    <row r="29" spans="1:38" x14ac:dyDescent="0.2">
      <c r="E29" s="198"/>
      <c r="F29" s="198"/>
      <c r="G29" s="198"/>
      <c r="H29" s="198"/>
      <c r="I29" s="198"/>
      <c r="J29" s="198"/>
      <c r="K29" s="202"/>
      <c r="L29" s="198"/>
      <c r="M29" s="281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32" x14ac:dyDescent="0.2">
      <c r="A30" s="86" t="s">
        <v>14</v>
      </c>
      <c r="B30" t="s">
        <v>284</v>
      </c>
      <c r="C30" t="s">
        <v>305</v>
      </c>
      <c r="E30" s="203">
        <v>2220523</v>
      </c>
      <c r="F30" s="203">
        <v>2298792</v>
      </c>
      <c r="G30" s="203">
        <v>2315842</v>
      </c>
      <c r="H30" s="203">
        <v>2331428</v>
      </c>
      <c r="I30" s="203">
        <v>2347737</v>
      </c>
      <c r="J30" s="203">
        <v>2422546</v>
      </c>
      <c r="K30" s="203">
        <v>4815254</v>
      </c>
      <c r="L30" s="198">
        <f>VLOOKUP(C30,'Haver NA'!$A$1:$I$34,9,0)</f>
        <v>3488125</v>
      </c>
      <c r="M30" s="281">
        <v>3513776</v>
      </c>
      <c r="N30" s="44">
        <f>N31+N33+N42</f>
        <v>2847845.8319988288</v>
      </c>
      <c r="O30" s="44">
        <f t="shared" ref="O30:U30" si="19">O31+O33+O42</f>
        <v>2752064.9561336781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AVERAGE(E30:H30)/1000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5" t="s">
        <v>29</v>
      </c>
    </row>
    <row r="31" spans="1:38" ht="16" x14ac:dyDescent="0.2">
      <c r="A31" s="86" t="s">
        <v>3</v>
      </c>
      <c r="B31" t="s">
        <v>284</v>
      </c>
      <c r="C31" t="s">
        <v>306</v>
      </c>
      <c r="E31" s="203">
        <v>753311</v>
      </c>
      <c r="F31" s="203">
        <v>767353</v>
      </c>
      <c r="G31" s="203">
        <v>779707</v>
      </c>
      <c r="H31" s="203">
        <v>789893</v>
      </c>
      <c r="I31" s="203">
        <v>797912</v>
      </c>
      <c r="J31" s="203">
        <v>804655</v>
      </c>
      <c r="K31" s="203">
        <v>824058</v>
      </c>
      <c r="L31" s="198">
        <f>VLOOKUP(C31,'Haver NA'!$A$1:$I$34,9,0)</f>
        <v>842733</v>
      </c>
      <c r="M31" s="281">
        <v>842733</v>
      </c>
      <c r="N31" s="87">
        <f>L31*((($AI$31/$AH$31)^0.25))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AVERAGE(E31:H31)/1000</f>
        <v>772.56600000000003</v>
      </c>
      <c r="AC31" s="45">
        <f>AVERAGE(I31:L31)/1000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5" t="s">
        <v>19</v>
      </c>
    </row>
    <row r="32" spans="1:38" ht="16" x14ac:dyDescent="0.2">
      <c r="A32" s="93" t="s">
        <v>20</v>
      </c>
      <c r="B32" t="s">
        <v>284</v>
      </c>
      <c r="C32" t="s">
        <v>307</v>
      </c>
      <c r="E32" s="203"/>
      <c r="F32" s="203"/>
      <c r="G32" s="203"/>
      <c r="H32" s="203"/>
      <c r="I32" s="203">
        <v>0</v>
      </c>
      <c r="J32" s="203">
        <v>0</v>
      </c>
      <c r="K32" s="203">
        <v>1078000</v>
      </c>
      <c r="L32" s="198">
        <f>VLOOKUP(C32,'Haver NA'!$A$1:$I$34,9,0)</f>
        <v>15600</v>
      </c>
      <c r="M32" s="281"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AVERAGE(I32:L32)/1000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3"/>
    </row>
    <row r="33" spans="1:40" ht="16" x14ac:dyDescent="0.2">
      <c r="A33" s="86" t="s">
        <v>141</v>
      </c>
      <c r="E33" s="203">
        <v>27025</v>
      </c>
      <c r="F33" s="203">
        <v>28029</v>
      </c>
      <c r="G33" s="203">
        <v>27483</v>
      </c>
      <c r="H33" s="203">
        <v>27578</v>
      </c>
      <c r="I33" s="203">
        <v>27884</v>
      </c>
      <c r="J33" s="203">
        <v>43429</v>
      </c>
      <c r="K33" s="203">
        <v>1112564</v>
      </c>
      <c r="L33" s="198">
        <f>L34+L37</f>
        <v>874878</v>
      </c>
      <c r="M33" s="281">
        <v>877703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AVERAGE(E33:H33)/1000</f>
        <v>27.528749999999999</v>
      </c>
      <c r="AC33" s="45">
        <f>AVERAGE(I33:L33)/1000</f>
        <v>514.68875000000003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3"/>
    </row>
    <row r="34" spans="1:40" ht="16" x14ac:dyDescent="0.2">
      <c r="A34" s="114" t="s">
        <v>336</v>
      </c>
      <c r="B34" t="s">
        <v>284</v>
      </c>
      <c r="C34" t="s">
        <v>308</v>
      </c>
      <c r="E34" s="203"/>
      <c r="F34" s="203"/>
      <c r="G34" s="203"/>
      <c r="H34" s="203"/>
      <c r="I34" s="203"/>
      <c r="J34" s="203"/>
      <c r="K34" s="203"/>
      <c r="L34" s="198">
        <f>VLOOKUP(C34,'Haver NA'!$A$1:$I$34,9,0)</f>
        <v>768678</v>
      </c>
      <c r="M34" s="281">
        <v>771503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3"/>
    </row>
    <row r="35" spans="1:40" ht="16" x14ac:dyDescent="0.2">
      <c r="A35" s="116" t="s">
        <v>213</v>
      </c>
      <c r="E35" s="203"/>
      <c r="F35" s="203"/>
      <c r="G35" s="203"/>
      <c r="H35" s="203"/>
      <c r="I35" s="203"/>
      <c r="J35" s="203"/>
      <c r="K35" s="203">
        <f>K36+K37</f>
        <v>834933.33333333326</v>
      </c>
      <c r="L35" s="198">
        <f t="shared" ref="L35:R35" si="26">L36+L37</f>
        <v>738200</v>
      </c>
      <c r="M35" s="281">
        <v>738200</v>
      </c>
      <c r="N35" s="87">
        <f t="shared" si="26"/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3"/>
    </row>
    <row r="36" spans="1:40" ht="16" x14ac:dyDescent="0.2">
      <c r="A36" s="283" t="s">
        <v>138</v>
      </c>
      <c r="E36" s="203"/>
      <c r="F36" s="203"/>
      <c r="G36" s="203"/>
      <c r="H36" s="203"/>
      <c r="I36" s="203">
        <v>0</v>
      </c>
      <c r="J36" s="203">
        <v>0</v>
      </c>
      <c r="K36" s="203">
        <f>'figuring out UI'!M17*1000</f>
        <v>834933.33333333326</v>
      </c>
      <c r="L36" s="198">
        <f>1000*'figuring out UI'!N17</f>
        <v>632000</v>
      </c>
      <c r="M36" s="281">
        <v>632000</v>
      </c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AVERAGE(I36:L36)/1000</f>
        <v>366.73333333333329</v>
      </c>
      <c r="AD36" s="45">
        <f t="shared" si="24"/>
        <v>120</v>
      </c>
      <c r="AE36" s="45">
        <f t="shared" si="25"/>
        <v>0</v>
      </c>
      <c r="AF36" s="3"/>
      <c r="AH36" s="3"/>
      <c r="AI36" s="3"/>
      <c r="AJ36" s="3"/>
      <c r="AK36" s="3"/>
      <c r="AL36" s="183"/>
    </row>
    <row r="37" spans="1:40" ht="16" x14ac:dyDescent="0.2">
      <c r="A37" s="283" t="s">
        <v>162</v>
      </c>
      <c r="E37" s="203"/>
      <c r="F37" s="203"/>
      <c r="G37" s="203"/>
      <c r="H37" s="203"/>
      <c r="I37" s="203"/>
      <c r="J37" s="203"/>
      <c r="K37" s="203"/>
      <c r="L37" s="198">
        <v>106200</v>
      </c>
      <c r="M37" s="281">
        <v>106200</v>
      </c>
      <c r="N37" s="87">
        <f>(44000*4)-L37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3"/>
    </row>
    <row r="38" spans="1:40" ht="16" x14ac:dyDescent="0.2">
      <c r="A38" s="116" t="s">
        <v>139</v>
      </c>
      <c r="E38" s="203"/>
      <c r="F38" s="203"/>
      <c r="G38" s="203"/>
      <c r="H38" s="203"/>
      <c r="I38" s="203">
        <v>0</v>
      </c>
      <c r="J38" s="203">
        <v>0</v>
      </c>
      <c r="K38" s="203">
        <f>'figuring out UI'!M18*1000</f>
        <v>277600</v>
      </c>
      <c r="L38" s="198">
        <f>1000*'figuring out UI'!N18</f>
        <v>140000</v>
      </c>
      <c r="M38" s="281">
        <v>140000</v>
      </c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AVERAGE(I38:L38)/1000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3"/>
    </row>
    <row r="39" spans="1:40" ht="32" x14ac:dyDescent="0.2">
      <c r="A39" s="330" t="s">
        <v>147</v>
      </c>
      <c r="E39" s="203"/>
      <c r="F39" s="203"/>
      <c r="G39" s="203"/>
      <c r="H39" s="203"/>
      <c r="I39" s="203">
        <v>0</v>
      </c>
      <c r="J39" s="203">
        <v>0</v>
      </c>
      <c r="K39" s="203">
        <f>SUM(K40:K41)</f>
        <v>179900</v>
      </c>
      <c r="L39" s="198">
        <f>SUM(L40:L41)</f>
        <v>85400</v>
      </c>
      <c r="M39" s="281">
        <v>83700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AVERAGE(I39:L39)/1000</f>
        <v>66.325000000000003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3"/>
    </row>
    <row r="40" spans="1:40" ht="16" x14ac:dyDescent="0.2">
      <c r="A40" s="116" t="s">
        <v>206</v>
      </c>
      <c r="B40" t="s">
        <v>284</v>
      </c>
      <c r="C40" t="s">
        <v>309</v>
      </c>
      <c r="E40" s="203"/>
      <c r="F40" s="203"/>
      <c r="G40" s="203"/>
      <c r="H40" s="203"/>
      <c r="I40" s="203"/>
      <c r="J40" s="203"/>
      <c r="K40" s="203">
        <v>19000</v>
      </c>
      <c r="L40" s="198">
        <f>VLOOKUP(C40,'Haver NA'!$A$1:$I$34,9,0)</f>
        <v>27000</v>
      </c>
      <c r="M40" s="281"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2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3"/>
    </row>
    <row r="41" spans="1:40" ht="16" x14ac:dyDescent="0.2">
      <c r="A41" s="116" t="s">
        <v>207</v>
      </c>
      <c r="B41" t="s">
        <v>284</v>
      </c>
      <c r="C41" t="s">
        <v>310</v>
      </c>
      <c r="E41" s="203"/>
      <c r="F41" s="203"/>
      <c r="G41" s="203"/>
      <c r="H41" s="203"/>
      <c r="I41" s="203"/>
      <c r="J41" s="203"/>
      <c r="K41" s="203">
        <v>160900</v>
      </c>
      <c r="L41" s="198">
        <f>VLOOKUP(C41,'Haver NA'!$A$1:$I$34,9,0)</f>
        <v>58400</v>
      </c>
      <c r="M41" s="281">
        <v>56700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2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3"/>
    </row>
    <row r="42" spans="1:40" ht="48" x14ac:dyDescent="0.2">
      <c r="A42" s="86" t="s">
        <v>149</v>
      </c>
      <c r="E42" s="198">
        <f>E30-E32-E33-E31</f>
        <v>1440187</v>
      </c>
      <c r="F42" s="198">
        <f>F30-F32-F33-F31</f>
        <v>1503410</v>
      </c>
      <c r="G42" s="202">
        <f>G30-G32-G33-G31</f>
        <v>1508652</v>
      </c>
      <c r="H42" s="198">
        <f>H30-H32-H33-H31</f>
        <v>1513957</v>
      </c>
      <c r="I42" s="202">
        <f>I30-I32-I33-I31-I39</f>
        <v>1521941</v>
      </c>
      <c r="J42" s="202">
        <f>J30-J32-J33-J31-J39</f>
        <v>1574462</v>
      </c>
      <c r="K42" s="202">
        <f>K30-K32-K33-K31-K39</f>
        <v>1620732</v>
      </c>
      <c r="L42" s="203">
        <f>L30-L32-L33-L31-L39</f>
        <v>1669514</v>
      </c>
      <c r="M42" s="284">
        <v>1694040</v>
      </c>
      <c r="N42" s="88">
        <f>L42*(1+N44)</f>
        <v>1656992.645</v>
      </c>
      <c r="O42" s="88">
        <f t="shared" ref="O42:Q42" si="29">N42*(1+O44)</f>
        <v>1644565.2001625001</v>
      </c>
      <c r="P42" s="88">
        <f t="shared" si="29"/>
        <v>1632230.9611612814</v>
      </c>
      <c r="Q42" s="88">
        <f t="shared" si="29"/>
        <v>1619989.228952572</v>
      </c>
      <c r="R42" s="88">
        <f>Q42*(1+R44)</f>
        <v>1644289.0673868605</v>
      </c>
      <c r="S42" s="88">
        <f t="shared" ref="S42:U42" si="30">R42*(1+S44)</f>
        <v>1668953.4033976633</v>
      </c>
      <c r="T42" s="88">
        <f t="shared" si="30"/>
        <v>1693987.704448628</v>
      </c>
      <c r="U42" s="88">
        <f t="shared" si="30"/>
        <v>1719397.5200153573</v>
      </c>
      <c r="V42" s="88">
        <f>U42*(1+V44)</f>
        <v>1736591.4952155109</v>
      </c>
      <c r="W42" s="44"/>
      <c r="X42" s="3"/>
      <c r="Y42" s="3"/>
      <c r="Z42" s="3"/>
      <c r="AA42" s="3"/>
      <c r="AB42" s="3">
        <f>AC30-AC32-AC33-AC31-AC39</f>
        <v>-1671.75325</v>
      </c>
      <c r="AC42" s="45">
        <f>AVERAGE(I42:L42)/1000</f>
        <v>1596.6622500000001</v>
      </c>
      <c r="AD42" s="45">
        <f t="shared" si="24"/>
        <v>1638.4445088190882</v>
      </c>
      <c r="AE42" s="45">
        <f t="shared" si="25"/>
        <v>1681.6569238121272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3"/>
      <c r="AM42">
        <f>AI42/AH42*AC42</f>
        <v>1671.0682458472502</v>
      </c>
      <c r="AN42">
        <f>AJ42/AH42*AC42</f>
        <v>1711.6524753198171</v>
      </c>
    </row>
    <row r="43" spans="1:40" s="170" customFormat="1" x14ac:dyDescent="0.2">
      <c r="A43" s="169" t="s">
        <v>216</v>
      </c>
      <c r="C43" s="280"/>
      <c r="E43" s="233"/>
      <c r="F43" s="235">
        <f>F42/E42-1</f>
        <v>4.3899160317375507E-2</v>
      </c>
      <c r="G43" s="235">
        <f t="shared" ref="G43:K43" si="31">G42/F42-1</f>
        <v>3.4867401440725754E-3</v>
      </c>
      <c r="H43" s="235">
        <f t="shared" si="31"/>
        <v>3.5163841628156334E-3</v>
      </c>
      <c r="I43" s="235">
        <f t="shared" si="31"/>
        <v>5.2735975988749129E-3</v>
      </c>
      <c r="J43" s="235">
        <f t="shared" si="31"/>
        <v>3.4509222105193249E-2</v>
      </c>
      <c r="K43" s="235">
        <f t="shared" si="31"/>
        <v>2.938781628264131E-2</v>
      </c>
      <c r="L43" s="198"/>
      <c r="M43" s="281"/>
      <c r="N43" s="234"/>
      <c r="O43" s="234"/>
      <c r="P43" s="234"/>
      <c r="Q43" s="234"/>
      <c r="R43" s="234"/>
      <c r="S43" s="234"/>
      <c r="T43" s="234"/>
      <c r="U43" s="234"/>
      <c r="V43" s="234"/>
      <c r="W43" s="172"/>
      <c r="X43" s="174"/>
      <c r="Y43" s="174"/>
      <c r="Z43" s="174"/>
      <c r="AA43" s="174"/>
      <c r="AB43" s="174"/>
      <c r="AC43" s="173"/>
      <c r="AD43" s="173"/>
      <c r="AE43" s="173"/>
      <c r="AF43" s="174"/>
      <c r="AH43" s="174"/>
      <c r="AI43" s="174"/>
      <c r="AJ43" s="174"/>
      <c r="AK43" s="174"/>
      <c r="AL43" s="184"/>
    </row>
    <row r="44" spans="1:40" s="186" customFormat="1" x14ac:dyDescent="0.2">
      <c r="A44" s="169" t="s">
        <v>271</v>
      </c>
      <c r="E44" s="208"/>
      <c r="F44" s="208"/>
      <c r="G44" s="208"/>
      <c r="H44" s="208"/>
      <c r="I44" s="201"/>
      <c r="J44" s="201"/>
      <c r="K44" s="201"/>
      <c r="L44" s="198"/>
      <c r="M44" s="281"/>
      <c r="N44" s="175">
        <v>-7.4999999999999997E-3</v>
      </c>
      <c r="O44" s="175">
        <v>-7.4999999999999997E-3</v>
      </c>
      <c r="P44" s="175">
        <v>-7.4999999999999997E-3</v>
      </c>
      <c r="Q44" s="175">
        <v>-7.4999999999999997E-3</v>
      </c>
      <c r="R44" s="175">
        <v>1.4999999999999999E-2</v>
      </c>
      <c r="S44" s="175">
        <v>1.4999999999999999E-2</v>
      </c>
      <c r="T44" s="175">
        <v>1.4999999999999999E-2</v>
      </c>
      <c r="U44" s="175">
        <v>1.4999999999999999E-2</v>
      </c>
      <c r="V44" s="175">
        <v>0.01</v>
      </c>
      <c r="W44" s="175"/>
      <c r="AC44" s="188">
        <f>AC31+AC32+AC33+AC39</f>
        <v>1671.7532500000002</v>
      </c>
      <c r="AH44" s="188">
        <f>AH31+AH32+AH33+AH39</f>
        <v>1749.068</v>
      </c>
      <c r="AL44" s="243"/>
      <c r="AM44" s="232">
        <v>-7.4999999999999997E-3</v>
      </c>
      <c r="AN44" s="232">
        <v>1.4999999999999999E-2</v>
      </c>
    </row>
    <row r="45" spans="1:40" s="35" customFormat="1" ht="14" customHeight="1" x14ac:dyDescent="0.2">
      <c r="A45"/>
      <c r="B45"/>
      <c r="D45"/>
      <c r="E45" s="198"/>
      <c r="F45" s="198"/>
      <c r="G45" s="198"/>
      <c r="H45" s="198"/>
      <c r="I45" s="198"/>
      <c r="J45" s="198"/>
      <c r="K45" s="198"/>
      <c r="L45" s="198"/>
      <c r="M45" s="281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4"/>
    </row>
    <row r="46" spans="1:40" s="35" customFormat="1" x14ac:dyDescent="0.2">
      <c r="A46" s="140" t="s">
        <v>4</v>
      </c>
      <c r="B46" s="140" t="s">
        <v>284</v>
      </c>
      <c r="C46" t="s">
        <v>311</v>
      </c>
      <c r="D46" s="140"/>
      <c r="E46" s="198">
        <v>79458</v>
      </c>
      <c r="F46" s="198">
        <v>71318</v>
      </c>
      <c r="G46" s="198">
        <v>61083</v>
      </c>
      <c r="H46" s="203">
        <v>81998</v>
      </c>
      <c r="I46" s="203">
        <v>81147</v>
      </c>
      <c r="J46" s="203">
        <v>75093</v>
      </c>
      <c r="K46" s="203">
        <v>1086548</v>
      </c>
      <c r="L46" s="203">
        <f>VLOOKUP(C46,'Haver NA'!$A$1:$I$34,9,0)</f>
        <v>1213308</v>
      </c>
      <c r="M46" s="287">
        <v>1212346</v>
      </c>
      <c r="N46" s="143">
        <f t="shared" ref="N46:V46" si="32">N47+AVERAGE($G$46:$J$46)</f>
        <v>382932.00834658189</v>
      </c>
      <c r="O46" s="143">
        <f t="shared" si="32"/>
        <v>100250.25</v>
      </c>
      <c r="P46" s="143">
        <f t="shared" si="32"/>
        <v>100250.25</v>
      </c>
      <c r="Q46" s="143">
        <f t="shared" si="32"/>
        <v>100250.25</v>
      </c>
      <c r="R46" s="143">
        <f t="shared" si="32"/>
        <v>100250.25</v>
      </c>
      <c r="S46" s="143">
        <f t="shared" si="32"/>
        <v>74830.25</v>
      </c>
      <c r="T46" s="143">
        <f t="shared" si="32"/>
        <v>74830.25</v>
      </c>
      <c r="U46" s="143">
        <f t="shared" si="32"/>
        <v>74830.25</v>
      </c>
      <c r="V46" s="143">
        <f t="shared" si="32"/>
        <v>74830.25</v>
      </c>
      <c r="W46" s="44"/>
      <c r="X46" s="44"/>
      <c r="Y46" s="44"/>
      <c r="Z46" s="44"/>
      <c r="AA46" s="44"/>
      <c r="AB46" s="44">
        <f>AVERAGE(E46:H46)/1000</f>
        <v>73.464250000000007</v>
      </c>
      <c r="AC46" s="44"/>
      <c r="AD46" s="44"/>
      <c r="AE46" s="44"/>
      <c r="AL46" s="242"/>
    </row>
    <row r="47" spans="1:40" s="35" customFormat="1" ht="16" x14ac:dyDescent="0.2">
      <c r="A47" s="133" t="s">
        <v>201</v>
      </c>
      <c r="E47" s="198"/>
      <c r="F47" s="198"/>
      <c r="G47" s="198"/>
      <c r="H47" s="203"/>
      <c r="I47" s="203"/>
      <c r="J47" s="203"/>
      <c r="K47" s="203"/>
      <c r="L47" s="203">
        <f>L48+L49</f>
        <v>1093900</v>
      </c>
      <c r="M47" s="281">
        <v>1093900</v>
      </c>
      <c r="N47" s="115">
        <f t="shared" ref="N47:V47" si="33">N48+N49</f>
        <v>308101.75834658189</v>
      </c>
      <c r="O47" s="115">
        <f t="shared" si="33"/>
        <v>25420</v>
      </c>
      <c r="P47" s="115">
        <f t="shared" si="33"/>
        <v>25420</v>
      </c>
      <c r="Q47" s="115">
        <f t="shared" si="33"/>
        <v>25420</v>
      </c>
      <c r="R47" s="115">
        <f t="shared" si="33"/>
        <v>25420</v>
      </c>
      <c r="S47" s="115">
        <f t="shared" si="33"/>
        <v>0</v>
      </c>
      <c r="T47" s="115">
        <f t="shared" si="33"/>
        <v>0</v>
      </c>
      <c r="U47" s="115">
        <f t="shared" si="33"/>
        <v>0</v>
      </c>
      <c r="V47" s="115">
        <f t="shared" si="33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2"/>
    </row>
    <row r="48" spans="1:40" s="35" customFormat="1" ht="16" x14ac:dyDescent="0.2">
      <c r="A48" s="226" t="s">
        <v>274</v>
      </c>
      <c r="C48" t="s">
        <v>312</v>
      </c>
      <c r="E48" s="198"/>
      <c r="F48" s="198"/>
      <c r="G48" s="198"/>
      <c r="H48" s="203"/>
      <c r="I48" s="203"/>
      <c r="J48" s="203"/>
      <c r="K48" s="203">
        <v>609300</v>
      </c>
      <c r="L48" s="198">
        <f>VLOOKUP(C48,'Haver NA'!$A$1:$I$34,9,0)</f>
        <v>865600</v>
      </c>
      <c r="M48" s="281">
        <v>865600</v>
      </c>
      <c r="N48" s="115">
        <f>'[1]Revised Add Factors'!D$13*1000</f>
        <v>282681.75834658189</v>
      </c>
      <c r="O48" s="115"/>
      <c r="P48" s="115">
        <f>'[1]Revised Add Factors'!F$13*1000</f>
        <v>0</v>
      </c>
      <c r="Q48" s="115">
        <f>'[1]Revised Add Factors'!G$13*1000</f>
        <v>0</v>
      </c>
      <c r="R48" s="115">
        <f>'[1]Revised Add Factors'!H$13*1000</f>
        <v>0</v>
      </c>
      <c r="S48" s="115"/>
      <c r="T48" s="115">
        <f>'[1]Revised Add Factors'!J$13*1000</f>
        <v>0</v>
      </c>
      <c r="U48" s="115">
        <f>'[1]Revised Add Factors'!K$13*1000</f>
        <v>0</v>
      </c>
      <c r="V48" s="115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2"/>
    </row>
    <row r="49" spans="1:38" s="35" customFormat="1" ht="27.5" customHeight="1" x14ac:dyDescent="0.2">
      <c r="A49" s="227" t="s">
        <v>275</v>
      </c>
      <c r="C49" t="s">
        <v>337</v>
      </c>
      <c r="E49" s="198"/>
      <c r="F49" s="198"/>
      <c r="G49" s="198"/>
      <c r="H49" s="203"/>
      <c r="I49" s="203"/>
      <c r="J49" s="203"/>
      <c r="K49" s="203">
        <f>SUM(K50:K52)</f>
        <v>277100</v>
      </c>
      <c r="L49" s="198">
        <f>SUM(L50:L52)</f>
        <v>228300</v>
      </c>
      <c r="M49" s="281">
        <v>228300</v>
      </c>
      <c r="N49" s="115">
        <v>25420</v>
      </c>
      <c r="O49" s="115">
        <v>25420</v>
      </c>
      <c r="P49" s="115">
        <v>25420</v>
      </c>
      <c r="Q49" s="115">
        <v>25420</v>
      </c>
      <c r="R49" s="115">
        <v>25420</v>
      </c>
      <c r="S49" s="115"/>
      <c r="T49" s="115">
        <f>'[1]Revised Add Factors'!J$14*1000</f>
        <v>0</v>
      </c>
      <c r="U49" s="115">
        <f>'[1]Revised Add Factors'!K$14*1000</f>
        <v>0</v>
      </c>
      <c r="V49" s="115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2"/>
    </row>
    <row r="50" spans="1:38" s="186" customFormat="1" x14ac:dyDescent="0.2">
      <c r="A50" s="329" t="s">
        <v>285</v>
      </c>
      <c r="B50" s="186" t="s">
        <v>284</v>
      </c>
      <c r="C50" t="s">
        <v>313</v>
      </c>
      <c r="E50" s="208"/>
      <c r="F50" s="208"/>
      <c r="G50" s="208"/>
      <c r="H50" s="262"/>
      <c r="I50" s="262"/>
      <c r="J50" s="262"/>
      <c r="K50" s="262">
        <v>63800</v>
      </c>
      <c r="L50" s="198">
        <f>VLOOKUP(C50,'Haver NA'!$A$1:$I$34,9,0)</f>
        <v>15000</v>
      </c>
      <c r="M50" s="281">
        <v>15000</v>
      </c>
      <c r="N50" s="263"/>
      <c r="O50" s="263"/>
      <c r="P50" s="263"/>
      <c r="Q50" s="263"/>
      <c r="R50" s="263"/>
      <c r="S50" s="263"/>
      <c r="T50" s="263"/>
      <c r="U50" s="263"/>
      <c r="V50" s="263"/>
      <c r="W50" s="188"/>
      <c r="X50" s="188"/>
      <c r="Y50" s="188"/>
      <c r="Z50" s="188"/>
      <c r="AA50" s="188"/>
      <c r="AB50" s="188"/>
      <c r="AC50" s="188"/>
      <c r="AD50" s="188"/>
      <c r="AE50" s="188"/>
      <c r="AF50" s="188"/>
      <c r="AL50" s="243"/>
    </row>
    <row r="51" spans="1:38" s="186" customFormat="1" x14ac:dyDescent="0.2">
      <c r="A51" s="329" t="s">
        <v>286</v>
      </c>
      <c r="B51" s="186" t="s">
        <v>284</v>
      </c>
      <c r="C51" t="s">
        <v>314</v>
      </c>
      <c r="E51" s="208"/>
      <c r="F51" s="208"/>
      <c r="G51" s="208"/>
      <c r="H51" s="262"/>
      <c r="I51" s="262"/>
      <c r="J51" s="262"/>
      <c r="K51" s="262">
        <v>73300</v>
      </c>
      <c r="L51" s="198">
        <f>VLOOKUP(C51,'Haver NA'!$A$1:$I$34,9,0)</f>
        <v>73300</v>
      </c>
      <c r="M51" s="281">
        <v>73300</v>
      </c>
      <c r="N51" s="263"/>
      <c r="O51" s="263"/>
      <c r="P51" s="263"/>
      <c r="Q51" s="263"/>
      <c r="R51" s="263"/>
      <c r="S51" s="263"/>
      <c r="T51" s="263"/>
      <c r="U51" s="263"/>
      <c r="V51" s="263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L51" s="243"/>
    </row>
    <row r="52" spans="1:38" s="186" customFormat="1" x14ac:dyDescent="0.2">
      <c r="A52" s="329" t="s">
        <v>287</v>
      </c>
      <c r="B52" s="186" t="s">
        <v>284</v>
      </c>
      <c r="C52" t="s">
        <v>315</v>
      </c>
      <c r="E52" s="208"/>
      <c r="F52" s="208"/>
      <c r="G52" s="208"/>
      <c r="H52" s="262"/>
      <c r="I52" s="262"/>
      <c r="J52" s="262"/>
      <c r="K52" s="262">
        <v>140000</v>
      </c>
      <c r="L52" s="198">
        <f>VLOOKUP(C52,'Haver NA'!$A$1:$I$34,9,0)</f>
        <v>140000</v>
      </c>
      <c r="M52" s="281">
        <v>140000</v>
      </c>
      <c r="N52" s="263"/>
      <c r="O52" s="263"/>
      <c r="P52" s="263"/>
      <c r="Q52" s="263"/>
      <c r="R52" s="263"/>
      <c r="S52" s="263"/>
      <c r="T52" s="263"/>
      <c r="U52" s="263"/>
      <c r="V52" s="263"/>
      <c r="W52" s="188"/>
      <c r="X52" s="188"/>
      <c r="Y52" s="188"/>
      <c r="Z52" s="188"/>
      <c r="AA52" s="188"/>
      <c r="AB52" s="188"/>
      <c r="AC52" s="188"/>
      <c r="AD52" s="188"/>
      <c r="AE52" s="188"/>
      <c r="AF52" s="188"/>
      <c r="AL52" s="243"/>
    </row>
    <row r="53" spans="1:38" s="35" customFormat="1" x14ac:dyDescent="0.2">
      <c r="A53" s="133"/>
      <c r="E53" s="198"/>
      <c r="F53" s="198"/>
      <c r="G53" s="198"/>
      <c r="H53" s="203"/>
      <c r="I53" s="203"/>
      <c r="J53" s="203"/>
      <c r="K53" s="203"/>
      <c r="L53" s="198"/>
      <c r="M53" s="281"/>
      <c r="N53" s="115"/>
      <c r="O53" s="115"/>
      <c r="P53" s="115"/>
      <c r="Q53" s="115"/>
      <c r="R53" s="115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2"/>
    </row>
    <row r="54" spans="1:38" s="35" customFormat="1" x14ac:dyDescent="0.2">
      <c r="A54" s="35" t="s">
        <v>16</v>
      </c>
      <c r="B54" s="35" t="s">
        <v>284</v>
      </c>
      <c r="C54" t="s">
        <v>316</v>
      </c>
      <c r="E54" s="198">
        <v>586475</v>
      </c>
      <c r="F54" s="198">
        <v>594213</v>
      </c>
      <c r="G54" s="198">
        <v>612547</v>
      </c>
      <c r="H54" s="203">
        <v>610331</v>
      </c>
      <c r="I54" s="203">
        <v>615406</v>
      </c>
      <c r="J54" s="203">
        <v>627805</v>
      </c>
      <c r="K54" s="203">
        <v>1396890</v>
      </c>
      <c r="L54" s="198">
        <f>VLOOKUP(C54,'Haver NA'!$A$1:$I$34,9,0)</f>
        <v>728172</v>
      </c>
      <c r="M54" s="281">
        <v>727479</v>
      </c>
      <c r="N54" s="115">
        <f>N56+(SUM($L$58:$R$58))/4/6*4</f>
        <v>286539.55144373403</v>
      </c>
      <c r="O54" s="115">
        <f>O56+(SUM($L$58:$R$58))/4/6*4</f>
        <v>287307.66211430955</v>
      </c>
      <c r="P54" s="115">
        <f>P56+(SUM($L$58:$R$58))/4/6*4</f>
        <v>288189.10058873915</v>
      </c>
      <c r="Q54" s="115">
        <f>Q56+(SUM($L$58:$R$58))/4/6*4</f>
        <v>289221.64280164416</v>
      </c>
      <c r="R54" s="115">
        <f>R56+(SUM($L$58:$R$58))/4/6*4</f>
        <v>290711.04635991767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AVERAGE(E54:H54)/1000</f>
        <v>600.89149999999995</v>
      </c>
      <c r="AC54" s="44"/>
      <c r="AD54" s="44"/>
      <c r="AE54" s="44"/>
      <c r="AL54" s="242"/>
    </row>
    <row r="55" spans="1:38" s="35" customFormat="1" x14ac:dyDescent="0.2">
      <c r="A55" s="35" t="s">
        <v>229</v>
      </c>
      <c r="E55" s="204">
        <f>E54-E67</f>
        <v>196851</v>
      </c>
      <c r="F55" s="204">
        <f t="shared" ref="F55:L55" si="34">F54-F67</f>
        <v>189684</v>
      </c>
      <c r="G55" s="204">
        <f t="shared" si="34"/>
        <v>192875</v>
      </c>
      <c r="H55" s="204">
        <f t="shared" si="34"/>
        <v>191507</v>
      </c>
      <c r="I55" s="204">
        <f t="shared" si="34"/>
        <v>203997</v>
      </c>
      <c r="J55" s="204">
        <f t="shared" si="34"/>
        <v>204376</v>
      </c>
      <c r="K55" s="204">
        <f t="shared" si="34"/>
        <v>884250</v>
      </c>
      <c r="L55" s="198">
        <f t="shared" si="34"/>
        <v>242100</v>
      </c>
      <c r="M55" s="281">
        <v>241407</v>
      </c>
      <c r="N55" s="115"/>
      <c r="O55" s="115"/>
      <c r="P55" s="115"/>
      <c r="Q55" s="115"/>
      <c r="R55" s="115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2"/>
    </row>
    <row r="56" spans="1:38" s="35" customFormat="1" x14ac:dyDescent="0.2">
      <c r="A56" s="135" t="s">
        <v>230</v>
      </c>
      <c r="E56" s="198"/>
      <c r="F56" s="198"/>
      <c r="G56" s="198"/>
      <c r="H56" s="203"/>
      <c r="I56" s="203"/>
      <c r="J56" s="203"/>
      <c r="K56" s="203">
        <f>K55-K57</f>
        <v>192250</v>
      </c>
      <c r="L56" s="198">
        <f>K56*(1+L66)</f>
        <v>189950.61436735778</v>
      </c>
      <c r="M56" s="281">
        <v>189924.8072833599</v>
      </c>
      <c r="N56" s="115">
        <f>L56*(1+N66)</f>
        <v>191372.88477706735</v>
      </c>
      <c r="O56" s="115">
        <f t="shared" ref="O56:R56" si="35">N56*(1+O66)</f>
        <v>192140.9954476429</v>
      </c>
      <c r="P56" s="115">
        <f t="shared" si="35"/>
        <v>193022.43392207247</v>
      </c>
      <c r="Q56" s="115">
        <f t="shared" si="35"/>
        <v>194054.97613497748</v>
      </c>
      <c r="R56" s="115">
        <f t="shared" si="35"/>
        <v>195544.37969325102</v>
      </c>
      <c r="S56" s="115">
        <f t="shared" ref="S56" si="36">R56*(1+S66)</f>
        <v>197240.80684971521</v>
      </c>
      <c r="T56" s="115">
        <f t="shared" ref="T56" si="37">S56*(1+T66)</f>
        <v>198958.57178194768</v>
      </c>
      <c r="U56" s="115">
        <f t="shared" ref="U56" si="38">T56*(1+U66)</f>
        <v>200866.80125051294</v>
      </c>
      <c r="V56" s="115">
        <f t="shared" ref="V56:W56" si="39">U56*(1+V66)</f>
        <v>202622.47677399646</v>
      </c>
      <c r="W56" s="115">
        <f t="shared" si="39"/>
        <v>204572.45802602731</v>
      </c>
      <c r="X56" s="44"/>
      <c r="Y56" s="44"/>
      <c r="Z56" s="44"/>
      <c r="AA56" s="44"/>
      <c r="AB56" s="44"/>
      <c r="AC56" s="44"/>
      <c r="AD56" s="44"/>
      <c r="AE56" s="44"/>
      <c r="AF56" s="44"/>
      <c r="AL56" s="242"/>
    </row>
    <row r="57" spans="1:38" s="137" customFormat="1" x14ac:dyDescent="0.2">
      <c r="A57" s="136" t="s">
        <v>210</v>
      </c>
      <c r="C57" t="s">
        <v>317</v>
      </c>
      <c r="E57" s="205"/>
      <c r="F57" s="205"/>
      <c r="G57" s="205"/>
      <c r="H57" s="206"/>
      <c r="I57" s="206"/>
      <c r="J57" s="206"/>
      <c r="K57" s="206">
        <v>692000</v>
      </c>
      <c r="L57" s="198">
        <v>38500</v>
      </c>
      <c r="M57" s="281">
        <v>38500</v>
      </c>
      <c r="N57" s="138"/>
      <c r="O57" s="138"/>
      <c r="P57" s="138"/>
      <c r="Q57" s="138"/>
      <c r="R57" s="138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L57" s="245"/>
    </row>
    <row r="58" spans="1:38" s="35" customFormat="1" ht="32" x14ac:dyDescent="0.2">
      <c r="A58" s="133" t="s">
        <v>211</v>
      </c>
      <c r="E58" s="198"/>
      <c r="F58" s="198"/>
      <c r="G58" s="198"/>
      <c r="H58" s="203"/>
      <c r="I58" s="203"/>
      <c r="J58" s="203"/>
      <c r="K58" s="207">
        <f>SUM(K59:K61)</f>
        <v>87000</v>
      </c>
      <c r="L58" s="198">
        <f>SUM(L59:L61)</f>
        <v>97000</v>
      </c>
      <c r="M58" s="281">
        <v>97000</v>
      </c>
      <c r="N58" s="115">
        <f t="shared" ref="N58:W58" si="40">SUM(N59:N61)</f>
        <v>107000</v>
      </c>
      <c r="O58" s="115">
        <f t="shared" si="40"/>
        <v>90000</v>
      </c>
      <c r="P58" s="115">
        <f t="shared" si="40"/>
        <v>62000</v>
      </c>
      <c r="Q58" s="115">
        <f t="shared" si="40"/>
        <v>62000</v>
      </c>
      <c r="R58" s="115">
        <f t="shared" si="40"/>
        <v>56000</v>
      </c>
      <c r="S58" s="115">
        <f t="shared" si="40"/>
        <v>50000</v>
      </c>
      <c r="T58" s="115">
        <f t="shared" si="40"/>
        <v>50000</v>
      </c>
      <c r="U58" s="115">
        <f t="shared" si="40"/>
        <v>50000</v>
      </c>
      <c r="V58" s="115">
        <f t="shared" si="40"/>
        <v>50000</v>
      </c>
      <c r="W58" s="115">
        <f t="shared" si="40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2"/>
    </row>
    <row r="59" spans="1:38" s="35" customFormat="1" x14ac:dyDescent="0.2">
      <c r="A59" s="328" t="s">
        <v>198</v>
      </c>
      <c r="E59" s="198"/>
      <c r="F59" s="198"/>
      <c r="G59" s="198"/>
      <c r="H59" s="203"/>
      <c r="I59" s="203"/>
      <c r="J59" s="203"/>
      <c r="K59" s="207">
        <v>35000</v>
      </c>
      <c r="L59" s="198">
        <v>45000</v>
      </c>
      <c r="M59" s="281">
        <v>45000</v>
      </c>
      <c r="N59" s="115">
        <v>60000</v>
      </c>
      <c r="O59" s="115">
        <v>60000</v>
      </c>
      <c r="P59" s="115">
        <v>50000</v>
      </c>
      <c r="Q59" s="115">
        <v>50000</v>
      </c>
      <c r="R59" s="115">
        <v>50000</v>
      </c>
      <c r="S59" s="115">
        <v>50000</v>
      </c>
      <c r="T59" s="115">
        <v>50000</v>
      </c>
      <c r="U59" s="115">
        <v>50000</v>
      </c>
      <c r="V59" s="115">
        <v>50000</v>
      </c>
      <c r="W59" s="115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2"/>
    </row>
    <row r="60" spans="1:38" s="35" customFormat="1" x14ac:dyDescent="0.2">
      <c r="A60" s="328" t="s">
        <v>202</v>
      </c>
      <c r="E60" s="198"/>
      <c r="F60" s="198"/>
      <c r="G60" s="198"/>
      <c r="H60" s="203"/>
      <c r="I60" s="203"/>
      <c r="J60" s="203"/>
      <c r="K60" s="203">
        <v>27000</v>
      </c>
      <c r="L60" s="198">
        <v>27000</v>
      </c>
      <c r="M60" s="281">
        <v>27000</v>
      </c>
      <c r="N60" s="115">
        <v>12000</v>
      </c>
      <c r="O60" s="115">
        <v>12000</v>
      </c>
      <c r="P60" s="115">
        <v>12000</v>
      </c>
      <c r="Q60" s="115">
        <v>12000</v>
      </c>
      <c r="R60" s="115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2"/>
    </row>
    <row r="61" spans="1:38" s="35" customFormat="1" x14ac:dyDescent="0.2">
      <c r="A61" s="328" t="s">
        <v>199</v>
      </c>
      <c r="E61" s="198"/>
      <c r="F61" s="198"/>
      <c r="G61" s="198"/>
      <c r="H61" s="203"/>
      <c r="I61" s="203"/>
      <c r="J61" s="203"/>
      <c r="K61" s="203">
        <v>25000</v>
      </c>
      <c r="L61" s="198">
        <v>25000</v>
      </c>
      <c r="M61" s="281">
        <v>25000</v>
      </c>
      <c r="N61" s="115">
        <v>35000</v>
      </c>
      <c r="O61" s="115">
        <v>18000</v>
      </c>
      <c r="P61" s="115">
        <v>0</v>
      </c>
      <c r="Q61" s="115">
        <v>0</v>
      </c>
      <c r="R61" s="115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2"/>
    </row>
    <row r="62" spans="1:38" s="35" customFormat="1" x14ac:dyDescent="0.2">
      <c r="A62" s="144" t="s">
        <v>218</v>
      </c>
      <c r="B62" s="140"/>
      <c r="D62" s="140"/>
      <c r="E62" s="198"/>
      <c r="F62" s="198"/>
      <c r="G62" s="198"/>
      <c r="H62" s="203"/>
      <c r="I62" s="203"/>
      <c r="J62" s="203">
        <f>J54-J67</f>
        <v>204376</v>
      </c>
      <c r="K62" s="207">
        <f>K56+K58</f>
        <v>279250</v>
      </c>
      <c r="L62" s="198">
        <f t="shared" ref="L62:W62" si="41">L56+L58</f>
        <v>286950.6143673578</v>
      </c>
      <c r="M62" s="281">
        <v>286924.80728335993</v>
      </c>
      <c r="N62" s="143">
        <f t="shared" si="41"/>
        <v>298372.88477706735</v>
      </c>
      <c r="O62" s="143">
        <f t="shared" si="41"/>
        <v>282140.99544764287</v>
      </c>
      <c r="P62" s="143">
        <f t="shared" si="41"/>
        <v>255022.43392207247</v>
      </c>
      <c r="Q62" s="143">
        <f t="shared" si="41"/>
        <v>256054.97613497748</v>
      </c>
      <c r="R62" s="143">
        <f t="shared" si="41"/>
        <v>251544.37969325102</v>
      </c>
      <c r="S62" s="143">
        <f t="shared" si="41"/>
        <v>247240.80684971521</v>
      </c>
      <c r="T62" s="143">
        <f t="shared" si="41"/>
        <v>248958.57178194768</v>
      </c>
      <c r="U62" s="143">
        <f t="shared" si="41"/>
        <v>250866.80125051294</v>
      </c>
      <c r="V62" s="143">
        <f t="shared" si="41"/>
        <v>252622.47677399646</v>
      </c>
      <c r="W62" s="143">
        <f t="shared" si="41"/>
        <v>254572.45802602731</v>
      </c>
      <c r="X62" s="44"/>
      <c r="Y62" s="44"/>
      <c r="Z62" s="44"/>
      <c r="AA62" s="44"/>
      <c r="AB62" s="44"/>
      <c r="AC62" s="44"/>
      <c r="AD62" s="44"/>
      <c r="AE62" s="44"/>
      <c r="AF62" s="44"/>
      <c r="AL62" s="242"/>
    </row>
    <row r="63" spans="1:38" s="35" customFormat="1" x14ac:dyDescent="0.2">
      <c r="E63" s="198"/>
      <c r="F63" s="198"/>
      <c r="G63" s="198"/>
      <c r="H63" s="198"/>
      <c r="I63" s="198"/>
      <c r="J63" s="198"/>
      <c r="K63" s="204"/>
      <c r="L63" s="198"/>
      <c r="M63" s="281"/>
      <c r="N63" s="134"/>
      <c r="O63" s="134"/>
      <c r="P63" s="13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2"/>
    </row>
    <row r="64" spans="1:38" s="35" customFormat="1" x14ac:dyDescent="0.2">
      <c r="A64" s="35" t="s">
        <v>17</v>
      </c>
      <c r="B64" s="35" t="s">
        <v>284</v>
      </c>
      <c r="C64" t="s">
        <v>318</v>
      </c>
      <c r="E64" s="207">
        <v>1241.5999999999999</v>
      </c>
      <c r="F64" s="207">
        <v>1245.8</v>
      </c>
      <c r="G64" s="207">
        <v>1473.6</v>
      </c>
      <c r="H64" s="207">
        <v>1288.5</v>
      </c>
      <c r="I64" s="207">
        <v>1301.0999999999999</v>
      </c>
      <c r="J64" s="207">
        <v>1306.0999999999999</v>
      </c>
      <c r="K64" s="207">
        <v>1360.1</v>
      </c>
      <c r="L64" s="198">
        <f>VLOOKUP(C64,'Haver NA'!$A$1:$I$34,9,0)/1000</f>
        <v>1335.3219999999999</v>
      </c>
      <c r="M64" s="281">
        <v>1335.2</v>
      </c>
      <c r="N64" s="115"/>
      <c r="O64" s="115"/>
      <c r="P64" s="115"/>
      <c r="Q64" s="115"/>
      <c r="R64" s="115"/>
      <c r="S64" s="115"/>
      <c r="T64" s="115"/>
      <c r="U64" s="115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4"/>
    </row>
    <row r="65" spans="1:38" s="35" customFormat="1" x14ac:dyDescent="0.2">
      <c r="A65" s="113" t="s">
        <v>204</v>
      </c>
      <c r="B65" s="35" t="s">
        <v>284</v>
      </c>
      <c r="C65" t="s">
        <v>319</v>
      </c>
      <c r="E65" s="198"/>
      <c r="F65" s="198"/>
      <c r="G65" s="198"/>
      <c r="H65" s="198"/>
      <c r="I65" s="198">
        <v>1447.9</v>
      </c>
      <c r="J65" s="198">
        <v>1452.6</v>
      </c>
      <c r="K65" s="198">
        <v>1504.8</v>
      </c>
      <c r="L65" s="198">
        <f>VLOOKUP(C65,'Haver NA'!$A$1:$I$34,9,0)/1000</f>
        <v>1486.8019999999999</v>
      </c>
      <c r="M65" s="281">
        <v>1486.6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4"/>
    </row>
    <row r="66" spans="1:38" s="186" customFormat="1" x14ac:dyDescent="0.2">
      <c r="A66" s="169" t="s">
        <v>203</v>
      </c>
      <c r="E66" s="208"/>
      <c r="F66" s="208"/>
      <c r="G66" s="208"/>
      <c r="H66" s="208"/>
      <c r="I66" s="208"/>
      <c r="J66" s="208"/>
      <c r="K66" s="208"/>
      <c r="L66" s="201">
        <f>L65/K65-1</f>
        <v>-1.1960393407761893E-2</v>
      </c>
      <c r="M66" s="281">
        <v>-1.2094630515683158E-2</v>
      </c>
      <c r="N66" s="187">
        <f>N65/L65-1</f>
        <v>7.4875799399045651E-3</v>
      </c>
      <c r="O66" s="187">
        <f t="shared" ref="O66:V66" si="42">O65/N65-1</f>
        <v>4.0136860113193507E-3</v>
      </c>
      <c r="P66" s="187">
        <f t="shared" si="42"/>
        <v>4.5874565829953085E-3</v>
      </c>
      <c r="Q66" s="187">
        <f t="shared" si="42"/>
        <v>5.3493378563544969E-3</v>
      </c>
      <c r="R66" s="187">
        <f t="shared" si="42"/>
        <v>7.6751629251576858E-3</v>
      </c>
      <c r="S66" s="187">
        <f t="shared" si="42"/>
        <v>8.675407388979206E-3</v>
      </c>
      <c r="T66" s="187">
        <f t="shared" si="42"/>
        <v>8.7089733593581631E-3</v>
      </c>
      <c r="U66" s="187">
        <f t="shared" si="42"/>
        <v>9.5910894990571816E-3</v>
      </c>
      <c r="V66" s="187">
        <f t="shared" si="42"/>
        <v>8.7404962520107876E-3</v>
      </c>
      <c r="W66" s="187">
        <f t="shared" ref="W66" si="43">W65/V65-1</f>
        <v>9.6237163965073869E-3</v>
      </c>
      <c r="X66" s="187">
        <f t="shared" ref="X66" si="44">X65/W65-1</f>
        <v>8.7455736250123817E-3</v>
      </c>
      <c r="Y66" s="187">
        <f>Y65/X65-1</f>
        <v>9.6201658414407643E-3</v>
      </c>
      <c r="Z66" s="187">
        <f t="shared" ref="Z66" si="45">Z65/Y65-1</f>
        <v>3.1021950970274714E-2</v>
      </c>
      <c r="AA66" s="187"/>
      <c r="AD66" s="188"/>
      <c r="AE66" s="188"/>
      <c r="AF66" s="188"/>
      <c r="AH66" s="188"/>
      <c r="AI66" s="188"/>
      <c r="AJ66" s="188"/>
      <c r="AK66" s="188"/>
      <c r="AL66" s="246"/>
    </row>
    <row r="67" spans="1:38" s="35" customFormat="1" x14ac:dyDescent="0.2">
      <c r="A67" s="35" t="s">
        <v>205</v>
      </c>
      <c r="B67" s="35" t="s">
        <v>284</v>
      </c>
      <c r="C67" t="s">
        <v>320</v>
      </c>
      <c r="E67" s="207">
        <v>389624</v>
      </c>
      <c r="F67" s="207">
        <v>404529</v>
      </c>
      <c r="G67" s="207">
        <v>419672</v>
      </c>
      <c r="H67" s="207">
        <v>418824</v>
      </c>
      <c r="I67" s="207">
        <v>411409</v>
      </c>
      <c r="J67" s="207">
        <v>423429</v>
      </c>
      <c r="K67" s="207">
        <v>512640</v>
      </c>
      <c r="L67" s="198">
        <f>VLOOKUP(C67,'Haver NA'!$A$1:$I$34,9,0)</f>
        <v>486072</v>
      </c>
      <c r="M67" s="281">
        <v>486072</v>
      </c>
      <c r="N67" s="115">
        <f t="shared" ref="N67:S67" si="46">N74*0.74</f>
        <v>520762.48586017155</v>
      </c>
      <c r="O67" s="115">
        <f t="shared" si="46"/>
        <v>530153.75073570432</v>
      </c>
      <c r="P67" s="115">
        <f t="shared" si="46"/>
        <v>535444.10571143136</v>
      </c>
      <c r="Q67" s="115">
        <f t="shared" si="46"/>
        <v>535444.10571143136</v>
      </c>
      <c r="R67" s="115">
        <f t="shared" si="46"/>
        <v>535444.10571143136</v>
      </c>
      <c r="S67" s="115">
        <f t="shared" si="46"/>
        <v>535444.10571143136</v>
      </c>
      <c r="T67" s="115">
        <f>T74*0.68</f>
        <v>492029.71876185591</v>
      </c>
      <c r="U67" s="115">
        <f>U74*0.68</f>
        <v>492029.71876185591</v>
      </c>
      <c r="V67" s="115">
        <f>V74*0.68</f>
        <v>492029.71876185591</v>
      </c>
      <c r="W67" s="115"/>
      <c r="X67" s="115"/>
      <c r="Y67" s="115"/>
      <c r="Z67" s="115"/>
      <c r="AA67" s="115"/>
      <c r="AB67" s="44">
        <f>AVERAGE(E67:H67)/1000</f>
        <v>408.16224999999997</v>
      </c>
      <c r="AC67" s="45">
        <f>AVERAGE(I67:L67)</f>
        <v>458387.5</v>
      </c>
      <c r="AD67" s="45">
        <f>AVERAGE(N67:Q67)</f>
        <v>530451.11200468463</v>
      </c>
      <c r="AE67" s="45">
        <f>AVERAGE(R67:U67)</f>
        <v>513736.91223664366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2"/>
    </row>
    <row r="68" spans="1:38" s="35" customFormat="1" x14ac:dyDescent="0.2">
      <c r="A68" s="140" t="s">
        <v>161</v>
      </c>
      <c r="B68" s="140"/>
      <c r="D68" s="140"/>
      <c r="E68" s="202">
        <f t="shared" ref="E68:L68" si="47">E42+E39+E32+E35</f>
        <v>1440187</v>
      </c>
      <c r="F68" s="202">
        <f t="shared" si="47"/>
        <v>1503410</v>
      </c>
      <c r="G68" s="202">
        <f t="shared" si="47"/>
        <v>1508652</v>
      </c>
      <c r="H68" s="202">
        <f t="shared" si="47"/>
        <v>1513957</v>
      </c>
      <c r="I68" s="202">
        <f t="shared" si="47"/>
        <v>1521941</v>
      </c>
      <c r="J68" s="202">
        <f t="shared" si="47"/>
        <v>1574462</v>
      </c>
      <c r="K68" s="202">
        <f t="shared" si="47"/>
        <v>3713565.333333333</v>
      </c>
      <c r="L68" s="198">
        <f t="shared" si="47"/>
        <v>2508714</v>
      </c>
      <c r="M68" s="281">
        <v>2531540</v>
      </c>
      <c r="N68" s="141">
        <f t="shared" ref="N68:V68" si="48">N42+N39+N32+N35</f>
        <v>1966597.486653418</v>
      </c>
      <c r="O68" s="141">
        <f t="shared" si="48"/>
        <v>1887942.7957109897</v>
      </c>
      <c r="P68" s="141">
        <f t="shared" si="48"/>
        <v>1799230.9611612814</v>
      </c>
      <c r="Q68" s="141">
        <f t="shared" si="48"/>
        <v>1662989.228952572</v>
      </c>
      <c r="R68" s="141">
        <f t="shared" si="48"/>
        <v>1659289.0673868605</v>
      </c>
      <c r="S68" s="141">
        <f t="shared" si="48"/>
        <v>1668953.4033976633</v>
      </c>
      <c r="T68" s="141">
        <f t="shared" si="48"/>
        <v>1693987.704448628</v>
      </c>
      <c r="U68" s="141">
        <f t="shared" si="48"/>
        <v>1719397.5200153573</v>
      </c>
      <c r="V68" s="141">
        <f t="shared" si="48"/>
        <v>1736591.4952155109</v>
      </c>
      <c r="AL68" s="242"/>
    </row>
    <row r="69" spans="1:38" s="35" customFormat="1" x14ac:dyDescent="0.2">
      <c r="A69" s="140" t="s">
        <v>215</v>
      </c>
      <c r="B69" s="140"/>
      <c r="D69" s="140"/>
      <c r="E69" s="198"/>
      <c r="F69" s="198"/>
      <c r="G69" s="198"/>
      <c r="H69" s="198"/>
      <c r="I69" s="198"/>
      <c r="J69" s="198"/>
      <c r="K69" s="204">
        <f>K67+K31</f>
        <v>1336698</v>
      </c>
      <c r="L69" s="198">
        <f>L67+L31</f>
        <v>1328805</v>
      </c>
      <c r="M69" s="281">
        <v>1328805</v>
      </c>
      <c r="N69" s="142">
        <f t="shared" ref="N69:V69" si="49">N67+N31</f>
        <v>1373815.6728590003</v>
      </c>
      <c r="O69" s="142">
        <f t="shared" si="49"/>
        <v>1393653.5067068823</v>
      </c>
      <c r="P69" s="142">
        <f t="shared" si="49"/>
        <v>1409518.3603139264</v>
      </c>
      <c r="Q69" s="142">
        <f t="shared" si="49"/>
        <v>1420222.3552427585</v>
      </c>
      <c r="R69" s="142">
        <f t="shared" si="49"/>
        <v>1449154.204832383</v>
      </c>
      <c r="S69" s="142">
        <f t="shared" si="49"/>
        <v>1479032.1128509077</v>
      </c>
      <c r="T69" s="142">
        <f t="shared" si="49"/>
        <v>1466472.6280325653</v>
      </c>
      <c r="U69" s="142">
        <f t="shared" si="49"/>
        <v>1498336.4715432189</v>
      </c>
      <c r="V69" s="142">
        <f t="shared" si="49"/>
        <v>1508477.1168994233</v>
      </c>
      <c r="AL69" s="242"/>
    </row>
    <row r="70" spans="1:38" s="35" customFormat="1" x14ac:dyDescent="0.2">
      <c r="E70" s="198"/>
      <c r="F70" s="198"/>
      <c r="G70" s="198"/>
      <c r="H70" s="198"/>
      <c r="I70" s="198"/>
      <c r="J70" s="198"/>
      <c r="K70" s="198"/>
      <c r="L70" s="198"/>
      <c r="M70" s="281"/>
      <c r="AL70" s="242"/>
    </row>
    <row r="71" spans="1:38" s="35" customFormat="1" x14ac:dyDescent="0.2">
      <c r="A71" s="35" t="s">
        <v>15</v>
      </c>
      <c r="B71" s="35" t="s">
        <v>284</v>
      </c>
      <c r="C71" t="s">
        <v>321</v>
      </c>
      <c r="E71" s="198">
        <v>728844</v>
      </c>
      <c r="F71" s="198">
        <v>738714</v>
      </c>
      <c r="G71" s="198">
        <v>755204</v>
      </c>
      <c r="H71" s="198">
        <v>763370</v>
      </c>
      <c r="I71" s="198">
        <v>760967</v>
      </c>
      <c r="J71" s="198">
        <v>767087</v>
      </c>
      <c r="K71" s="198">
        <v>812158</v>
      </c>
      <c r="L71" s="198">
        <f>VLOOKUP(C71,'Haver NA'!$A$1:$I$34,9,0)</f>
        <v>835999</v>
      </c>
      <c r="M71" s="281">
        <v>843592</v>
      </c>
      <c r="N71" s="132">
        <f t="shared" ref="N71:U71" si="50">N72+N74</f>
        <v>846655.9390002318</v>
      </c>
      <c r="O71" s="132">
        <f t="shared" si="50"/>
        <v>859704.14460568153</v>
      </c>
      <c r="P71" s="132">
        <f t="shared" si="50"/>
        <v>867211.47334407107</v>
      </c>
      <c r="Q71" s="132">
        <f t="shared" si="50"/>
        <v>867929.66513166018</v>
      </c>
      <c r="R71" s="132">
        <f t="shared" si="50"/>
        <v>869012.33925145073</v>
      </c>
      <c r="S71" s="132">
        <f t="shared" si="50"/>
        <v>870466.73148570256</v>
      </c>
      <c r="T71" s="132">
        <f t="shared" si="50"/>
        <v>872014.07451017783</v>
      </c>
      <c r="U71" s="132">
        <f t="shared" si="50"/>
        <v>873408.51802630571</v>
      </c>
      <c r="V71" s="132">
        <f t="shared" ref="V71" si="51">V72+V74</f>
        <v>874637.8300734181</v>
      </c>
      <c r="AL71" s="242"/>
    </row>
    <row r="72" spans="1:38" s="35" customFormat="1" x14ac:dyDescent="0.2">
      <c r="A72" s="35" t="s">
        <v>231</v>
      </c>
      <c r="E72" s="204">
        <f t="shared" ref="E72:J72" si="52">E71-E74</f>
        <v>139025</v>
      </c>
      <c r="F72" s="204">
        <f t="shared" si="52"/>
        <v>139342</v>
      </c>
      <c r="G72" s="204">
        <f t="shared" si="52"/>
        <v>140228</v>
      </c>
      <c r="H72" s="204">
        <f t="shared" si="52"/>
        <v>141105</v>
      </c>
      <c r="I72" s="204">
        <f t="shared" si="52"/>
        <v>141335</v>
      </c>
      <c r="J72" s="204">
        <f t="shared" si="52"/>
        <v>142991</v>
      </c>
      <c r="K72" s="204">
        <f>K71-K74</f>
        <v>143335</v>
      </c>
      <c r="L72" s="198">
        <f>L71-L74</f>
        <v>144732</v>
      </c>
      <c r="M72" s="281">
        <v>144609</v>
      </c>
      <c r="N72" s="132">
        <f>L72*(1+N83-0.015)</f>
        <v>142922.84999999998</v>
      </c>
      <c r="O72" s="132">
        <f t="shared" ref="O72:V72" si="53">N72*(1+O83)</f>
        <v>143280.15712499997</v>
      </c>
      <c r="P72" s="132">
        <f t="shared" si="53"/>
        <v>143638.35751781246</v>
      </c>
      <c r="Q72" s="132">
        <f t="shared" si="53"/>
        <v>144356.54930540151</v>
      </c>
      <c r="R72" s="132">
        <f t="shared" si="53"/>
        <v>145439.22342519203</v>
      </c>
      <c r="S72" s="132">
        <f t="shared" si="53"/>
        <v>146893.61565944395</v>
      </c>
      <c r="T72" s="132">
        <f t="shared" si="53"/>
        <v>148440.9586839191</v>
      </c>
      <c r="U72" s="132">
        <f t="shared" si="53"/>
        <v>149835.40220004701</v>
      </c>
      <c r="V72" s="132">
        <f t="shared" si="53"/>
        <v>151064.71424715937</v>
      </c>
      <c r="AL72" s="242"/>
    </row>
    <row r="73" spans="1:38" s="35" customFormat="1" x14ac:dyDescent="0.2">
      <c r="E73" s="204"/>
      <c r="F73" s="198"/>
      <c r="G73" s="198"/>
      <c r="H73" s="198"/>
      <c r="I73" s="198"/>
      <c r="J73" s="198"/>
      <c r="K73" s="198"/>
      <c r="L73" s="198"/>
      <c r="M73" s="281"/>
      <c r="AL73" s="242"/>
    </row>
    <row r="74" spans="1:38" s="35" customFormat="1" x14ac:dyDescent="0.2">
      <c r="A74" s="35" t="s">
        <v>228</v>
      </c>
      <c r="B74" s="35" t="s">
        <v>284</v>
      </c>
      <c r="C74" t="s">
        <v>322</v>
      </c>
      <c r="E74" s="198">
        <v>589819</v>
      </c>
      <c r="F74" s="198">
        <v>599372</v>
      </c>
      <c r="G74" s="198">
        <v>614976</v>
      </c>
      <c r="H74" s="198">
        <v>622265</v>
      </c>
      <c r="I74" s="198">
        <v>619632</v>
      </c>
      <c r="J74" s="198">
        <v>624096</v>
      </c>
      <c r="K74" s="198">
        <v>668823</v>
      </c>
      <c r="L74" s="198">
        <f>VLOOKUP(C74,'Haver NA'!$A$1:$I$34,9,0)</f>
        <v>691267</v>
      </c>
      <c r="M74" s="281">
        <v>698983</v>
      </c>
      <c r="N74" s="134">
        <f>L74*(($AI$74/$AH$74)^0.18)</f>
        <v>703733.08900023182</v>
      </c>
      <c r="O74" s="134">
        <f>N74*(($AI$74/$AH$74)^0.18)</f>
        <v>716423.98748068151</v>
      </c>
      <c r="P74" s="134">
        <f>O74*(($AI$74/$AH$74)^0.1)</f>
        <v>723573.11582625867</v>
      </c>
      <c r="Q74" s="134">
        <f>P74*(1+Q75)</f>
        <v>723573.11582625867</v>
      </c>
      <c r="R74" s="134">
        <f t="shared" ref="R74:V74" si="54">Q74*(1+R75)</f>
        <v>723573.11582625867</v>
      </c>
      <c r="S74" s="134">
        <f t="shared" si="54"/>
        <v>723573.11582625867</v>
      </c>
      <c r="T74" s="134">
        <f t="shared" si="54"/>
        <v>723573.11582625867</v>
      </c>
      <c r="U74" s="134">
        <f t="shared" si="54"/>
        <v>723573.11582625867</v>
      </c>
      <c r="V74" s="134">
        <f t="shared" si="54"/>
        <v>723573.11582625867</v>
      </c>
      <c r="AC74" s="45">
        <f>AVERAGE(I74:L74)/1000</f>
        <v>650.95450000000005</v>
      </c>
      <c r="AD74" s="45">
        <f>AVERAGE(N74:Q74)/1000</f>
        <v>716.82582703335765</v>
      </c>
      <c r="AE74" s="45">
        <f>AVERAGE(R74:U74)/1000</f>
        <v>723.57311582625869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2"/>
    </row>
    <row r="75" spans="1:38" s="186" customFormat="1" x14ac:dyDescent="0.2">
      <c r="A75" s="169" t="s">
        <v>271</v>
      </c>
      <c r="E75" s="208"/>
      <c r="F75" s="208"/>
      <c r="G75" s="208"/>
      <c r="H75" s="208"/>
      <c r="I75" s="201"/>
      <c r="J75" s="201"/>
      <c r="K75" s="201"/>
      <c r="L75" s="198"/>
      <c r="M75" s="281"/>
      <c r="N75" s="175"/>
      <c r="O75" s="175"/>
      <c r="P75" s="175"/>
      <c r="Q75" s="175">
        <v>0</v>
      </c>
      <c r="R75" s="175">
        <v>0</v>
      </c>
      <c r="S75" s="175">
        <v>0</v>
      </c>
      <c r="T75" s="175">
        <v>0</v>
      </c>
      <c r="U75" s="175">
        <v>0</v>
      </c>
      <c r="V75" s="175">
        <v>0</v>
      </c>
      <c r="W75" s="175"/>
      <c r="AL75" s="243"/>
    </row>
    <row r="76" spans="1:38" s="152" customFormat="1" x14ac:dyDescent="0.2">
      <c r="A76" s="152" t="s">
        <v>223</v>
      </c>
      <c r="E76" s="209">
        <f>E67/E74</f>
        <v>0.66058231423538405</v>
      </c>
      <c r="F76" s="209">
        <f t="shared" ref="F76:H76" si="55">F67/F74</f>
        <v>0.6749214177505789</v>
      </c>
      <c r="G76" s="209">
        <f t="shared" si="55"/>
        <v>0.68242012696430432</v>
      </c>
      <c r="H76" s="209">
        <f t="shared" si="55"/>
        <v>0.6730637268687778</v>
      </c>
      <c r="I76" s="209">
        <f t="shared" ref="I76" si="56">I67/I74</f>
        <v>0.66395699382859508</v>
      </c>
      <c r="J76" s="209">
        <f t="shared" ref="J76" si="57">J67/J74</f>
        <v>0.67846773573296415</v>
      </c>
      <c r="K76" s="210"/>
      <c r="L76" s="198"/>
      <c r="M76" s="281"/>
      <c r="AC76" s="153"/>
      <c r="AD76" s="153"/>
      <c r="AE76" s="153"/>
      <c r="AG76" s="154"/>
      <c r="AH76" s="154"/>
      <c r="AI76" s="154"/>
      <c r="AL76" s="247"/>
    </row>
    <row r="77" spans="1:38" s="35" customFormat="1" x14ac:dyDescent="0.2">
      <c r="A77" s="35" t="s">
        <v>18</v>
      </c>
      <c r="B77" s="35" t="s">
        <v>284</v>
      </c>
      <c r="C77" t="s">
        <v>323</v>
      </c>
      <c r="E77" s="198">
        <v>1997.1</v>
      </c>
      <c r="F77" s="198">
        <v>2012.7</v>
      </c>
      <c r="G77" s="198">
        <v>2025.5</v>
      </c>
      <c r="H77" s="198">
        <v>2028.3</v>
      </c>
      <c r="I77" s="198">
        <v>2035.6</v>
      </c>
      <c r="J77" s="198">
        <v>2041</v>
      </c>
      <c r="K77" s="198">
        <v>2013.1</v>
      </c>
      <c r="L77" s="198">
        <f>VLOOKUP(C77,'Haver NA'!$A$1:$I$34,9,0)/1000</f>
        <v>1992.6769999999999</v>
      </c>
      <c r="M77" s="281">
        <v>1996.2</v>
      </c>
      <c r="N77" s="35">
        <f>L77*(1+N79)</f>
        <v>2031.6535672371635</v>
      </c>
      <c r="O77" s="35">
        <f t="shared" ref="O77:V77" si="58">N77*(1+O79)</f>
        <v>2057.2848967789942</v>
      </c>
      <c r="P77" s="35">
        <f t="shared" si="58"/>
        <v>2079.7387887743166</v>
      </c>
      <c r="Q77" s="35">
        <f t="shared" si="58"/>
        <v>2094.5668306580201</v>
      </c>
      <c r="R77" s="35">
        <f t="shared" si="58"/>
        <v>2104.8405453917289</v>
      </c>
      <c r="S77" s="35">
        <f t="shared" si="58"/>
        <v>2115.0083455405543</v>
      </c>
      <c r="T77" s="35">
        <f t="shared" si="58"/>
        <v>2122.4223664824062</v>
      </c>
      <c r="U77" s="35">
        <f t="shared" si="58"/>
        <v>2126.9766936324008</v>
      </c>
      <c r="V77" s="35">
        <f t="shared" si="58"/>
        <v>2128.6713269905381</v>
      </c>
      <c r="AL77" s="242"/>
    </row>
    <row r="78" spans="1:38" s="186" customFormat="1" x14ac:dyDescent="0.2">
      <c r="A78" s="169" t="s">
        <v>288</v>
      </c>
      <c r="B78" s="35"/>
      <c r="C78" s="35"/>
      <c r="E78" s="201"/>
      <c r="F78" s="201">
        <f t="shared" ref="F78:K78" si="59">(F77/E77)-1</f>
        <v>7.8113264233139468E-3</v>
      </c>
      <c r="G78" s="201">
        <f t="shared" si="59"/>
        <v>6.3596164356336526E-3</v>
      </c>
      <c r="H78" s="201">
        <f t="shared" si="59"/>
        <v>1.3823747222907468E-3</v>
      </c>
      <c r="I78" s="201">
        <f t="shared" si="59"/>
        <v>3.5990731154167399E-3</v>
      </c>
      <c r="J78" s="201">
        <f t="shared" si="59"/>
        <v>2.6527805069758159E-3</v>
      </c>
      <c r="K78" s="201">
        <f t="shared" si="59"/>
        <v>-1.36697697207252E-2</v>
      </c>
      <c r="L78" s="198">
        <f>(L77/K77)-1</f>
        <v>-1.0145049923004357E-2</v>
      </c>
      <c r="M78" s="281">
        <v>-8.39501266703091E-3</v>
      </c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AL78" s="243"/>
    </row>
    <row r="79" spans="1:38" s="186" customFormat="1" x14ac:dyDescent="0.2">
      <c r="A79" s="169" t="s">
        <v>289</v>
      </c>
      <c r="B79" s="35" t="s">
        <v>284</v>
      </c>
      <c r="C79" s="35"/>
      <c r="E79" s="208"/>
      <c r="F79" s="208"/>
      <c r="G79" s="208"/>
      <c r="H79" s="208"/>
      <c r="I79" s="201"/>
      <c r="J79" s="201"/>
      <c r="K79" s="201"/>
      <c r="L79" s="198"/>
      <c r="M79" s="281"/>
      <c r="N79" s="197">
        <v>1.95599022004889E-2</v>
      </c>
      <c r="O79" s="197">
        <v>1.26159941611927E-2</v>
      </c>
      <c r="P79" s="197">
        <v>1.0914332784184499E-2</v>
      </c>
      <c r="Q79" s="197">
        <v>7.1297616622529904E-3</v>
      </c>
      <c r="R79" s="197">
        <v>4.9049352750809598E-3</v>
      </c>
      <c r="S79" s="197">
        <v>4.8306747848840797E-3</v>
      </c>
      <c r="T79" s="197">
        <v>3.5054334218038701E-3</v>
      </c>
      <c r="U79" s="197">
        <v>2.14581565946403E-3</v>
      </c>
      <c r="V79" s="197">
        <v>7.9673339308827796E-4</v>
      </c>
      <c r="W79" s="197">
        <v>3.9804955716982198E-4</v>
      </c>
      <c r="X79" s="197">
        <v>1.1439371331942701E-3</v>
      </c>
      <c r="Y79" s="197">
        <v>8.9423220229512001E-4</v>
      </c>
      <c r="AL79" s="243"/>
    </row>
    <row r="80" spans="1:38" s="35" customFormat="1" x14ac:dyDescent="0.2">
      <c r="A80" s="35" t="s">
        <v>217</v>
      </c>
      <c r="B80" s="35" t="s">
        <v>284</v>
      </c>
      <c r="C80" t="s">
        <v>324</v>
      </c>
      <c r="E80" s="198"/>
      <c r="F80" s="198"/>
      <c r="G80" s="198"/>
      <c r="H80" s="198"/>
      <c r="I80" s="198">
        <v>2357.4</v>
      </c>
      <c r="J80" s="198">
        <v>2381.6</v>
      </c>
      <c r="K80" s="198">
        <v>2334.5</v>
      </c>
      <c r="L80" s="198">
        <f>VLOOKUP(C80,'Haver NA'!$A$1:$I$34,9,0)/1000</f>
        <v>2329.6770000000001</v>
      </c>
      <c r="M80" s="281">
        <v>2337.9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2"/>
    </row>
    <row r="81" spans="1:38" s="35" customFormat="1" x14ac:dyDescent="0.2">
      <c r="E81" s="198"/>
      <c r="F81" s="198"/>
      <c r="G81" s="198"/>
      <c r="H81" s="198"/>
      <c r="I81" s="198"/>
      <c r="J81" s="198"/>
      <c r="K81" s="198"/>
      <c r="L81" s="198"/>
      <c r="M81" s="281"/>
      <c r="N81">
        <f>L80*(1+N83)</f>
        <v>2335.5011924999999</v>
      </c>
      <c r="O81">
        <f>N81*(1+O83)</f>
        <v>2341.3399454812497</v>
      </c>
      <c r="P81">
        <f t="shared" ref="P81:V81" si="60">O81*(1+P83)</f>
        <v>2347.1932953449527</v>
      </c>
      <c r="Q81">
        <f t="shared" si="60"/>
        <v>2358.9292618216773</v>
      </c>
      <c r="R81">
        <f t="shared" si="60"/>
        <v>2376.6212312853399</v>
      </c>
      <c r="S81">
        <f t="shared" si="60"/>
        <v>2400.3874435981934</v>
      </c>
      <c r="T81">
        <f t="shared" si="60"/>
        <v>2425.6725640591153</v>
      </c>
      <c r="U81">
        <f t="shared" si="60"/>
        <v>2448.4591548302242</v>
      </c>
      <c r="V81">
        <f t="shared" si="60"/>
        <v>2468.5473335363272</v>
      </c>
      <c r="W81"/>
      <c r="X81"/>
      <c r="Y81"/>
      <c r="AL81" s="242"/>
    </row>
    <row r="82" spans="1:38" s="186" customFormat="1" x14ac:dyDescent="0.2">
      <c r="A82" s="169" t="s">
        <v>288</v>
      </c>
      <c r="B82" s="35"/>
      <c r="C82" s="35"/>
      <c r="E82" s="201"/>
      <c r="F82" s="201"/>
      <c r="G82" s="201"/>
      <c r="H82" s="201"/>
      <c r="I82" s="201"/>
      <c r="J82" s="201">
        <f t="shared" ref="J82" si="61">(J80/I80)-1</f>
        <v>1.0265546788835067E-2</v>
      </c>
      <c r="K82" s="201">
        <f t="shared" ref="K82" si="62">(K80/J80)-1</f>
        <v>-1.9776620759153429E-2</v>
      </c>
      <c r="L82" s="201">
        <f>(((L80/K80))^4)-1</f>
        <v>-8.2382940014741335E-3</v>
      </c>
      <c r="M82" s="286">
        <v>5.8383978226230759E-3</v>
      </c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AL82" s="243"/>
    </row>
    <row r="83" spans="1:38" s="186" customFormat="1" x14ac:dyDescent="0.2">
      <c r="A83" s="169" t="s">
        <v>289</v>
      </c>
      <c r="E83" s="208"/>
      <c r="F83" s="208"/>
      <c r="G83" s="208"/>
      <c r="H83" s="208"/>
      <c r="I83" s="208"/>
      <c r="J83" s="201"/>
      <c r="K83" s="201"/>
      <c r="L83" s="198"/>
      <c r="M83" s="281"/>
      <c r="N83" s="175">
        <v>2.5000000000000001E-3</v>
      </c>
      <c r="O83" s="175">
        <v>2.5000000000000001E-3</v>
      </c>
      <c r="P83" s="175">
        <v>2.5000000000000001E-3</v>
      </c>
      <c r="Q83" s="175">
        <v>5.0000000000000001E-3</v>
      </c>
      <c r="R83" s="175">
        <v>7.4999999999999997E-3</v>
      </c>
      <c r="S83" s="175">
        <v>0.01</v>
      </c>
      <c r="T83" s="175">
        <f>T80/S80-1</f>
        <v>1.053376634191161E-2</v>
      </c>
      <c r="U83" s="175">
        <f>U80/T80-1</f>
        <v>9.3939269086582566E-3</v>
      </c>
      <c r="V83" s="175">
        <f>V80/U80-1</f>
        <v>8.2044165067951536E-3</v>
      </c>
      <c r="AL83" s="243"/>
    </row>
    <row r="84" spans="1:38" s="186" customFormat="1" x14ac:dyDescent="0.2">
      <c r="A84" s="264" t="s">
        <v>263</v>
      </c>
      <c r="E84" s="208"/>
      <c r="F84" s="208"/>
      <c r="G84" s="208"/>
      <c r="H84" s="208"/>
      <c r="I84" s="208"/>
      <c r="J84" s="201"/>
      <c r="K84" s="201"/>
      <c r="L84" s="198"/>
      <c r="M84" s="281"/>
      <c r="N84" s="175"/>
      <c r="O84" s="175"/>
      <c r="P84" s="175"/>
      <c r="Q84" s="175"/>
      <c r="R84" s="175"/>
      <c r="S84" s="175"/>
      <c r="T84" s="175"/>
      <c r="U84" s="175"/>
      <c r="V84" s="175"/>
      <c r="AL84" s="243"/>
    </row>
    <row r="85" spans="1:38" s="35" customFormat="1" x14ac:dyDescent="0.2">
      <c r="A85" s="35" t="s">
        <v>164</v>
      </c>
      <c r="E85" s="202">
        <f t="shared" ref="E85:L85" si="63">E71+E38-E67</f>
        <v>339220</v>
      </c>
      <c r="F85" s="202">
        <f t="shared" si="63"/>
        <v>334185</v>
      </c>
      <c r="G85" s="202">
        <f t="shared" si="63"/>
        <v>335532</v>
      </c>
      <c r="H85" s="202">
        <f t="shared" si="63"/>
        <v>344546</v>
      </c>
      <c r="I85" s="202">
        <f t="shared" si="63"/>
        <v>349558</v>
      </c>
      <c r="J85" s="202">
        <f t="shared" si="63"/>
        <v>343658</v>
      </c>
      <c r="K85" s="202">
        <f t="shared" si="63"/>
        <v>577118</v>
      </c>
      <c r="L85" s="198">
        <f t="shared" si="63"/>
        <v>489927</v>
      </c>
      <c r="M85" s="281">
        <v>497520</v>
      </c>
      <c r="N85" s="222">
        <f t="shared" ref="N85:Y85" si="64">N71+N38-N67</f>
        <v>405893.45314006024</v>
      </c>
      <c r="O85" s="222">
        <f t="shared" si="64"/>
        <v>389550.39386997721</v>
      </c>
      <c r="P85" s="222">
        <f t="shared" si="64"/>
        <v>375767.36763263971</v>
      </c>
      <c r="Q85" s="222">
        <f t="shared" si="64"/>
        <v>376485.55942022882</v>
      </c>
      <c r="R85" s="222">
        <f t="shared" si="64"/>
        <v>377568.23354001937</v>
      </c>
      <c r="S85" s="222">
        <f t="shared" si="64"/>
        <v>379022.6257742712</v>
      </c>
      <c r="T85" s="222">
        <f t="shared" si="64"/>
        <v>423984.35574832192</v>
      </c>
      <c r="U85" s="222">
        <f t="shared" si="64"/>
        <v>425378.7992644498</v>
      </c>
      <c r="V85" s="222">
        <f t="shared" si="64"/>
        <v>426608.11131156218</v>
      </c>
      <c r="W85" s="222">
        <f t="shared" si="64"/>
        <v>0</v>
      </c>
      <c r="X85" s="222">
        <f t="shared" si="64"/>
        <v>0</v>
      </c>
      <c r="Y85" s="222">
        <f t="shared" si="64"/>
        <v>0</v>
      </c>
      <c r="AL85" s="242"/>
    </row>
    <row r="86" spans="1:38" s="35" customFormat="1" x14ac:dyDescent="0.2">
      <c r="A86" s="140" t="s">
        <v>214</v>
      </c>
      <c r="B86" s="140"/>
      <c r="D86" s="140"/>
      <c r="E86" s="202"/>
      <c r="F86" s="202"/>
      <c r="G86" s="202"/>
      <c r="H86" s="202"/>
      <c r="I86" s="202"/>
      <c r="J86" s="202"/>
      <c r="K86" s="202">
        <f>K74-K67</f>
        <v>156183</v>
      </c>
      <c r="L86" s="198">
        <f t="shared" ref="L86:U86" si="65">L74-L67</f>
        <v>205195</v>
      </c>
      <c r="M86" s="281">
        <v>212911</v>
      </c>
      <c r="N86" s="141">
        <f t="shared" si="65"/>
        <v>182970.60314006027</v>
      </c>
      <c r="O86" s="141">
        <f t="shared" si="65"/>
        <v>186270.23674497718</v>
      </c>
      <c r="P86" s="141">
        <f t="shared" si="65"/>
        <v>188129.01011482731</v>
      </c>
      <c r="Q86" s="141">
        <f t="shared" si="65"/>
        <v>188129.01011482731</v>
      </c>
      <c r="R86" s="141">
        <f t="shared" si="65"/>
        <v>188129.01011482731</v>
      </c>
      <c r="S86" s="141">
        <f t="shared" si="65"/>
        <v>188129.01011482731</v>
      </c>
      <c r="T86" s="141">
        <f t="shared" si="65"/>
        <v>231543.39706440276</v>
      </c>
      <c r="U86" s="141">
        <f t="shared" si="65"/>
        <v>231543.39706440276</v>
      </c>
      <c r="V86" s="141">
        <f t="shared" ref="V86:Y86" si="66">V74-V67</f>
        <v>231543.39706440276</v>
      </c>
      <c r="W86" s="141">
        <f t="shared" si="66"/>
        <v>0</v>
      </c>
      <c r="X86" s="141">
        <f t="shared" si="66"/>
        <v>0</v>
      </c>
      <c r="Y86" s="141">
        <f t="shared" si="66"/>
        <v>0</v>
      </c>
      <c r="AL86" s="242"/>
    </row>
    <row r="87" spans="1:38" s="140" customFormat="1" x14ac:dyDescent="0.2">
      <c r="A87" s="140" t="s">
        <v>232</v>
      </c>
      <c r="C87" s="35"/>
      <c r="E87" s="202">
        <f>E85-(E74-E67)</f>
        <v>139025</v>
      </c>
      <c r="F87" s="202">
        <f t="shared" ref="F87:V87" si="67">F85-(F74-F67)</f>
        <v>139342</v>
      </c>
      <c r="G87" s="202">
        <f t="shared" si="67"/>
        <v>140228</v>
      </c>
      <c r="H87" s="202">
        <f t="shared" si="67"/>
        <v>141105</v>
      </c>
      <c r="I87" s="202">
        <f t="shared" si="67"/>
        <v>141335</v>
      </c>
      <c r="J87" s="202">
        <f t="shared" si="67"/>
        <v>142991</v>
      </c>
      <c r="K87" s="202">
        <f t="shared" si="67"/>
        <v>420935</v>
      </c>
      <c r="L87" s="198">
        <f>L85-(L74-L67)</f>
        <v>284732</v>
      </c>
      <c r="M87" s="281">
        <v>284609</v>
      </c>
      <c r="N87" s="142">
        <f t="shared" si="67"/>
        <v>222922.84999999998</v>
      </c>
      <c r="O87" s="142">
        <f t="shared" si="67"/>
        <v>203280.15712500003</v>
      </c>
      <c r="P87" s="142">
        <f t="shared" si="67"/>
        <v>187638.3575178124</v>
      </c>
      <c r="Q87" s="142">
        <f t="shared" si="67"/>
        <v>188356.54930540151</v>
      </c>
      <c r="R87" s="142">
        <f t="shared" si="67"/>
        <v>189439.22342519206</v>
      </c>
      <c r="S87" s="142">
        <f t="shared" si="67"/>
        <v>190893.61565944389</v>
      </c>
      <c r="T87" s="142">
        <f t="shared" si="67"/>
        <v>192440.95868391916</v>
      </c>
      <c r="U87" s="142">
        <f t="shared" si="67"/>
        <v>193835.40220004704</v>
      </c>
      <c r="V87" s="142">
        <f t="shared" si="67"/>
        <v>195064.71424715943</v>
      </c>
      <c r="W87" s="142">
        <f t="shared" ref="W87:Y87" si="68">W85-(W74-W67)</f>
        <v>0</v>
      </c>
      <c r="X87" s="142">
        <f t="shared" si="68"/>
        <v>0</v>
      </c>
      <c r="Y87" s="142">
        <f t="shared" si="68"/>
        <v>0</v>
      </c>
      <c r="AL87" s="266"/>
    </row>
    <row r="88" spans="1:38" s="35" customFormat="1" x14ac:dyDescent="0.2">
      <c r="A88"/>
      <c r="E88" s="219"/>
      <c r="F88" s="219"/>
      <c r="G88" s="219"/>
      <c r="H88" s="219"/>
      <c r="I88" s="219"/>
      <c r="J88" s="219"/>
      <c r="K88" s="219"/>
      <c r="L88" s="134"/>
      <c r="M88" s="134"/>
      <c r="N88" s="94"/>
      <c r="O88" s="94"/>
      <c r="P88" s="94"/>
      <c r="Q88" s="94"/>
      <c r="R88" s="94"/>
      <c r="S88" s="94"/>
      <c r="T88" s="94"/>
      <c r="U88" s="94"/>
      <c r="V88"/>
      <c r="AL88" s="242"/>
    </row>
    <row r="89" spans="1:38" s="186" customFormat="1" x14ac:dyDescent="0.2">
      <c r="A89" s="169"/>
      <c r="E89" s="194"/>
      <c r="F89" s="194"/>
      <c r="G89" s="194"/>
      <c r="H89" s="194"/>
      <c r="I89" s="194"/>
      <c r="J89" s="194"/>
      <c r="K89" s="194"/>
      <c r="L89" s="220"/>
      <c r="M89" s="220"/>
      <c r="N89" s="194"/>
      <c r="O89" s="194"/>
      <c r="P89" s="194"/>
      <c r="Q89" s="194"/>
      <c r="R89" s="194"/>
      <c r="S89" s="194"/>
      <c r="T89" s="194"/>
      <c r="U89" s="194"/>
      <c r="AL89" s="243"/>
    </row>
    <row r="90" spans="1:38" x14ac:dyDescent="0.2">
      <c r="A90" t="s">
        <v>158</v>
      </c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2"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2"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2"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2"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2"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E2:H2"/>
    <mergeCell ref="A1:B1"/>
    <mergeCell ref="AL1:AO1"/>
    <mergeCell ref="AC2:AE2"/>
    <mergeCell ref="I2:L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38" activePane="bottomRight" state="frozen"/>
      <selection pane="topRight" activeCell="C1" sqref="C1"/>
      <selection pane="bottomLeft" activeCell="A9" sqref="A9"/>
      <selection pane="bottomRight" activeCell="J57" sqref="J57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5" customWidth="1"/>
    <col min="8" max="10" width="9.33203125" style="95" bestFit="1" customWidth="1"/>
    <col min="11" max="11" width="9.33203125" style="145" bestFit="1" customWidth="1"/>
    <col min="13" max="14" width="8.6640625" customWidth="1"/>
    <col min="15" max="15" width="8.6640625" style="145"/>
    <col min="19" max="19" width="8.6640625" style="145"/>
    <col min="23" max="23" width="8.6640625" style="145"/>
    <col min="27" max="27" width="8.6640625" style="145"/>
  </cols>
  <sheetData>
    <row r="1" spans="1:27" ht="19" x14ac:dyDescent="0.25">
      <c r="A1" s="294" t="s">
        <v>208</v>
      </c>
      <c r="B1" s="295"/>
      <c r="C1" s="35"/>
      <c r="H1"/>
      <c r="I1" s="249"/>
      <c r="J1" s="302" t="s">
        <v>283</v>
      </c>
      <c r="V1" s="289"/>
      <c r="W1" s="289"/>
      <c r="X1" s="289"/>
      <c r="Y1" s="289"/>
    </row>
    <row r="2" spans="1:27" x14ac:dyDescent="0.2">
      <c r="A2" s="296" t="s">
        <v>192</v>
      </c>
      <c r="B2" s="125"/>
      <c r="C2" t="s">
        <v>193</v>
      </c>
      <c r="I2" s="250"/>
      <c r="J2" s="302"/>
    </row>
    <row r="3" spans="1:27" x14ac:dyDescent="0.2">
      <c r="A3" s="297"/>
      <c r="B3" s="126"/>
      <c r="C3" t="s">
        <v>194</v>
      </c>
      <c r="I3" s="250"/>
      <c r="J3" s="302"/>
    </row>
    <row r="4" spans="1:27" x14ac:dyDescent="0.2">
      <c r="A4" s="297"/>
      <c r="B4" s="127"/>
      <c r="C4" t="s">
        <v>195</v>
      </c>
    </row>
    <row r="5" spans="1:27" x14ac:dyDescent="0.2">
      <c r="A5" s="298"/>
      <c r="B5" s="128"/>
      <c r="C5" t="s">
        <v>182</v>
      </c>
    </row>
    <row r="7" spans="1:27" x14ac:dyDescent="0.2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0"/>
      <c r="O7" s="299" t="s">
        <v>272</v>
      </c>
      <c r="P7" s="300"/>
      <c r="Q7" s="300"/>
      <c r="R7" s="300"/>
      <c r="S7" s="299" t="s">
        <v>277</v>
      </c>
      <c r="T7" s="300"/>
      <c r="U7" s="300"/>
      <c r="V7" s="300"/>
      <c r="W7" s="299" t="s">
        <v>278</v>
      </c>
      <c r="X7" s="300"/>
      <c r="Y7" s="300"/>
      <c r="Z7" s="300"/>
      <c r="AA7" s="230" t="s">
        <v>279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6" t="s">
        <v>5</v>
      </c>
      <c r="H8" s="96" t="s">
        <v>6</v>
      </c>
      <c r="I8" s="96" t="s">
        <v>7</v>
      </c>
      <c r="J8" s="96" t="s">
        <v>8</v>
      </c>
      <c r="K8" s="146" t="s">
        <v>5</v>
      </c>
      <c r="L8" s="96" t="s">
        <v>6</v>
      </c>
      <c r="M8" s="96" t="s">
        <v>7</v>
      </c>
      <c r="N8" s="96" t="s">
        <v>8</v>
      </c>
      <c r="O8" s="146" t="s">
        <v>5</v>
      </c>
      <c r="P8" s="96" t="s">
        <v>6</v>
      </c>
      <c r="Q8" s="96" t="s">
        <v>7</v>
      </c>
      <c r="R8" s="96" t="s">
        <v>8</v>
      </c>
      <c r="S8" s="146" t="s">
        <v>5</v>
      </c>
      <c r="T8" s="96" t="s">
        <v>6</v>
      </c>
      <c r="U8" s="96" t="s">
        <v>7</v>
      </c>
      <c r="V8" s="96" t="s">
        <v>8</v>
      </c>
      <c r="W8" s="146" t="s">
        <v>5</v>
      </c>
      <c r="X8" s="96" t="s">
        <v>6</v>
      </c>
      <c r="Y8" s="96" t="s">
        <v>7</v>
      </c>
      <c r="Z8" s="96" t="s">
        <v>8</v>
      </c>
      <c r="AA8" s="146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7"/>
      <c r="H9" s="78"/>
      <c r="I9" s="78"/>
      <c r="J9" s="78"/>
      <c r="K9" s="151"/>
      <c r="L9" s="78"/>
      <c r="M9" s="78"/>
      <c r="N9" s="78"/>
      <c r="O9" s="147"/>
      <c r="S9" s="147"/>
      <c r="W9" s="147"/>
      <c r="AA9" s="147"/>
    </row>
    <row r="10" spans="1:27" ht="16" x14ac:dyDescent="0.2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ht="16" x14ac:dyDescent="0.2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5">
        <v>1115.1909072671201</v>
      </c>
      <c r="T11">
        <v>1123.4841097175899</v>
      </c>
      <c r="U11">
        <v>1132.5807379505</v>
      </c>
      <c r="V11">
        <v>1142.84598550333</v>
      </c>
      <c r="W11" s="145">
        <v>1151.10026686124</v>
      </c>
      <c r="X11">
        <v>1159.20847080416</v>
      </c>
      <c r="Y11">
        <v>1167.9009844070299</v>
      </c>
      <c r="Z11">
        <v>1177.2508463773599</v>
      </c>
      <c r="AA11" s="145">
        <v>1186.75511810546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ht="16" x14ac:dyDescent="0.2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2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main!K86/1000</f>
        <v>156.18299999999999</v>
      </c>
      <c r="E24" s="104">
        <f>main!L86/1000</f>
        <v>205.19499999999999</v>
      </c>
      <c r="F24" s="104">
        <f>main!N86/1000</f>
        <v>182.97060314006026</v>
      </c>
      <c r="G24" s="148">
        <f>main!O86/1000</f>
        <v>186.27023674497718</v>
      </c>
      <c r="H24" s="104">
        <f>main!P86/1000</f>
        <v>188.12901011482731</v>
      </c>
      <c r="I24" s="104">
        <f>main!Q86/1000</f>
        <v>188.12901011482731</v>
      </c>
      <c r="J24" s="104">
        <f>main!R86/1000</f>
        <v>188.12901011482731</v>
      </c>
      <c r="K24" s="148">
        <f>main!S86/1000</f>
        <v>188.12901011482731</v>
      </c>
      <c r="L24" s="104">
        <f>main!T86/1000</f>
        <v>231.54339706440277</v>
      </c>
      <c r="M24" s="231">
        <f>main!U86/1000</f>
        <v>231.54339706440277</v>
      </c>
      <c r="N24" s="104">
        <f>M24*(1+N26)</f>
        <v>229.16775203348308</v>
      </c>
      <c r="O24" s="148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8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8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8">
        <f t="shared" si="0"/>
        <v>245.47595506973281</v>
      </c>
      <c r="AB24" s="95"/>
    </row>
    <row r="25" spans="1:28" x14ac:dyDescent="0.2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8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8">
        <f t="shared" si="1"/>
        <v>234.20095430933171</v>
      </c>
      <c r="L25" s="104">
        <f t="shared" si="1"/>
        <v>231.84635912097539</v>
      </c>
      <c r="M25" s="231">
        <f t="shared" si="1"/>
        <v>229.49176393261911</v>
      </c>
      <c r="N25" s="104">
        <f t="shared" si="1"/>
        <v>227.13716874426279</v>
      </c>
      <c r="O25" s="148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8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8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8">
        <f t="shared" si="1"/>
        <v>243.3008699286211</v>
      </c>
      <c r="AB25" s="95"/>
    </row>
    <row r="26" spans="1:28" s="170" customFormat="1" ht="12" x14ac:dyDescent="0.15">
      <c r="B26" s="212" t="s">
        <v>281</v>
      </c>
      <c r="D26" s="236"/>
      <c r="E26" s="251"/>
      <c r="F26" s="251"/>
      <c r="G26" s="237"/>
      <c r="H26" s="251"/>
      <c r="I26" s="251"/>
      <c r="J26" s="251"/>
      <c r="K26" s="255"/>
      <c r="L26" s="238"/>
      <c r="M26" s="238"/>
      <c r="N26" s="238">
        <f t="shared" ref="N26" si="2">(N25/M25)-1</f>
        <v>-1.0260042225513799E-2</v>
      </c>
      <c r="O26" s="255">
        <f t="shared" ref="O26" si="3">(O25/N25)-1</f>
        <v>-1.0264661310263712E-2</v>
      </c>
      <c r="P26" s="238">
        <f t="shared" ref="P26" si="4">(P25/O25)-1</f>
        <v>-1.0371117316932077E-2</v>
      </c>
      <c r="Q26" s="238">
        <f t="shared" ref="Q26" si="5">(Q25/P25)-1</f>
        <v>-1.0479804599895615E-2</v>
      </c>
      <c r="R26" s="238">
        <f t="shared" ref="R26" si="6">(R25/Q25)-1</f>
        <v>-1.0590794052120045E-2</v>
      </c>
      <c r="S26" s="255">
        <f t="shared" ref="S26" si="7">(S25/R25)-1</f>
        <v>1.126849368774363E-2</v>
      </c>
      <c r="T26" s="238">
        <f t="shared" ref="T26" si="8">(T25/S25)-1</f>
        <v>1.1142929655260092E-2</v>
      </c>
      <c r="U26" s="238">
        <f t="shared" ref="U26" si="9">(U25/T25)-1</f>
        <v>1.1020133087475514E-2</v>
      </c>
      <c r="V26" s="238">
        <f t="shared" ref="V26" si="10">(V25/U25)-1</f>
        <v>1.0900013488180482E-2</v>
      </c>
      <c r="W26" s="255">
        <f t="shared" ref="W26" si="11">(W25/V25)-1</f>
        <v>1.3658909182322043E-2</v>
      </c>
      <c r="X26" s="238">
        <f t="shared" ref="X26" si="12">(X25/W25)-1</f>
        <v>1.3474857329808909E-2</v>
      </c>
      <c r="Y26" s="238">
        <f t="shared" ref="Y26" si="13">(Y25/X25)-1</f>
        <v>1.3295699673607775E-2</v>
      </c>
      <c r="Z26" s="238">
        <f t="shared" ref="Z26" si="14">(Z25/Y25)-1</f>
        <v>1.3121243559890416E-2</v>
      </c>
      <c r="AA26" s="255">
        <f t="shared" ref="AA26" si="15">(AA25/Z25)-1</f>
        <v>1.3477077828852435E-2</v>
      </c>
      <c r="AB26" s="252"/>
    </row>
    <row r="27" spans="1:28" s="97" customFormat="1" x14ac:dyDescent="0.2">
      <c r="B27" s="99" t="s">
        <v>179</v>
      </c>
      <c r="D27" s="103"/>
      <c r="E27" s="224"/>
      <c r="F27" s="224">
        <f t="shared" ref="F27" si="16">F24-F25</f>
        <v>-22.257396859939746</v>
      </c>
      <c r="G27" s="149">
        <f t="shared" ref="G27" si="17">G24-G25</f>
        <v>-26.789650629444708</v>
      </c>
      <c r="H27" s="224">
        <f t="shared" ref="H27" si="18">H24-H25</f>
        <v>-32.762764634016577</v>
      </c>
      <c r="I27" s="224">
        <f t="shared" ref="I27" si="19">I24-I25</f>
        <v>-40.594652008438686</v>
      </c>
      <c r="J27" s="224">
        <f t="shared" ref="J27" si="20">J24-J25</f>
        <v>-48.426539382860597</v>
      </c>
      <c r="K27" s="149">
        <f t="shared" ref="K27:AA27" si="21">K24-K25</f>
        <v>-46.071944194504397</v>
      </c>
      <c r="L27" s="224">
        <f t="shared" si="21"/>
        <v>-0.30296205657262476</v>
      </c>
      <c r="M27" s="248">
        <f t="shared" si="21"/>
        <v>2.0516331317836602</v>
      </c>
      <c r="N27" s="224">
        <f t="shared" si="21"/>
        <v>2.0305832892202886</v>
      </c>
      <c r="O27" s="149">
        <f t="shared" si="21"/>
        <v>2.0097400394941758</v>
      </c>
      <c r="P27" s="224">
        <f t="shared" si="21"/>
        <v>1.9888967897680345</v>
      </c>
      <c r="Q27" s="224">
        <f t="shared" si="21"/>
        <v>1.9680535400418933</v>
      </c>
      <c r="R27" s="224">
        <f t="shared" si="21"/>
        <v>1.9472102903157804</v>
      </c>
      <c r="S27" s="149">
        <f t="shared" si="21"/>
        <v>1.9691524171809078</v>
      </c>
      <c r="T27" s="224">
        <f t="shared" si="21"/>
        <v>1.9910945440460637</v>
      </c>
      <c r="U27" s="224">
        <f t="shared" si="21"/>
        <v>2.0130366709111911</v>
      </c>
      <c r="V27" s="224">
        <f t="shared" si="21"/>
        <v>2.0349787977763469</v>
      </c>
      <c r="W27" s="149">
        <f t="shared" si="21"/>
        <v>2.0627743883631524</v>
      </c>
      <c r="X27" s="224">
        <f t="shared" si="21"/>
        <v>2.0905699789499579</v>
      </c>
      <c r="Y27" s="224">
        <f t="shared" si="21"/>
        <v>2.1183655695367065</v>
      </c>
      <c r="Z27" s="224">
        <f t="shared" si="21"/>
        <v>2.1461611601234836</v>
      </c>
      <c r="AA27" s="149">
        <f t="shared" si="21"/>
        <v>2.1750851411117083</v>
      </c>
      <c r="AB27" s="253"/>
    </row>
    <row r="28" spans="1:28" x14ac:dyDescent="0.2">
      <c r="D28" s="102"/>
      <c r="E28" s="104"/>
      <c r="F28" s="104"/>
      <c r="G28" s="148"/>
      <c r="H28" s="104"/>
      <c r="I28" s="104"/>
      <c r="J28" s="104"/>
      <c r="K28" s="148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8"/>
      <c r="H29" s="104"/>
      <c r="I29" s="104"/>
      <c r="J29" s="104"/>
      <c r="K29" s="148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8"/>
      <c r="H30" s="104"/>
      <c r="I30" s="104"/>
      <c r="J30" s="104"/>
      <c r="K30" s="148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main!K87/1000</f>
        <v>420.935</v>
      </c>
      <c r="F31" s="104">
        <f>main!L87/1000</f>
        <v>284.73200000000003</v>
      </c>
      <c r="G31" s="104">
        <f>main!N87/1000</f>
        <v>222.92284999999998</v>
      </c>
      <c r="H31" s="104">
        <f>main!O87/1000</f>
        <v>203.28015712500002</v>
      </c>
      <c r="I31" s="104">
        <f>main!P87/1000</f>
        <v>187.63835751781241</v>
      </c>
      <c r="J31" s="104">
        <f>main!Q87/1000</f>
        <v>188.3565493054015</v>
      </c>
      <c r="K31" s="104">
        <f>main!R87/1000</f>
        <v>189.43922342519207</v>
      </c>
      <c r="L31" s="104">
        <f>main!S87/1000</f>
        <v>190.8936156594439</v>
      </c>
      <c r="M31" s="104">
        <f>L31*(1 + M33)</f>
        <v>196.6039455094818</v>
      </c>
      <c r="N31" s="104">
        <f t="shared" ref="N31:AA31" si="22">M31*(1 + N33)</f>
        <v>201.92945643912574</v>
      </c>
      <c r="O31" s="104">
        <f t="shared" si="22"/>
        <v>206.82154024469929</v>
      </c>
      <c r="P31" s="104">
        <f t="shared" si="22"/>
        <v>242.80935879117246</v>
      </c>
      <c r="Q31" s="104">
        <f t="shared" si="22"/>
        <v>248.2396911085703</v>
      </c>
      <c r="R31" s="104">
        <f t="shared" si="22"/>
        <v>253.63657746143045</v>
      </c>
      <c r="S31" s="104">
        <f t="shared" si="22"/>
        <v>255.33471782645819</v>
      </c>
      <c r="T31" s="104">
        <f t="shared" si="22"/>
        <v>257.23353397871472</v>
      </c>
      <c r="U31" s="104">
        <f t="shared" si="22"/>
        <v>259.31630293592781</v>
      </c>
      <c r="V31" s="104">
        <f t="shared" si="22"/>
        <v>261.666639609443</v>
      </c>
      <c r="W31" s="104">
        <f t="shared" si="22"/>
        <v>263.5565443671378</v>
      </c>
      <c r="X31" s="104">
        <f t="shared" si="22"/>
        <v>265.41300316029486</v>
      </c>
      <c r="Y31" s="104">
        <f t="shared" si="22"/>
        <v>267.40324581160064</v>
      </c>
      <c r="Z31" s="104">
        <f t="shared" si="22"/>
        <v>269.54399530332751</v>
      </c>
      <c r="AA31" s="104">
        <f t="shared" si="22"/>
        <v>271.72009853733562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8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8">
        <f t="shared" si="23"/>
        <v>809.82173278252503</v>
      </c>
      <c r="L32" s="231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8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8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8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8">
        <f t="shared" si="23"/>
        <v>1186.75511810546</v>
      </c>
      <c r="AB32" s="95"/>
    </row>
    <row r="33" spans="1:28" s="170" customFormat="1" ht="12" x14ac:dyDescent="0.15">
      <c r="B33" s="212" t="s">
        <v>281</v>
      </c>
      <c r="D33" s="236"/>
      <c r="E33" s="251"/>
      <c r="F33" s="251"/>
      <c r="G33" s="237"/>
      <c r="H33" s="251"/>
      <c r="I33" s="251"/>
      <c r="J33" s="251"/>
      <c r="K33" s="255"/>
      <c r="L33" s="238"/>
      <c r="M33" s="238">
        <f t="shared" ref="M33" si="24">(M32/L32)-1</f>
        <v>2.9913676422920199E-2</v>
      </c>
      <c r="N33" s="238">
        <f t="shared" ref="N33" si="25">(N32/M32)-1</f>
        <v>2.7087507912638031E-2</v>
      </c>
      <c r="O33" s="255">
        <f t="shared" ref="O33" si="26">(O32/N32)-1</f>
        <v>2.4226697242897499E-2</v>
      </c>
      <c r="P33" s="238">
        <f t="shared" ref="P33" si="27">(P32/O32)-1</f>
        <v>0.17400420915488035</v>
      </c>
      <c r="Q33" s="238">
        <f t="shared" ref="Q33" si="28">(Q32/P32)-1</f>
        <v>2.2364592305802233E-2</v>
      </c>
      <c r="R33" s="238">
        <f t="shared" ref="R33" si="29">(R32/Q32)-1</f>
        <v>2.1740626282441555E-2</v>
      </c>
      <c r="S33" s="255">
        <f t="shared" ref="S33" si="30">(S32/R32)-1</f>
        <v>6.6951714221343828E-3</v>
      </c>
      <c r="T33" s="238">
        <f t="shared" ref="T33" si="31">(T32/S32)-1</f>
        <v>7.4365764609694018E-3</v>
      </c>
      <c r="U33" s="238">
        <f t="shared" ref="U33" si="32">(U32/T32)-1</f>
        <v>8.0968018632650018E-3</v>
      </c>
      <c r="V33" s="238">
        <f t="shared" ref="V33" si="33">(V32/U32)-1</f>
        <v>9.0635900901916422E-3</v>
      </c>
      <c r="W33" s="255">
        <f t="shared" ref="W33" si="34">(W32/V32)-1</f>
        <v>7.2225666998118054E-3</v>
      </c>
      <c r="X33" s="238">
        <f t="shared" ref="X33" si="35">(X32/W32)-1</f>
        <v>7.0438728721946564E-3</v>
      </c>
      <c r="Y33" s="238">
        <f t="shared" ref="Y33" si="36">(Y32/X32)-1</f>
        <v>7.4986629426885276E-3</v>
      </c>
      <c r="Z33" s="238">
        <f t="shared" ref="Z33" si="37">(Z32/Y32)-1</f>
        <v>8.0056974822031446E-3</v>
      </c>
      <c r="AA33" s="255">
        <f t="shared" ref="AA33" si="38">(AA32/Z32)-1</f>
        <v>8.0732766150448665E-3</v>
      </c>
      <c r="AB33" s="252"/>
    </row>
    <row r="34" spans="1:28" s="97" customFormat="1" x14ac:dyDescent="0.2">
      <c r="B34" s="99" t="s">
        <v>179</v>
      </c>
      <c r="D34" s="103"/>
      <c r="E34" s="224"/>
      <c r="F34" s="224">
        <f t="shared" ref="F34" si="39">F31-F32</f>
        <v>-591.10500000000002</v>
      </c>
      <c r="G34" s="149">
        <f t="shared" ref="G34" si="40">G31-G32</f>
        <v>-630.45068126596811</v>
      </c>
      <c r="H34" s="224">
        <f t="shared" ref="H34" si="41">H31-H32</f>
        <v>-627.6397000131858</v>
      </c>
      <c r="I34" s="224">
        <f t="shared" ref="I34" si="42">I31-I32</f>
        <v>-620.837644585357</v>
      </c>
      <c r="J34" s="224">
        <f t="shared" ref="J34" si="43">J31-J32</f>
        <v>-601.63274124276234</v>
      </c>
      <c r="K34" s="149">
        <f t="shared" ref="K34:N34" si="44">K31-K32</f>
        <v>-620.38250935733299</v>
      </c>
      <c r="L34" s="248">
        <f t="shared" si="44"/>
        <v>-642.84660678631462</v>
      </c>
      <c r="M34" s="224">
        <f t="shared" si="44"/>
        <v>-662.07651217129251</v>
      </c>
      <c r="N34" s="224">
        <f t="shared" si="44"/>
        <v>-680.01051493350417</v>
      </c>
      <c r="O34" s="149">
        <f t="shared" ref="O34:AA34" si="45">O31-O32</f>
        <v>-696.48492380078505</v>
      </c>
      <c r="P34" s="149">
        <f t="shared" si="45"/>
        <v>-817.67623215503761</v>
      </c>
      <c r="Q34" s="149">
        <f t="shared" si="45"/>
        <v>-835.96322772532972</v>
      </c>
      <c r="R34" s="149">
        <f t="shared" si="45"/>
        <v>-854.1375918451696</v>
      </c>
      <c r="S34" s="149">
        <f t="shared" si="45"/>
        <v>-859.85618944066186</v>
      </c>
      <c r="T34" s="149">
        <f t="shared" si="45"/>
        <v>-866.25057573887523</v>
      </c>
      <c r="U34" s="149">
        <f t="shared" si="45"/>
        <v>-873.2644350145722</v>
      </c>
      <c r="V34" s="149">
        <f t="shared" si="45"/>
        <v>-881.17934589388699</v>
      </c>
      <c r="W34" s="149">
        <f t="shared" si="45"/>
        <v>-887.54372249410221</v>
      </c>
      <c r="X34" s="149">
        <f t="shared" si="45"/>
        <v>-893.79546764386509</v>
      </c>
      <c r="Y34" s="149">
        <f t="shared" si="45"/>
        <v>-900.49773859542927</v>
      </c>
      <c r="Z34" s="149">
        <f t="shared" si="45"/>
        <v>-907.70685107403244</v>
      </c>
      <c r="AA34" s="149">
        <f t="shared" si="45"/>
        <v>-915.03501956812443</v>
      </c>
      <c r="AB34" s="253"/>
    </row>
    <row r="35" spans="1:28" s="97" customFormat="1" x14ac:dyDescent="0.2">
      <c r="B35" s="99"/>
      <c r="D35" s="103"/>
      <c r="E35" s="224"/>
      <c r="F35" s="224"/>
      <c r="G35" s="149"/>
      <c r="H35" s="224"/>
      <c r="I35" s="224"/>
      <c r="J35" s="224"/>
      <c r="K35" s="149"/>
      <c r="L35" s="224"/>
      <c r="M35" s="224"/>
      <c r="N35" s="224"/>
      <c r="O35" s="182"/>
      <c r="P35" s="253"/>
      <c r="Q35" s="253"/>
      <c r="R35" s="253"/>
      <c r="S35" s="182"/>
      <c r="T35" s="253"/>
      <c r="U35" s="253"/>
      <c r="V35" s="253"/>
      <c r="W35" s="182"/>
      <c r="X35" s="253"/>
      <c r="Y35" s="253"/>
      <c r="Z35" s="253"/>
      <c r="AA35" s="182"/>
      <c r="AB35" s="253"/>
    </row>
    <row r="36" spans="1:28" s="97" customFormat="1" x14ac:dyDescent="0.2">
      <c r="B36" s="99"/>
      <c r="D36" s="103"/>
      <c r="E36" s="224"/>
      <c r="F36" s="224"/>
      <c r="G36" s="149"/>
      <c r="H36" s="224"/>
      <c r="I36" s="224"/>
      <c r="J36" s="224"/>
      <c r="K36" s="149"/>
      <c r="L36" s="224"/>
      <c r="M36" s="224"/>
      <c r="N36" s="224"/>
      <c r="O36" s="182"/>
      <c r="P36" s="253"/>
      <c r="Q36" s="253"/>
      <c r="R36" s="253"/>
      <c r="S36" s="182"/>
      <c r="T36" s="253"/>
      <c r="U36" s="253"/>
      <c r="V36" s="253"/>
      <c r="W36" s="182"/>
      <c r="X36" s="253"/>
      <c r="Y36" s="253"/>
      <c r="Z36" s="253"/>
      <c r="AA36" s="182"/>
      <c r="AB36" s="253"/>
    </row>
    <row r="37" spans="1:28" ht="19" x14ac:dyDescent="0.25">
      <c r="A37" s="110" t="s">
        <v>184</v>
      </c>
      <c r="B37" s="110"/>
      <c r="D37" s="102"/>
      <c r="E37" s="104"/>
      <c r="F37" s="104"/>
      <c r="G37" s="148"/>
      <c r="H37" s="104"/>
      <c r="I37" s="104"/>
      <c r="J37" s="104"/>
      <c r="K37" s="148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main!K22</f>
        <v>1779.8019999999999</v>
      </c>
      <c r="F38" s="104">
        <f>main!L22</f>
        <v>1836.9459999999999</v>
      </c>
      <c r="G38" s="148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8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8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8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4"/>
      <c r="F40" s="224">
        <f>F38-F39</f>
        <v>4.5999999999821739E-2</v>
      </c>
      <c r="G40" s="149">
        <f t="shared" ref="G40:K40" si="47">G38-G39</f>
        <v>9.1220108456809612E-2</v>
      </c>
      <c r="H40" s="224">
        <f t="shared" si="47"/>
        <v>9.2732986063538192E-2</v>
      </c>
      <c r="I40" s="224">
        <f t="shared" si="47"/>
        <v>9.4207574237998415E-2</v>
      </c>
      <c r="J40" s="224">
        <f t="shared" si="47"/>
        <v>9.5783673922369417E-2</v>
      </c>
      <c r="K40" s="149">
        <f t="shared" si="47"/>
        <v>9.6839304535023984E-2</v>
      </c>
      <c r="L40" s="224">
        <v>0</v>
      </c>
      <c r="M40" s="224">
        <v>0</v>
      </c>
      <c r="N40" s="224">
        <v>0</v>
      </c>
      <c r="O40" s="149">
        <v>0</v>
      </c>
      <c r="P40" s="224">
        <v>0</v>
      </c>
      <c r="Q40" s="224">
        <v>0</v>
      </c>
      <c r="R40" s="224">
        <v>0</v>
      </c>
      <c r="S40" s="149">
        <v>0</v>
      </c>
      <c r="T40" s="224">
        <v>0</v>
      </c>
      <c r="U40" s="224">
        <v>0</v>
      </c>
      <c r="V40" s="224">
        <v>0</v>
      </c>
      <c r="W40" s="149">
        <v>0</v>
      </c>
      <c r="X40" s="224">
        <v>0</v>
      </c>
      <c r="Y40" s="224">
        <v>0</v>
      </c>
      <c r="Z40" s="224">
        <v>0</v>
      </c>
      <c r="AA40" s="149">
        <v>0</v>
      </c>
      <c r="AB40" s="253"/>
    </row>
    <row r="41" spans="1:28" x14ac:dyDescent="0.2">
      <c r="D41" s="102"/>
      <c r="E41" s="104"/>
      <c r="F41" s="104"/>
      <c r="G41" s="148"/>
      <c r="H41" s="104"/>
      <c r="I41" s="104"/>
      <c r="J41" s="104"/>
      <c r="K41" s="148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8"/>
      <c r="H42" s="104"/>
      <c r="I42" s="104"/>
      <c r="J42" s="104"/>
      <c r="K42" s="148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8"/>
      <c r="H43" s="104"/>
      <c r="I43" s="104"/>
      <c r="J43" s="104"/>
      <c r="K43" s="148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main!K26</f>
        <v>54.2</v>
      </c>
      <c r="F44" s="104">
        <f>main!L26</f>
        <v>79.099999999999994</v>
      </c>
      <c r="G44" s="148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8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8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8">
        <f t="shared" si="48"/>
        <v>85.670659881289055</v>
      </c>
      <c r="L45" s="104"/>
      <c r="M45" s="104"/>
      <c r="N45" s="104"/>
      <c r="O45" s="148"/>
      <c r="P45" s="104"/>
      <c r="Q45" s="104"/>
      <c r="R45" s="104"/>
      <c r="S45" s="148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4"/>
      <c r="F46" s="224">
        <f>F44-F45</f>
        <v>0</v>
      </c>
      <c r="G46" s="149">
        <f t="shared" ref="G46:K46" si="49">G44-G45</f>
        <v>1.9071502101439819E-3</v>
      </c>
      <c r="H46" s="224">
        <f t="shared" si="49"/>
        <v>1.9387801313541786E-3</v>
      </c>
      <c r="I46" s="224">
        <f t="shared" si="49"/>
        <v>1.969609530561911E-3</v>
      </c>
      <c r="J46" s="224">
        <f t="shared" si="49"/>
        <v>2.0025612436285201E-3</v>
      </c>
      <c r="K46" s="149">
        <f t="shared" si="49"/>
        <v>2.024631444953684E-3</v>
      </c>
      <c r="L46" s="224">
        <v>0</v>
      </c>
      <c r="M46" s="224">
        <v>0</v>
      </c>
      <c r="N46" s="224">
        <v>0</v>
      </c>
      <c r="O46" s="149">
        <v>0</v>
      </c>
      <c r="P46" s="224">
        <v>0</v>
      </c>
      <c r="Q46" s="224">
        <v>0</v>
      </c>
      <c r="R46" s="224">
        <v>0</v>
      </c>
      <c r="S46" s="149">
        <v>0</v>
      </c>
      <c r="T46" s="224">
        <v>0</v>
      </c>
      <c r="U46" s="224">
        <v>0</v>
      </c>
      <c r="V46" s="224">
        <v>0</v>
      </c>
      <c r="W46" s="149">
        <v>0</v>
      </c>
      <c r="X46" s="224">
        <v>0</v>
      </c>
      <c r="Y46" s="224">
        <v>0</v>
      </c>
      <c r="Z46" s="224">
        <v>0</v>
      </c>
      <c r="AA46" s="149">
        <v>0</v>
      </c>
      <c r="AB46" s="253"/>
    </row>
    <row r="47" spans="1:28" x14ac:dyDescent="0.2">
      <c r="D47" s="102"/>
      <c r="E47" s="104"/>
      <c r="F47" s="104"/>
      <c r="G47" s="148"/>
      <c r="H47" s="104"/>
      <c r="I47" s="104"/>
      <c r="J47" s="104"/>
      <c r="K47" s="148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8"/>
      <c r="H48" s="104"/>
      <c r="I48" s="104"/>
      <c r="J48" s="104"/>
      <c r="K48" s="148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8"/>
      <c r="H49" s="104"/>
      <c r="I49" s="104"/>
      <c r="J49" s="104"/>
      <c r="K49" s="148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main!K69/1000</f>
        <v>1336.6980000000001</v>
      </c>
      <c r="F50" s="104">
        <f>main!L69/1000</f>
        <v>1328.8050000000001</v>
      </c>
      <c r="G50" s="148">
        <f>main!N69/1000</f>
        <v>1373.8156728590002</v>
      </c>
      <c r="H50" s="104">
        <f>main!O69/1000</f>
        <v>1393.6535067068824</v>
      </c>
      <c r="I50" s="104">
        <f>main!P69/1000</f>
        <v>1409.5183603139265</v>
      </c>
      <c r="J50" s="231">
        <f>main!Q69/1000</f>
        <v>1420.2223552427586</v>
      </c>
      <c r="K50" s="148">
        <f>J50*(1+K52)</f>
        <v>1456.3521805721477</v>
      </c>
      <c r="L50" s="104">
        <f t="shared" ref="L50:AA50" si="50">K50*(1+L52)</f>
        <v>1492.4820059015367</v>
      </c>
      <c r="M50" s="104">
        <f t="shared" si="50"/>
        <v>1528.6118312309259</v>
      </c>
      <c r="N50" s="104">
        <f t="shared" si="50"/>
        <v>1564.7416565603151</v>
      </c>
      <c r="O50" s="148">
        <f t="shared" si="50"/>
        <v>1569.166071496194</v>
      </c>
      <c r="P50" s="104">
        <f t="shared" si="50"/>
        <v>1573.5904864320726</v>
      </c>
      <c r="Q50" s="104">
        <f t="shared" si="50"/>
        <v>1578.0149013679513</v>
      </c>
      <c r="R50" s="104">
        <f t="shared" si="50"/>
        <v>1582.4393163038303</v>
      </c>
      <c r="S50" s="148">
        <f t="shared" si="50"/>
        <v>1594.4899061049841</v>
      </c>
      <c r="T50" s="104">
        <f t="shared" si="50"/>
        <v>1606.5404959061379</v>
      </c>
      <c r="U50" s="104">
        <f t="shared" si="50"/>
        <v>1618.5910857072909</v>
      </c>
      <c r="V50" s="104">
        <f t="shared" si="50"/>
        <v>1630.6416755084458</v>
      </c>
      <c r="W50" s="148">
        <f t="shared" si="50"/>
        <v>1669.5855382015102</v>
      </c>
      <c r="X50" s="104">
        <f t="shared" si="50"/>
        <v>1708.5294008945755</v>
      </c>
      <c r="Y50" s="104">
        <f t="shared" si="50"/>
        <v>1747.4732635876398</v>
      </c>
      <c r="Z50" s="104">
        <f t="shared" si="50"/>
        <v>1786.4171262807042</v>
      </c>
      <c r="AA50" s="148">
        <f t="shared" si="50"/>
        <v>1815.5043883220089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8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1">
        <f t="shared" si="51"/>
        <v>1351.810500920142</v>
      </c>
      <c r="K51" s="148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8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8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8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8">
        <f t="shared" si="51"/>
        <v>1728.0518698642729</v>
      </c>
      <c r="AB51" s="95"/>
    </row>
    <row r="52" spans="1:28" s="170" customFormat="1" ht="12" x14ac:dyDescent="0.15">
      <c r="B52" s="212" t="s">
        <v>281</v>
      </c>
      <c r="D52" s="236"/>
      <c r="E52" s="251"/>
      <c r="F52" s="251"/>
      <c r="G52" s="237"/>
      <c r="H52" s="251"/>
      <c r="I52" s="251"/>
      <c r="J52" s="251"/>
      <c r="K52" s="255">
        <f t="shared" ref="K52" si="52">(K51/J51)-1</f>
        <v>2.5439555430187166E-2</v>
      </c>
      <c r="L52" s="238">
        <f t="shared" ref="L52" si="53">(L51/K51)-1</f>
        <v>2.4808439751980105E-2</v>
      </c>
      <c r="M52" s="238">
        <f t="shared" ref="M52" si="54">(M51/L51)-1</f>
        <v>2.4207880019005534E-2</v>
      </c>
      <c r="N52" s="238">
        <f t="shared" ref="N52" si="55">(N51/M51)-1</f>
        <v>2.3635709596919297E-2</v>
      </c>
      <c r="O52" s="255">
        <f t="shared" ref="O52" si="56">(O51/N51)-1</f>
        <v>2.8275689583192598E-3</v>
      </c>
      <c r="P52" s="238">
        <f t="shared" ref="P52" si="57">(P51/O51)-1</f>
        <v>2.8195963551900238E-3</v>
      </c>
      <c r="Q52" s="238">
        <f t="shared" ref="Q52" si="58">(Q51/P51)-1</f>
        <v>2.8116685846968359E-3</v>
      </c>
      <c r="R52" s="238">
        <f t="shared" ref="R52" si="59">(R51/Q51)-1</f>
        <v>2.8037852697357923E-3</v>
      </c>
      <c r="S52" s="255">
        <f t="shared" ref="S52" si="60">(S51/R51)-1</f>
        <v>7.6151986853441045E-3</v>
      </c>
      <c r="T52" s="238">
        <f t="shared" ref="T52" si="61">(T51/S51)-1</f>
        <v>7.5576457116564022E-3</v>
      </c>
      <c r="U52" s="238">
        <f t="shared" ref="U52" si="62">(U51/T51)-1</f>
        <v>7.5009561426311322E-3</v>
      </c>
      <c r="V52" s="238">
        <f t="shared" ref="V52" si="63">(V51/U51)-1</f>
        <v>7.4451106938409062E-3</v>
      </c>
      <c r="W52" s="255">
        <f t="shared" ref="W52" si="64">(W51/V51)-1</f>
        <v>2.3882538560117128E-2</v>
      </c>
      <c r="X52" s="238">
        <f t="shared" ref="X52" si="65">(X51/W51)-1</f>
        <v>2.3325467190507654E-2</v>
      </c>
      <c r="Y52" s="238">
        <f t="shared" ref="Y52" si="66">(Y51/X51)-1</f>
        <v>2.2793791358037829E-2</v>
      </c>
      <c r="Z52" s="238">
        <f t="shared" ref="Z52" si="67">(Z51/Y51)-1</f>
        <v>2.2285813182120418E-2</v>
      </c>
      <c r="AA52" s="255">
        <f t="shared" ref="AA52" si="68">(AA51/Z51)-1</f>
        <v>1.6282458118761944E-2</v>
      </c>
      <c r="AB52" s="252"/>
    </row>
    <row r="53" spans="1:28" s="97" customFormat="1" x14ac:dyDescent="0.2">
      <c r="B53" s="99" t="s">
        <v>179</v>
      </c>
      <c r="D53" s="103"/>
      <c r="E53" s="224"/>
      <c r="F53" s="224">
        <f t="shared" ref="F53" si="69">F50-F51</f>
        <v>3.3000000000129148E-2</v>
      </c>
      <c r="G53" s="149">
        <f t="shared" ref="G53" si="70">G50-G51</f>
        <v>39.284047628965254</v>
      </c>
      <c r="H53" s="224">
        <f t="shared" ref="H53" si="71">H50-H51</f>
        <v>53.362256246811285</v>
      </c>
      <c r="I53" s="224">
        <f t="shared" ref="I53" si="72">I50-I51</f>
        <v>63.467484623819473</v>
      </c>
      <c r="J53" s="248">
        <f t="shared" ref="J53" si="73">J50-J51</f>
        <v>68.411854322616591</v>
      </c>
      <c r="K53" s="149">
        <f t="shared" ref="K53:AA53" si="74">K50-K51</f>
        <v>70.152221482738696</v>
      </c>
      <c r="L53" s="224">
        <f t="shared" si="74"/>
        <v>71.892588642860801</v>
      </c>
      <c r="M53" s="224">
        <f t="shared" si="74"/>
        <v>73.632955802982906</v>
      </c>
      <c r="N53" s="224">
        <f t="shared" si="74"/>
        <v>75.373322963105011</v>
      </c>
      <c r="O53" s="149">
        <f t="shared" si="74"/>
        <v>75.586446231400942</v>
      </c>
      <c r="P53" s="224">
        <f t="shared" si="74"/>
        <v>75.799569499696645</v>
      </c>
      <c r="Q53" s="224">
        <f t="shared" si="74"/>
        <v>76.012692767992348</v>
      </c>
      <c r="R53" s="224">
        <f t="shared" si="74"/>
        <v>76.225816036288279</v>
      </c>
      <c r="S53" s="149">
        <f t="shared" si="74"/>
        <v>76.806290770357236</v>
      </c>
      <c r="T53" s="224">
        <f t="shared" si="74"/>
        <v>77.386765504425966</v>
      </c>
      <c r="U53" s="224">
        <f t="shared" si="74"/>
        <v>77.967240238494924</v>
      </c>
      <c r="V53" s="224">
        <f t="shared" si="74"/>
        <v>78.547714972563881</v>
      </c>
      <c r="W53" s="149">
        <f t="shared" si="74"/>
        <v>80.42363380420511</v>
      </c>
      <c r="X53" s="224">
        <f t="shared" si="74"/>
        <v>82.299552635846567</v>
      </c>
      <c r="Y53" s="224">
        <f t="shared" si="74"/>
        <v>84.175471467487796</v>
      </c>
      <c r="Z53" s="224">
        <f t="shared" si="74"/>
        <v>86.051390299129253</v>
      </c>
      <c r="AA53" s="149">
        <f t="shared" si="74"/>
        <v>87.452518457736005</v>
      </c>
      <c r="AB53" s="253"/>
    </row>
    <row r="54" spans="1:28" x14ac:dyDescent="0.2">
      <c r="D54" s="102"/>
      <c r="E54" s="104"/>
      <c r="F54" s="104"/>
      <c r="G54" s="148"/>
      <c r="H54" s="104"/>
      <c r="I54" s="104"/>
      <c r="J54" s="104"/>
      <c r="K54" s="148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8"/>
      <c r="H55" s="104"/>
      <c r="I55" s="104"/>
      <c r="J55" s="104"/>
      <c r="K55" s="148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8"/>
      <c r="H56" s="104"/>
      <c r="I56" s="104"/>
      <c r="J56" s="104"/>
      <c r="K56" s="148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main!J68/1000</f>
        <v>1574.462</v>
      </c>
      <c r="E57" s="104">
        <f>main!K68/1000</f>
        <v>3713.565333333333</v>
      </c>
      <c r="F57" s="104">
        <f>main!L68/1000</f>
        <v>2508.7139999999999</v>
      </c>
      <c r="G57" s="148">
        <f>main!N68/1000</f>
        <v>1966.5974866534179</v>
      </c>
      <c r="H57" s="104">
        <f>main!O68/1000</f>
        <v>1887.9427957109897</v>
      </c>
      <c r="I57" s="104">
        <f>main!P68/1000</f>
        <v>1799.2309611612814</v>
      </c>
      <c r="J57" s="104">
        <f>main!Q68/1000</f>
        <v>1662.9892289525719</v>
      </c>
      <c r="K57" s="273">
        <f>main!R68/1000</f>
        <v>1659.2890673868606</v>
      </c>
      <c r="L57" s="104">
        <f>K57*(1+L59)</f>
        <v>1666.6590205531852</v>
      </c>
      <c r="M57" s="104">
        <f t="shared" ref="M57:AA57" si="75">L57*(1+M59)</f>
        <v>1654.1233225320043</v>
      </c>
      <c r="N57" s="104">
        <f t="shared" si="75"/>
        <v>1614.0246827555854</v>
      </c>
      <c r="O57" s="104">
        <f t="shared" si="75"/>
        <v>1613.2462308130598</v>
      </c>
      <c r="P57" s="104">
        <f t="shared" si="75"/>
        <v>1613.2462308130598</v>
      </c>
      <c r="Q57" s="104">
        <f t="shared" si="75"/>
        <v>1613.2462308130598</v>
      </c>
      <c r="R57" s="104">
        <f t="shared" si="75"/>
        <v>1613.2462308130598</v>
      </c>
      <c r="S57" s="104">
        <f t="shared" si="75"/>
        <v>1613.2462308130598</v>
      </c>
      <c r="T57" s="104">
        <f t="shared" si="75"/>
        <v>1613.2462308130598</v>
      </c>
      <c r="U57" s="104">
        <f t="shared" si="75"/>
        <v>1613.2462308130598</v>
      </c>
      <c r="V57" s="104">
        <f t="shared" si="75"/>
        <v>1613.2462308130598</v>
      </c>
      <c r="W57" s="104">
        <f t="shared" si="75"/>
        <v>1613.2462308130598</v>
      </c>
      <c r="X57" s="104">
        <f t="shared" si="75"/>
        <v>1613.2462308130598</v>
      </c>
      <c r="Y57" s="104">
        <f t="shared" si="75"/>
        <v>1613.2462308130598</v>
      </c>
      <c r="Z57" s="104">
        <f t="shared" si="75"/>
        <v>1613.2462308130598</v>
      </c>
      <c r="AA57" s="104">
        <f t="shared" si="75"/>
        <v>1613.2462308130598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8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3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8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8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8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8">
        <f t="shared" si="76"/>
        <v>1162.3330694430681</v>
      </c>
      <c r="AB58" s="95"/>
    </row>
    <row r="59" spans="1:28" s="170" customFormat="1" ht="12" x14ac:dyDescent="0.15">
      <c r="B59" s="212" t="s">
        <v>281</v>
      </c>
      <c r="D59" s="236"/>
      <c r="E59" s="251"/>
      <c r="F59" s="251"/>
      <c r="G59" s="237"/>
      <c r="H59" s="251"/>
      <c r="I59" s="251"/>
      <c r="J59" s="251"/>
      <c r="K59" s="255"/>
      <c r="L59" s="238">
        <f t="shared" ref="L59" si="77">(L58/K58)-1</f>
        <v>4.4416330530829828E-3</v>
      </c>
      <c r="M59" s="238">
        <f t="shared" ref="M59" si="78">(M58/L58)-1</f>
        <v>-7.521453318639848E-3</v>
      </c>
      <c r="N59" s="238">
        <f t="shared" ref="N59" si="79">(N58/M58)-1</f>
        <v>-2.4241626504025726E-2</v>
      </c>
      <c r="O59" s="255">
        <f t="shared" ref="O59" si="80">(O58/N58)-1</f>
        <v>-4.82304856203708E-4</v>
      </c>
      <c r="P59" s="238">
        <f t="shared" ref="P59" si="81">(P58/O58)-1</f>
        <v>0</v>
      </c>
      <c r="Q59" s="238">
        <f t="shared" ref="Q59" si="82">(Q58/P58)-1</f>
        <v>0</v>
      </c>
      <c r="R59" s="238">
        <f t="shared" ref="R59" si="83">(R58/Q58)-1</f>
        <v>0</v>
      </c>
      <c r="S59" s="255">
        <f t="shared" ref="S59" si="84">(S58/R58)-1</f>
        <v>0</v>
      </c>
      <c r="T59" s="238">
        <f t="shared" ref="T59" si="85">(T58/S58)-1</f>
        <v>0</v>
      </c>
      <c r="U59" s="238">
        <f t="shared" ref="U59" si="86">(U58/T58)-1</f>
        <v>0</v>
      </c>
      <c r="V59" s="238">
        <f t="shared" ref="V59" si="87">(V58/U58)-1</f>
        <v>0</v>
      </c>
      <c r="W59" s="255">
        <f t="shared" ref="W59" si="88">(W58/V58)-1</f>
        <v>0</v>
      </c>
      <c r="X59" s="238">
        <f t="shared" ref="X59" si="89">(X58/W58)-1</f>
        <v>0</v>
      </c>
      <c r="Y59" s="238">
        <f t="shared" ref="Y59" si="90">(Y58/X58)-1</f>
        <v>0</v>
      </c>
      <c r="Z59" s="238">
        <f t="shared" ref="Z59" si="91">(Z58/Y58)-1</f>
        <v>0</v>
      </c>
      <c r="AA59" s="255">
        <f t="shared" ref="AA59" si="92">(AA58/Z58)-1</f>
        <v>0</v>
      </c>
      <c r="AB59" s="252"/>
    </row>
    <row r="60" spans="1:28" s="97" customFormat="1" x14ac:dyDescent="0.2">
      <c r="B60" s="99" t="s">
        <v>179</v>
      </c>
      <c r="D60" s="103"/>
      <c r="E60" s="224"/>
      <c r="F60" s="224">
        <f t="shared" ref="F60" si="93">F57-F58</f>
        <v>594.45100000000002</v>
      </c>
      <c r="G60" s="149">
        <f t="shared" ref="G60" si="94">G57-G58</f>
        <v>314.07836196786297</v>
      </c>
      <c r="H60" s="224">
        <f t="shared" ref="H60" si="95">H57-H58</f>
        <v>440.92675335280069</v>
      </c>
      <c r="I60" s="224">
        <f t="shared" ref="I60" si="96">I57-I58</f>
        <v>517.2278108710334</v>
      </c>
      <c r="J60" s="224">
        <f t="shared" ref="J60" si="97">J57-J58</f>
        <v>495.34254097599887</v>
      </c>
      <c r="K60" s="274">
        <f t="shared" ref="K60" si="98">K57-K58</f>
        <v>463.78244356721166</v>
      </c>
      <c r="L60" s="224">
        <f t="shared" ref="L60:AA60" si="99">L57-L58</f>
        <v>465.84239499799924</v>
      </c>
      <c r="M60" s="224">
        <f t="shared" si="99"/>
        <v>462.33858317017825</v>
      </c>
      <c r="N60" s="224">
        <f t="shared" si="99"/>
        <v>451.1307439185664</v>
      </c>
      <c r="O60" s="149">
        <f t="shared" si="99"/>
        <v>450.91316136999171</v>
      </c>
      <c r="P60" s="224">
        <f t="shared" si="99"/>
        <v>450.91316136999171</v>
      </c>
      <c r="Q60" s="224">
        <f t="shared" si="99"/>
        <v>450.91316136999171</v>
      </c>
      <c r="R60" s="224">
        <f t="shared" si="99"/>
        <v>450.91316136999171</v>
      </c>
      <c r="S60" s="149">
        <f t="shared" si="99"/>
        <v>450.91316136999171</v>
      </c>
      <c r="T60" s="224">
        <f t="shared" si="99"/>
        <v>450.91316136999171</v>
      </c>
      <c r="U60" s="224">
        <f t="shared" si="99"/>
        <v>450.91316136999171</v>
      </c>
      <c r="V60" s="224">
        <f t="shared" si="99"/>
        <v>450.91316136999171</v>
      </c>
      <c r="W60" s="149">
        <f t="shared" si="99"/>
        <v>450.91316136999171</v>
      </c>
      <c r="X60" s="224">
        <f t="shared" si="99"/>
        <v>450.91316136999171</v>
      </c>
      <c r="Y60" s="224">
        <f t="shared" si="99"/>
        <v>450.91316136999171</v>
      </c>
      <c r="Z60" s="224">
        <f t="shared" si="99"/>
        <v>450.91316136999171</v>
      </c>
      <c r="AA60" s="149">
        <f t="shared" si="99"/>
        <v>450.91316136999171</v>
      </c>
      <c r="AB60" s="253"/>
    </row>
    <row r="61" spans="1:28" s="97" customFormat="1" x14ac:dyDescent="0.2">
      <c r="B61" s="99"/>
      <c r="D61" s="103"/>
      <c r="E61" s="224"/>
      <c r="F61" s="224"/>
      <c r="G61" s="149"/>
      <c r="H61" s="224"/>
      <c r="I61" s="224"/>
      <c r="J61" s="224"/>
      <c r="K61" s="149"/>
      <c r="L61" s="224"/>
      <c r="M61" s="224"/>
      <c r="N61" s="224"/>
      <c r="O61" s="182"/>
      <c r="P61" s="253"/>
      <c r="Q61" s="253"/>
      <c r="R61" s="253"/>
      <c r="S61" s="182"/>
      <c r="T61" s="253"/>
      <c r="U61" s="253"/>
      <c r="V61" s="253"/>
      <c r="W61" s="182"/>
      <c r="X61" s="253"/>
      <c r="Y61" s="253"/>
      <c r="Z61" s="253"/>
      <c r="AA61" s="182"/>
      <c r="AB61" s="253"/>
    </row>
    <row r="62" spans="1:28" s="97" customFormat="1" x14ac:dyDescent="0.2">
      <c r="B62" s="99"/>
      <c r="D62" s="103"/>
      <c r="E62" s="224"/>
      <c r="F62" s="224"/>
      <c r="G62" s="149"/>
      <c r="H62" s="224"/>
      <c r="I62" s="224"/>
      <c r="J62" s="224"/>
      <c r="K62" s="149"/>
      <c r="L62" s="224"/>
      <c r="M62" s="224"/>
      <c r="N62" s="224"/>
      <c r="O62" s="182"/>
      <c r="P62" s="253"/>
      <c r="Q62" s="253"/>
      <c r="R62" s="253"/>
      <c r="S62" s="182"/>
      <c r="T62" s="253"/>
      <c r="U62" s="253"/>
      <c r="V62" s="253"/>
      <c r="W62" s="182"/>
      <c r="X62" s="253"/>
      <c r="Y62" s="253"/>
      <c r="Z62" s="253"/>
      <c r="AA62" s="182"/>
      <c r="AB62" s="253"/>
    </row>
    <row r="63" spans="1:28" ht="19" x14ac:dyDescent="0.25">
      <c r="A63" s="105" t="s">
        <v>191</v>
      </c>
      <c r="B63" s="105"/>
      <c r="D63" s="102"/>
      <c r="E63" s="104"/>
      <c r="F63" s="104"/>
      <c r="G63" s="148"/>
      <c r="H63" s="104"/>
      <c r="I63" s="104"/>
      <c r="J63" s="104"/>
      <c r="K63" s="148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main!K46/1000</f>
        <v>1086.548</v>
      </c>
      <c r="F64" s="104">
        <f>main!L46/1000</f>
        <v>1213.308</v>
      </c>
      <c r="G64" s="148">
        <f>main!N46/1000</f>
        <v>382.93200834658188</v>
      </c>
      <c r="H64" s="104">
        <f>main!O46/1000</f>
        <v>100.25024999999999</v>
      </c>
      <c r="I64" s="104">
        <f>main!P46/1000</f>
        <v>100.25024999999999</v>
      </c>
      <c r="J64" s="104">
        <f>main!Q46/1000</f>
        <v>100.25024999999999</v>
      </c>
      <c r="K64" s="148">
        <f>main!R46/1000</f>
        <v>100.25024999999999</v>
      </c>
      <c r="L64" s="231">
        <f>main!S46/1000</f>
        <v>74.830250000000007</v>
      </c>
      <c r="M64" s="239">
        <f>L64*(1+M66)</f>
        <v>75.157160582543469</v>
      </c>
      <c r="N64" s="239">
        <f>M64*(1+N66)</f>
        <v>75.488247723052112</v>
      </c>
      <c r="O64" s="256">
        <f>N64*(1+O66)</f>
        <v>75.823511421525808</v>
      </c>
      <c r="P64" s="239">
        <f>O64*(1+P66)</f>
        <v>76.163711052140215</v>
      </c>
      <c r="Q64" s="239">
        <f t="shared" ref="Q64:AA64" si="100">P64*(1+Q66)</f>
        <v>76.505429431105526</v>
      </c>
      <c r="R64" s="239">
        <f t="shared" si="100"/>
        <v>76.852083742211434</v>
      </c>
      <c r="S64" s="256">
        <f t="shared" si="100"/>
        <v>77.203673985457925</v>
      </c>
      <c r="T64" s="239">
        <f t="shared" si="100"/>
        <v>77.559061099581882</v>
      </c>
      <c r="U64" s="239">
        <f t="shared" si="100"/>
        <v>77.91520758788127</v>
      </c>
      <c r="V64" s="239">
        <f t="shared" si="100"/>
        <v>78.27325251161939</v>
      </c>
      <c r="W64" s="256">
        <f t="shared" si="100"/>
        <v>78.633195870796172</v>
      </c>
      <c r="X64" s="239">
        <f t="shared" si="100"/>
        <v>78.993898604148441</v>
      </c>
      <c r="Y64" s="239">
        <f t="shared" si="100"/>
        <v>79.35270290206202</v>
      </c>
      <c r="Z64" s="239">
        <f t="shared" si="100"/>
        <v>79.711886887063343</v>
      </c>
      <c r="AA64" s="256">
        <f t="shared" si="100"/>
        <v>80.071070872064709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8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8">
        <f t="shared" si="101"/>
        <v>1235.106473009233</v>
      </c>
      <c r="L65" s="231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8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8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8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8">
        <f t="shared" si="101"/>
        <v>1327.3128858140831</v>
      </c>
      <c r="AB65" s="95"/>
    </row>
    <row r="66" spans="1:32" s="170" customFormat="1" ht="12" x14ac:dyDescent="0.15">
      <c r="B66" s="212" t="s">
        <v>281</v>
      </c>
      <c r="D66" s="236"/>
      <c r="E66" s="251"/>
      <c r="F66" s="251"/>
      <c r="G66" s="237"/>
      <c r="H66" s="251"/>
      <c r="I66" s="251"/>
      <c r="J66" s="251"/>
      <c r="K66" s="237"/>
      <c r="L66" s="238"/>
      <c r="M66" s="238">
        <f t="shared" ref="M66:AA66" si="102">(M65/L65)-1</f>
        <v>4.3686955815791517E-3</v>
      </c>
      <c r="N66" s="238">
        <f t="shared" si="102"/>
        <v>4.4052640885097194E-3</v>
      </c>
      <c r="O66" s="255">
        <f t="shared" si="102"/>
        <v>4.4412701127161114E-3</v>
      </c>
      <c r="P66" s="238">
        <f t="shared" si="102"/>
        <v>4.486730095143443E-3</v>
      </c>
      <c r="Q66" s="238">
        <f t="shared" si="102"/>
        <v>4.486629843067691E-3</v>
      </c>
      <c r="R66" s="238">
        <f t="shared" si="102"/>
        <v>4.5311073172666916E-3</v>
      </c>
      <c r="S66" s="255">
        <f t="shared" si="102"/>
        <v>4.5748953850861529E-3</v>
      </c>
      <c r="T66" s="238">
        <f t="shared" si="102"/>
        <v>4.6032409570417876E-3</v>
      </c>
      <c r="U66" s="238">
        <f t="shared" si="102"/>
        <v>4.591939139672041E-3</v>
      </c>
      <c r="V66" s="238">
        <f t="shared" si="102"/>
        <v>4.595315020296642E-3</v>
      </c>
      <c r="W66" s="255">
        <f t="shared" si="102"/>
        <v>4.5985486437190026E-3</v>
      </c>
      <c r="X66" s="238">
        <f t="shared" si="102"/>
        <v>4.5871559633026138E-3</v>
      </c>
      <c r="Y66" s="238">
        <f t="shared" si="102"/>
        <v>4.5421773612113192E-3</v>
      </c>
      <c r="Z66" s="238">
        <f t="shared" si="102"/>
        <v>4.5264240771309971E-3</v>
      </c>
      <c r="AA66" s="255">
        <f t="shared" si="102"/>
        <v>4.5060278840252099E-3</v>
      </c>
      <c r="AB66" s="252"/>
    </row>
    <row r="67" spans="1:32" s="97" customFormat="1" x14ac:dyDescent="0.2">
      <c r="B67" s="99" t="s">
        <v>179</v>
      </c>
      <c r="D67" s="103"/>
      <c r="E67" s="224"/>
      <c r="F67" s="224">
        <f>F64-F65</f>
        <v>0.60799999999994725</v>
      </c>
      <c r="G67" s="149">
        <f t="shared" ref="G67:AA67" si="103">G64-G65</f>
        <v>-833.73947605477315</v>
      </c>
      <c r="H67" s="224">
        <f t="shared" si="103"/>
        <v>-1120.5437736769309</v>
      </c>
      <c r="I67" s="224">
        <f t="shared" si="103"/>
        <v>-1124.95583479476</v>
      </c>
      <c r="J67" s="224">
        <f t="shared" si="103"/>
        <v>-1129.7203572857679</v>
      </c>
      <c r="K67" s="149">
        <f t="shared" si="103"/>
        <v>-1134.856223009233</v>
      </c>
      <c r="L67" s="224">
        <f t="shared" si="103"/>
        <v>-1165.6072012785651</v>
      </c>
      <c r="M67" s="224">
        <f t="shared" si="103"/>
        <v>-1170.6993843086477</v>
      </c>
      <c r="N67" s="224">
        <f t="shared" si="103"/>
        <v>-1175.8566242647828</v>
      </c>
      <c r="O67" s="149">
        <f t="shared" si="103"/>
        <v>-1181.0789211469692</v>
      </c>
      <c r="P67" s="224">
        <f t="shared" si="103"/>
        <v>-1186.3781034872188</v>
      </c>
      <c r="Q67" s="224">
        <f t="shared" si="103"/>
        <v>-1191.7009428914864</v>
      </c>
      <c r="R67" s="224">
        <f t="shared" si="103"/>
        <v>-1197.1006677538157</v>
      </c>
      <c r="S67" s="149">
        <f t="shared" si="103"/>
        <v>-1202.5772780742061</v>
      </c>
      <c r="T67" s="224">
        <f t="shared" si="103"/>
        <v>-1208.113031054645</v>
      </c>
      <c r="U67" s="224">
        <f t="shared" si="103"/>
        <v>-1213.6606125670928</v>
      </c>
      <c r="V67" s="224">
        <f t="shared" si="103"/>
        <v>-1219.2377654095646</v>
      </c>
      <c r="W67" s="149">
        <f t="shared" si="103"/>
        <v>-1224.8444895820596</v>
      </c>
      <c r="X67" s="224">
        <f t="shared" si="103"/>
        <v>-1230.4630422865646</v>
      </c>
      <c r="Y67" s="224">
        <f t="shared" si="103"/>
        <v>-1236.052023661046</v>
      </c>
      <c r="Z67" s="224">
        <f t="shared" si="103"/>
        <v>-1241.6469193015316</v>
      </c>
      <c r="AA67" s="149">
        <f t="shared" si="103"/>
        <v>-1247.2418149420184</v>
      </c>
      <c r="AB67" s="224"/>
      <c r="AC67" s="224"/>
      <c r="AD67" s="149"/>
      <c r="AE67" s="149"/>
      <c r="AF67" s="149"/>
    </row>
    <row r="68" spans="1:32" x14ac:dyDescent="0.2">
      <c r="D68" s="102"/>
      <c r="E68" s="104"/>
      <c r="F68" s="104"/>
      <c r="G68" s="148"/>
      <c r="H68" s="104"/>
      <c r="I68" s="104"/>
      <c r="J68" s="104"/>
      <c r="K68" s="148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8"/>
      <c r="H69" s="104"/>
      <c r="I69" s="104"/>
      <c r="J69" s="104"/>
      <c r="K69" s="148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8"/>
      <c r="H70" s="104"/>
      <c r="I70" s="104"/>
      <c r="J70" s="104"/>
      <c r="K70" s="148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5">
        <f>main!K62/1000</f>
        <v>279.25</v>
      </c>
      <c r="F71" s="225">
        <f>main!L62/1000</f>
        <v>286.95061436735779</v>
      </c>
      <c r="G71" s="150">
        <f>main!N62/1000</f>
        <v>298.37288477706733</v>
      </c>
      <c r="H71" s="225">
        <f>main!O62/1000</f>
        <v>282.14099544764287</v>
      </c>
      <c r="I71" s="225">
        <f>main!P62/1000</f>
        <v>255.02243392207245</v>
      </c>
      <c r="J71" s="225">
        <f>main!Q62/1000</f>
        <v>256.05497613497749</v>
      </c>
      <c r="K71" s="150">
        <f>main!R62/1000</f>
        <v>251.54437969325102</v>
      </c>
      <c r="L71" s="225">
        <f>main!S62/1000</f>
        <v>247.2408068497152</v>
      </c>
      <c r="M71" s="225">
        <f>main!T62/1000</f>
        <v>248.95857178194768</v>
      </c>
      <c r="N71" s="225">
        <f>main!U62/1000</f>
        <v>250.86680125051294</v>
      </c>
      <c r="O71" s="150">
        <f>main!V62/1000</f>
        <v>252.62247677399645</v>
      </c>
      <c r="P71" s="254">
        <f>main!W62/1000</f>
        <v>254.57245802602731</v>
      </c>
      <c r="Q71" s="257">
        <f>P71*(1+Q73)</f>
        <v>266.81611601692032</v>
      </c>
      <c r="R71" s="257">
        <f t="shared" ref="R71:AA71" si="104">Q71*(1+R73)</f>
        <v>279.80337812932891</v>
      </c>
      <c r="S71" s="258">
        <f t="shared" si="104"/>
        <v>281.66851724758942</v>
      </c>
      <c r="T71" s="257">
        <f t="shared" si="104"/>
        <v>283.60929960678783</v>
      </c>
      <c r="U71" s="257">
        <f t="shared" si="104"/>
        <v>285.59477857560597</v>
      </c>
      <c r="V71" s="257">
        <f t="shared" si="104"/>
        <v>287.63695688168502</v>
      </c>
      <c r="W71" s="258">
        <f t="shared" si="104"/>
        <v>288.20265857582245</v>
      </c>
      <c r="X71" s="257">
        <f t="shared" si="104"/>
        <v>289.49562212520686</v>
      </c>
      <c r="Y71" s="257">
        <f t="shared" si="104"/>
        <v>290.12695053666232</v>
      </c>
      <c r="Z71" s="257">
        <f t="shared" si="104"/>
        <v>290.79948831348418</v>
      </c>
      <c r="AA71" s="258">
        <f t="shared" si="104"/>
        <v>291.21361923811332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8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8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8">
        <f t="shared" si="105"/>
        <v>244.4440181553536</v>
      </c>
      <c r="P72" s="231">
        <f t="shared" ref="P72:AA72" si="106">P20</f>
        <v>257.44254207870313</v>
      </c>
      <c r="Q72" s="239">
        <f t="shared" si="106"/>
        <v>269.82423671275291</v>
      </c>
      <c r="R72" s="239">
        <f t="shared" si="106"/>
        <v>282.9579189609679</v>
      </c>
      <c r="S72" s="256">
        <f t="shared" si="106"/>
        <v>284.8440859079293</v>
      </c>
      <c r="T72" s="239">
        <f t="shared" si="106"/>
        <v>286.80674890787742</v>
      </c>
      <c r="U72" s="239">
        <f t="shared" si="106"/>
        <v>288.81461243301999</v>
      </c>
      <c r="V72" s="239">
        <f t="shared" si="106"/>
        <v>290.87981453136018</v>
      </c>
      <c r="W72" s="256">
        <f t="shared" si="106"/>
        <v>291.45189402230841</v>
      </c>
      <c r="X72" s="239">
        <f t="shared" si="106"/>
        <v>292.75943461625042</v>
      </c>
      <c r="Y72" s="239">
        <f t="shared" si="106"/>
        <v>293.39788070893411</v>
      </c>
      <c r="Z72" s="239">
        <f t="shared" si="106"/>
        <v>294.07800076689921</v>
      </c>
      <c r="AA72" s="256">
        <f t="shared" si="106"/>
        <v>294.49680065914453</v>
      </c>
      <c r="AB72" s="95"/>
    </row>
    <row r="73" spans="1:32" s="170" customFormat="1" ht="12" x14ac:dyDescent="0.15">
      <c r="B73" s="212" t="s">
        <v>281</v>
      </c>
      <c r="D73" s="236"/>
      <c r="E73" s="251"/>
      <c r="F73" s="251"/>
      <c r="G73" s="237"/>
      <c r="H73" s="251"/>
      <c r="I73" s="251"/>
      <c r="J73" s="251"/>
      <c r="K73" s="237"/>
      <c r="L73" s="238"/>
      <c r="M73" s="238"/>
      <c r="N73" s="238"/>
      <c r="O73" s="255"/>
      <c r="P73" s="238"/>
      <c r="Q73" s="238">
        <f t="shared" ref="Q73" si="107">(Q72/P72)-1</f>
        <v>4.8094982803054132E-2</v>
      </c>
      <c r="R73" s="238">
        <f t="shared" ref="R73" si="108">(R72/Q72)-1</f>
        <v>4.867495377072717E-2</v>
      </c>
      <c r="S73" s="255">
        <f t="shared" ref="S73" si="109">(S72/R72)-1</f>
        <v>6.6658920658149157E-3</v>
      </c>
      <c r="T73" s="238">
        <f t="shared" ref="T73" si="110">(T72/S72)-1</f>
        <v>6.8903063010496979E-3</v>
      </c>
      <c r="U73" s="238">
        <f t="shared" ref="U73" si="111">(U72/T72)-1</f>
        <v>7.0007541063390466E-3</v>
      </c>
      <c r="V73" s="238">
        <f t="shared" ref="V73" si="112">(V72/U72)-1</f>
        <v>7.1506149946589659E-3</v>
      </c>
      <c r="W73" s="255">
        <f t="shared" ref="W73" si="113">(W72/V72)-1</f>
        <v>1.96672117613228E-3</v>
      </c>
      <c r="X73" s="238">
        <f t="shared" ref="X73" si="114">(X72/W72)-1</f>
        <v>4.4862998688968148E-3</v>
      </c>
      <c r="Y73" s="238">
        <f t="shared" ref="Y73" si="115">(Y72/X72)-1</f>
        <v>2.1807874220025614E-3</v>
      </c>
      <c r="Z73" s="238">
        <f t="shared" ref="Z73" si="116">(Z72/Y72)-1</f>
        <v>2.3180810179055378E-3</v>
      </c>
      <c r="AA73" s="255">
        <f t="shared" ref="AA73" si="117">(AA72/Z72)-1</f>
        <v>1.4241116001645349E-3</v>
      </c>
      <c r="AB73" s="252"/>
    </row>
    <row r="74" spans="1:32" s="97" customFormat="1" x14ac:dyDescent="0.2">
      <c r="B74" s="99" t="s">
        <v>179</v>
      </c>
      <c r="D74" s="103"/>
      <c r="E74" s="224"/>
      <c r="F74" s="224">
        <f>F71-F72</f>
        <v>44.822614367357801</v>
      </c>
      <c r="G74" s="149">
        <f t="shared" ref="G74:K74" si="118">G71-G72</f>
        <v>69.242163837897039</v>
      </c>
      <c r="H74" s="224">
        <f t="shared" si="118"/>
        <v>68.614647648729658</v>
      </c>
      <c r="I74" s="224">
        <f t="shared" si="118"/>
        <v>56.665943583511762</v>
      </c>
      <c r="J74" s="224">
        <f t="shared" si="118"/>
        <v>72.288989016896693</v>
      </c>
      <c r="K74" s="149">
        <f t="shared" si="118"/>
        <v>56.491059459541219</v>
      </c>
      <c r="L74" s="224">
        <f t="shared" ref="L74:N74" si="119">L71-L72</f>
        <v>40.106394189216502</v>
      </c>
      <c r="M74" s="224">
        <f t="shared" si="119"/>
        <v>29.661254484149993</v>
      </c>
      <c r="N74" s="224">
        <f t="shared" si="119"/>
        <v>18.676309913851043</v>
      </c>
      <c r="O74" s="149">
        <f t="shared" ref="O74:AA74" si="120">O71-O72</f>
        <v>8.1784586186428498</v>
      </c>
      <c r="P74" s="248">
        <f t="shared" si="120"/>
        <v>-2.8700840526758213</v>
      </c>
      <c r="Q74" s="259">
        <f t="shared" si="120"/>
        <v>-3.0081206958325879</v>
      </c>
      <c r="R74" s="259">
        <f t="shared" si="120"/>
        <v>-3.1545408316389967</v>
      </c>
      <c r="S74" s="260">
        <f t="shared" si="120"/>
        <v>-3.1755686603398772</v>
      </c>
      <c r="T74" s="259">
        <f t="shared" si="120"/>
        <v>-3.1974493010895912</v>
      </c>
      <c r="U74" s="259">
        <f t="shared" si="120"/>
        <v>-3.2198338574140166</v>
      </c>
      <c r="V74" s="259">
        <f t="shared" si="120"/>
        <v>-3.2428576496751589</v>
      </c>
      <c r="W74" s="260">
        <f t="shared" si="120"/>
        <v>-3.2492354464859545</v>
      </c>
      <c r="X74" s="259">
        <f t="shared" si="120"/>
        <v>-3.2638124910435522</v>
      </c>
      <c r="Y74" s="259">
        <f t="shared" si="120"/>
        <v>-3.2709301722717896</v>
      </c>
      <c r="Z74" s="259">
        <f t="shared" si="120"/>
        <v>-3.2785124534150327</v>
      </c>
      <c r="AA74" s="260">
        <f t="shared" si="120"/>
        <v>-3.2831814210312018</v>
      </c>
      <c r="AB74" s="253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zoomScale="120" zoomScaleNormal="120" workbookViewId="0">
      <selection activeCell="K11" sqref="K11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3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290</v>
      </c>
      <c r="J1" t="s">
        <v>276</v>
      </c>
      <c r="K1" t="s">
        <v>292</v>
      </c>
      <c r="L1" t="s">
        <v>293</v>
      </c>
      <c r="M1" t="s">
        <v>294</v>
      </c>
    </row>
    <row r="2" spans="1:13" x14ac:dyDescent="0.2">
      <c r="A2" s="189">
        <v>44104</v>
      </c>
      <c r="B2" s="102">
        <f t="array" ref="B2:B23">TRANSPOSE('add-ons calculations'!F27:AA27)</f>
        <v>-22.257396859939746</v>
      </c>
      <c r="C2">
        <f t="array" ref="C2:C23">TRANSPOSE('add-ons calculations'!F34:AA34)</f>
        <v>-591.10500000000002</v>
      </c>
      <c r="D2">
        <f t="array" ref="D2:D23">TRANSPOSE('add-ons calculations'!F40:AA40)</f>
        <v>4.5999999999821739E-2</v>
      </c>
      <c r="E2">
        <f t="array" ref="E2:E23">TRANSPOSE('add-ons calculations'!F46:AA46)</f>
        <v>0</v>
      </c>
      <c r="F2">
        <f t="array" ref="F2:F23">TRANSPOSE('add-ons calculations'!F53:AA53)</f>
        <v>3.3000000000129148E-2</v>
      </c>
      <c r="G2">
        <f t="array" ref="G2:G23">TRANSPOSE('add-ons calculations'!F60:AA60)</f>
        <v>594.45100000000002</v>
      </c>
      <c r="H2">
        <f t="array" ref="H2:H23">TRANSPOSE('add-ons calculations'!F67:AA67)</f>
        <v>0.60799999999994725</v>
      </c>
      <c r="I2">
        <f t="array" ref="I2:I23">TRANSPOSE('add-ons calculations'!F74:AA74)</f>
        <v>44.822614367357801</v>
      </c>
      <c r="J2" s="102">
        <f>'add-ons calculations'!E71</f>
        <v>279.25</v>
      </c>
    </row>
    <row r="3" spans="1:13" x14ac:dyDescent="0.2">
      <c r="A3" s="189">
        <v>44196</v>
      </c>
      <c r="B3">
        <v>-26.789650629444708</v>
      </c>
      <c r="C3">
        <v>-630.45068126596811</v>
      </c>
      <c r="D3">
        <v>9.1220108456809612E-2</v>
      </c>
      <c r="E3">
        <v>1.9071502101439819E-3</v>
      </c>
      <c r="F3">
        <v>39.284047628965254</v>
      </c>
      <c r="G3">
        <v>314.07836196786297</v>
      </c>
      <c r="H3">
        <v>-833.73947605477315</v>
      </c>
      <c r="I3">
        <v>69.242163837897039</v>
      </c>
      <c r="J3" s="102">
        <f>'add-ons calculations'!F71</f>
        <v>286.95061436735779</v>
      </c>
      <c r="K3" cm="1">
        <f t="array" ref="K3:K11">TRANSPOSE(main!N33:V33)/1000</f>
        <v>337.8</v>
      </c>
      <c r="L3" cm="1">
        <f t="array" ref="L3:L11">TRANSPOSE(main!N35:V35)/1000</f>
        <v>257.8</v>
      </c>
      <c r="M3" cm="1">
        <f t="array" ref="M3:M11">TRANSPOSE(main!N38:V38)/1000</f>
        <v>80</v>
      </c>
    </row>
    <row r="4" spans="1:13" x14ac:dyDescent="0.2">
      <c r="A4" s="189">
        <v>44286</v>
      </c>
      <c r="B4">
        <v>-32.762764634016577</v>
      </c>
      <c r="C4">
        <v>-627.6397000131858</v>
      </c>
      <c r="D4">
        <v>9.2732986063538192E-2</v>
      </c>
      <c r="E4">
        <v>1.9387801313541786E-3</v>
      </c>
      <c r="F4">
        <v>53.362256246811285</v>
      </c>
      <c r="G4">
        <v>440.92675335280069</v>
      </c>
      <c r="H4">
        <v>-1120.5437736769309</v>
      </c>
      <c r="I4">
        <v>68.614647648729658</v>
      </c>
      <c r="K4">
        <v>244</v>
      </c>
      <c r="L4">
        <v>184</v>
      </c>
      <c r="M4">
        <v>60</v>
      </c>
    </row>
    <row r="5" spans="1:13" x14ac:dyDescent="0.2">
      <c r="A5" s="189">
        <v>44377</v>
      </c>
      <c r="B5">
        <v>-40.594652008438686</v>
      </c>
      <c r="C5">
        <v>-620.837644585357</v>
      </c>
      <c r="D5">
        <v>9.4207574237998415E-2</v>
      </c>
      <c r="E5">
        <v>1.969609530561911E-3</v>
      </c>
      <c r="F5">
        <v>63.467484623819473</v>
      </c>
      <c r="G5">
        <v>517.2278108710334</v>
      </c>
      <c r="H5">
        <v>-1124.95583479476</v>
      </c>
      <c r="I5">
        <v>56.665943583511762</v>
      </c>
      <c r="K5">
        <v>152</v>
      </c>
      <c r="L5">
        <v>108</v>
      </c>
      <c r="M5">
        <v>44</v>
      </c>
    </row>
    <row r="6" spans="1:13" x14ac:dyDescent="0.2">
      <c r="A6" s="189">
        <v>44469</v>
      </c>
      <c r="B6">
        <v>-48.426539382860597</v>
      </c>
      <c r="C6">
        <v>-601.63274124276234</v>
      </c>
      <c r="D6">
        <v>9.5783673922369417E-2</v>
      </c>
      <c r="E6">
        <v>2.0025612436285201E-3</v>
      </c>
      <c r="F6">
        <v>68.411854322616591</v>
      </c>
      <c r="G6">
        <v>495.34254097599887</v>
      </c>
      <c r="H6">
        <v>-1129.7203572857679</v>
      </c>
      <c r="I6">
        <v>72.288989016896693</v>
      </c>
      <c r="K6">
        <v>44</v>
      </c>
      <c r="L6">
        <v>0</v>
      </c>
      <c r="M6">
        <v>44</v>
      </c>
    </row>
    <row r="7" spans="1:13" x14ac:dyDescent="0.2">
      <c r="A7" s="189">
        <v>44561</v>
      </c>
      <c r="B7">
        <v>-46.071944194504397</v>
      </c>
      <c r="C7">
        <v>-620.38250935733299</v>
      </c>
      <c r="D7">
        <v>9.6839304535023984E-2</v>
      </c>
      <c r="E7">
        <v>2.024631444953684E-3</v>
      </c>
      <c r="F7">
        <v>70.152221482738696</v>
      </c>
      <c r="G7">
        <v>463.78244356721166</v>
      </c>
      <c r="H7">
        <v>-1134.856223009233</v>
      </c>
      <c r="I7">
        <v>56.491059459541219</v>
      </c>
      <c r="K7">
        <v>44</v>
      </c>
      <c r="L7">
        <v>0</v>
      </c>
      <c r="M7">
        <v>44</v>
      </c>
    </row>
    <row r="8" spans="1:13" x14ac:dyDescent="0.2">
      <c r="A8" s="189">
        <v>44651</v>
      </c>
      <c r="B8">
        <v>-0.30296205657262476</v>
      </c>
      <c r="C8">
        <v>-642.84660678631462</v>
      </c>
      <c r="D8">
        <v>0</v>
      </c>
      <c r="E8">
        <v>0</v>
      </c>
      <c r="F8">
        <v>71.892588642860801</v>
      </c>
      <c r="G8">
        <v>465.84239499799924</v>
      </c>
      <c r="H8">
        <v>-1165.6072012785651</v>
      </c>
      <c r="I8">
        <v>40.106394189216502</v>
      </c>
      <c r="K8">
        <v>44</v>
      </c>
      <c r="L8">
        <v>0</v>
      </c>
      <c r="M8">
        <v>44</v>
      </c>
    </row>
    <row r="9" spans="1:13" x14ac:dyDescent="0.2">
      <c r="A9" s="189">
        <v>44742</v>
      </c>
      <c r="B9">
        <v>2.0516331317836602</v>
      </c>
      <c r="C9">
        <v>-662.07651217129251</v>
      </c>
      <c r="D9">
        <v>0</v>
      </c>
      <c r="E9">
        <v>0</v>
      </c>
      <c r="F9">
        <v>73.632955802982906</v>
      </c>
      <c r="G9">
        <v>462.33858317017825</v>
      </c>
      <c r="H9">
        <v>-1170.6993843086477</v>
      </c>
      <c r="I9">
        <v>29.661254484149993</v>
      </c>
      <c r="K9">
        <v>44</v>
      </c>
      <c r="L9">
        <v>0</v>
      </c>
      <c r="M9">
        <v>44</v>
      </c>
    </row>
    <row r="10" spans="1:13" x14ac:dyDescent="0.2">
      <c r="A10" s="189">
        <v>44834</v>
      </c>
      <c r="B10">
        <v>2.0305832892202886</v>
      </c>
      <c r="C10">
        <v>-680.01051493350417</v>
      </c>
      <c r="D10">
        <v>0</v>
      </c>
      <c r="E10">
        <v>0</v>
      </c>
      <c r="F10">
        <v>75.373322963105011</v>
      </c>
      <c r="G10">
        <v>451.1307439185664</v>
      </c>
      <c r="H10">
        <v>-1175.8566242647828</v>
      </c>
      <c r="I10">
        <v>18.676309913851043</v>
      </c>
      <c r="K10">
        <v>44</v>
      </c>
      <c r="L10">
        <v>0</v>
      </c>
      <c r="M10">
        <v>44</v>
      </c>
    </row>
    <row r="11" spans="1:13" x14ac:dyDescent="0.2">
      <c r="A11" s="189">
        <v>44926</v>
      </c>
      <c r="B11">
        <v>2.0097400394941758</v>
      </c>
      <c r="C11">
        <v>-696.48492380078505</v>
      </c>
      <c r="D11">
        <v>0</v>
      </c>
      <c r="E11">
        <v>0</v>
      </c>
      <c r="F11">
        <v>75.586446231400942</v>
      </c>
      <c r="G11">
        <v>450.91316136999171</v>
      </c>
      <c r="H11">
        <v>-1181.0789211469692</v>
      </c>
      <c r="I11">
        <v>8.1784586186428498</v>
      </c>
      <c r="K11">
        <v>44</v>
      </c>
      <c r="L11">
        <v>0</v>
      </c>
      <c r="M11">
        <v>44</v>
      </c>
    </row>
    <row r="12" spans="1:13" x14ac:dyDescent="0.2">
      <c r="A12" s="189">
        <v>45016</v>
      </c>
      <c r="B12">
        <v>1.9888967897680345</v>
      </c>
      <c r="C12">
        <v>-817.67623215503761</v>
      </c>
      <c r="D12">
        <v>0</v>
      </c>
      <c r="E12">
        <v>0</v>
      </c>
      <c r="F12">
        <v>75.799569499696645</v>
      </c>
      <c r="G12">
        <v>450.91316136999171</v>
      </c>
      <c r="H12">
        <v>-1186.3781034872188</v>
      </c>
      <c r="I12">
        <v>-2.8700840526758213</v>
      </c>
    </row>
    <row r="13" spans="1:13" x14ac:dyDescent="0.2">
      <c r="A13" s="189">
        <v>45107</v>
      </c>
      <c r="B13">
        <v>1.9680535400418933</v>
      </c>
      <c r="C13">
        <v>-835.96322772532972</v>
      </c>
      <c r="D13">
        <v>0</v>
      </c>
      <c r="E13">
        <v>0</v>
      </c>
      <c r="F13">
        <v>76.012692767992348</v>
      </c>
      <c r="G13">
        <v>450.91316136999171</v>
      </c>
      <c r="H13">
        <v>-1191.7009428914864</v>
      </c>
      <c r="I13">
        <v>-3.0081206958325879</v>
      </c>
    </row>
    <row r="14" spans="1:13" x14ac:dyDescent="0.2">
      <c r="A14" s="189">
        <v>45199</v>
      </c>
      <c r="B14">
        <v>1.9472102903157804</v>
      </c>
      <c r="C14">
        <v>-854.1375918451696</v>
      </c>
      <c r="D14">
        <v>0</v>
      </c>
      <c r="E14">
        <v>0</v>
      </c>
      <c r="F14">
        <v>76.225816036288279</v>
      </c>
      <c r="G14">
        <v>450.91316136999171</v>
      </c>
      <c r="H14">
        <v>-1197.1006677538157</v>
      </c>
      <c r="I14">
        <v>-3.1545408316389967</v>
      </c>
    </row>
    <row r="15" spans="1:13" x14ac:dyDescent="0.2">
      <c r="A15" s="189">
        <v>45291</v>
      </c>
      <c r="B15">
        <v>1.9691524171809078</v>
      </c>
      <c r="C15">
        <v>-859.85618944066186</v>
      </c>
      <c r="D15">
        <v>0</v>
      </c>
      <c r="E15">
        <v>0</v>
      </c>
      <c r="F15">
        <v>76.806290770357236</v>
      </c>
      <c r="G15">
        <v>450.91316136999171</v>
      </c>
      <c r="H15">
        <v>-1202.5772780742061</v>
      </c>
      <c r="I15">
        <v>-3.1755686603398772</v>
      </c>
    </row>
    <row r="16" spans="1:13" x14ac:dyDescent="0.2">
      <c r="A16" s="189">
        <v>45382</v>
      </c>
      <c r="B16">
        <v>1.9910945440460637</v>
      </c>
      <c r="C16">
        <v>-866.25057573887523</v>
      </c>
      <c r="D16">
        <v>0</v>
      </c>
      <c r="E16">
        <v>0</v>
      </c>
      <c r="F16">
        <v>77.386765504425966</v>
      </c>
      <c r="G16">
        <v>450.91316136999171</v>
      </c>
      <c r="H16">
        <v>-1208.113031054645</v>
      </c>
      <c r="I16">
        <v>-3.1974493010895912</v>
      </c>
    </row>
    <row r="17" spans="1:9" x14ac:dyDescent="0.2">
      <c r="A17" s="189">
        <v>45473</v>
      </c>
      <c r="B17">
        <v>2.0130366709111911</v>
      </c>
      <c r="C17">
        <v>-873.2644350145722</v>
      </c>
      <c r="D17">
        <v>0</v>
      </c>
      <c r="E17">
        <v>0</v>
      </c>
      <c r="F17">
        <v>77.967240238494924</v>
      </c>
      <c r="G17">
        <v>450.91316136999171</v>
      </c>
      <c r="H17">
        <v>-1213.6606125670928</v>
      </c>
      <c r="I17">
        <v>-3.2198338574140166</v>
      </c>
    </row>
    <row r="18" spans="1:9" x14ac:dyDescent="0.2">
      <c r="A18" s="189">
        <v>45565</v>
      </c>
      <c r="B18">
        <v>2.0349787977763469</v>
      </c>
      <c r="C18">
        <v>-881.17934589388699</v>
      </c>
      <c r="D18">
        <v>0</v>
      </c>
      <c r="E18">
        <v>0</v>
      </c>
      <c r="F18">
        <v>78.547714972563881</v>
      </c>
      <c r="G18">
        <v>450.91316136999171</v>
      </c>
      <c r="H18">
        <v>-1219.2377654095646</v>
      </c>
      <c r="I18">
        <v>-3.2428576496751589</v>
      </c>
    </row>
    <row r="19" spans="1:9" x14ac:dyDescent="0.2">
      <c r="A19" s="189">
        <v>45657</v>
      </c>
      <c r="B19">
        <v>2.0627743883631524</v>
      </c>
      <c r="C19">
        <v>-887.54372249410221</v>
      </c>
      <c r="D19">
        <v>0</v>
      </c>
      <c r="E19">
        <v>0</v>
      </c>
      <c r="F19">
        <v>80.42363380420511</v>
      </c>
      <c r="G19">
        <v>450.91316136999171</v>
      </c>
      <c r="H19">
        <v>-1224.8444895820596</v>
      </c>
      <c r="I19">
        <v>-3.2492354464859545</v>
      </c>
    </row>
    <row r="20" spans="1:9" x14ac:dyDescent="0.2">
      <c r="A20" s="189">
        <v>45747</v>
      </c>
      <c r="B20">
        <v>2.0905699789499579</v>
      </c>
      <c r="C20">
        <v>-893.79546764386509</v>
      </c>
      <c r="D20">
        <v>0</v>
      </c>
      <c r="E20">
        <v>0</v>
      </c>
      <c r="F20">
        <v>82.299552635846567</v>
      </c>
      <c r="G20">
        <v>450.91316136999171</v>
      </c>
      <c r="H20">
        <v>-1230.4630422865646</v>
      </c>
      <c r="I20">
        <v>-3.2638124910435522</v>
      </c>
    </row>
    <row r="21" spans="1:9" x14ac:dyDescent="0.2">
      <c r="A21" s="189">
        <v>45838</v>
      </c>
      <c r="B21">
        <v>2.1183655695367065</v>
      </c>
      <c r="C21">
        <v>-900.49773859542927</v>
      </c>
      <c r="D21">
        <v>0</v>
      </c>
      <c r="E21">
        <v>0</v>
      </c>
      <c r="F21">
        <v>84.175471467487796</v>
      </c>
      <c r="G21">
        <v>450.91316136999171</v>
      </c>
      <c r="H21">
        <v>-1236.052023661046</v>
      </c>
      <c r="I21">
        <v>-3.2709301722717896</v>
      </c>
    </row>
    <row r="22" spans="1:9" x14ac:dyDescent="0.2">
      <c r="A22" s="189">
        <v>45930</v>
      </c>
      <c r="B22">
        <v>2.1461611601234836</v>
      </c>
      <c r="C22">
        <v>-907.70685107403244</v>
      </c>
      <c r="D22">
        <v>0</v>
      </c>
      <c r="E22">
        <v>0</v>
      </c>
      <c r="F22">
        <v>86.051390299129253</v>
      </c>
      <c r="G22">
        <v>450.91316136999171</v>
      </c>
      <c r="H22">
        <v>-1241.6469193015316</v>
      </c>
      <c r="I22">
        <v>-3.2785124534150327</v>
      </c>
    </row>
    <row r="23" spans="1:9" x14ac:dyDescent="0.2">
      <c r="A23" s="189">
        <v>46022</v>
      </c>
      <c r="B23">
        <v>2.1750851411117083</v>
      </c>
      <c r="C23">
        <v>-915.03501956812443</v>
      </c>
      <c r="D23">
        <v>0</v>
      </c>
      <c r="E23">
        <v>0</v>
      </c>
      <c r="F23">
        <v>87.452518457736005</v>
      </c>
      <c r="G23">
        <v>450.91316136999171</v>
      </c>
      <c r="H23">
        <v>-1247.2418149420184</v>
      </c>
      <c r="I23">
        <v>-3.2831814210312018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289" t="s">
        <v>21</v>
      </c>
      <c r="E1" s="289"/>
      <c r="F1" s="289"/>
      <c r="G1" s="289"/>
      <c r="H1" s="289" t="s">
        <v>9</v>
      </c>
      <c r="I1" s="289"/>
      <c r="J1" s="289"/>
      <c r="K1" s="289"/>
      <c r="L1" s="289" t="s">
        <v>10</v>
      </c>
      <c r="M1" s="289"/>
      <c r="N1" s="289"/>
      <c r="O1" s="289"/>
      <c r="P1" s="289" t="s">
        <v>11</v>
      </c>
      <c r="Q1" s="289"/>
      <c r="R1" s="289"/>
      <c r="S1" s="289"/>
      <c r="T1" s="289" t="s">
        <v>268</v>
      </c>
      <c r="U1" s="289"/>
      <c r="V1" s="289"/>
      <c r="W1" s="289"/>
    </row>
    <row r="2" spans="1:36" x14ac:dyDescent="0.2">
      <c r="D2" s="198" t="s">
        <v>5</v>
      </c>
      <c r="E2" s="198" t="s">
        <v>6</v>
      </c>
      <c r="F2" s="198" t="s">
        <v>7</v>
      </c>
      <c r="G2" s="198" t="s">
        <v>8</v>
      </c>
      <c r="H2" s="198" t="s">
        <v>5</v>
      </c>
      <c r="I2" s="198" t="s">
        <v>6</v>
      </c>
      <c r="J2" s="198" t="s">
        <v>7</v>
      </c>
      <c r="K2" s="198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8">
        <f>main!E30</f>
        <v>2220523</v>
      </c>
      <c r="E3" s="198">
        <f>main!F30</f>
        <v>2298792</v>
      </c>
      <c r="F3" s="198">
        <f>main!G30</f>
        <v>2315842</v>
      </c>
      <c r="G3" s="198">
        <f>main!H30</f>
        <v>2331428</v>
      </c>
      <c r="H3" s="198">
        <f>main!I30</f>
        <v>2347737</v>
      </c>
      <c r="I3" s="198">
        <f>main!J30</f>
        <v>2422546</v>
      </c>
      <c r="J3" s="198">
        <f>main!K30</f>
        <v>4815254</v>
      </c>
      <c r="K3" s="198">
        <f>main!L30</f>
        <v>3488125</v>
      </c>
      <c r="L3" s="265">
        <f>main!N30</f>
        <v>2847845.8319988288</v>
      </c>
      <c r="M3" s="265">
        <f>main!O30</f>
        <v>2752064.9561336781</v>
      </c>
      <c r="N3" s="265">
        <f>main!P30</f>
        <v>2658305.2157637766</v>
      </c>
      <c r="O3" s="265">
        <f>main!Q30</f>
        <v>2548767.4784838995</v>
      </c>
      <c r="P3" s="265">
        <f>main!R30</f>
        <v>2601999.1665078122</v>
      </c>
      <c r="Q3" s="265">
        <f>main!S30</f>
        <v>2656541.4105371395</v>
      </c>
      <c r="R3" s="265">
        <f>main!T30</f>
        <v>2712430.6137193376</v>
      </c>
      <c r="S3" s="265">
        <f>main!U30</f>
        <v>2769704.2727967203</v>
      </c>
      <c r="T3" s="265">
        <f>main!V30</f>
        <v>0</v>
      </c>
      <c r="U3" s="265"/>
      <c r="V3" s="265"/>
      <c r="W3" s="265"/>
      <c r="AJ3" s="242"/>
    </row>
    <row r="4" spans="1:36" s="35" customFormat="1" x14ac:dyDescent="0.2">
      <c r="A4" s="35" t="s">
        <v>215</v>
      </c>
      <c r="D4" s="198">
        <f>main!E31</f>
        <v>753311</v>
      </c>
      <c r="E4" s="198">
        <f>main!F31</f>
        <v>767353</v>
      </c>
      <c r="F4" s="198">
        <f>main!G31</f>
        <v>779707</v>
      </c>
      <c r="G4" s="198">
        <f>main!H31</f>
        <v>789893</v>
      </c>
      <c r="H4" s="198">
        <f>main!I31</f>
        <v>797912</v>
      </c>
      <c r="I4" s="198">
        <f>main!J31</f>
        <v>804655</v>
      </c>
      <c r="J4" s="198">
        <f>main!K31</f>
        <v>824058</v>
      </c>
      <c r="K4" s="198">
        <f>main!L31</f>
        <v>842733</v>
      </c>
      <c r="L4" s="219">
        <f>main!N31</f>
        <v>853053.18699882878</v>
      </c>
      <c r="M4" s="219">
        <f>main!O31</f>
        <v>863499.75597117806</v>
      </c>
      <c r="N4" s="219">
        <f>main!P31</f>
        <v>874074.254602495</v>
      </c>
      <c r="O4" s="219">
        <f>main!Q31</f>
        <v>884778.24953132728</v>
      </c>
      <c r="P4" s="219">
        <f>main!R31</f>
        <v>913710.09912095172</v>
      </c>
      <c r="Q4" s="219">
        <f>main!S31</f>
        <v>943588.00713947637</v>
      </c>
      <c r="R4" s="219">
        <f>main!T31</f>
        <v>974442.9092707095</v>
      </c>
      <c r="S4" s="219">
        <f>main!U31</f>
        <v>1006306.7527813631</v>
      </c>
      <c r="T4" s="219">
        <f>main!V31</f>
        <v>1016447.3981375673</v>
      </c>
      <c r="U4" s="219">
        <f>main!W31</f>
        <v>1026690.2317062188</v>
      </c>
      <c r="V4" s="219">
        <f>main!X31</f>
        <v>1037036.2832472979</v>
      </c>
      <c r="W4" s="219">
        <f>main!Y31</f>
        <v>1047486.5928977706</v>
      </c>
      <c r="AJ4" s="242"/>
    </row>
    <row r="5" spans="1:36" s="35" customFormat="1" x14ac:dyDescent="0.2">
      <c r="A5" s="35" t="s">
        <v>15</v>
      </c>
      <c r="D5" s="198">
        <f>main!E71</f>
        <v>728844</v>
      </c>
      <c r="E5" s="198">
        <f>main!F71</f>
        <v>738714</v>
      </c>
      <c r="F5" s="198">
        <f>main!G71</f>
        <v>755204</v>
      </c>
      <c r="G5" s="198">
        <f>main!H71</f>
        <v>763370</v>
      </c>
      <c r="H5" s="198">
        <f>main!I71</f>
        <v>760967</v>
      </c>
      <c r="I5" s="198">
        <f>main!J71</f>
        <v>767087</v>
      </c>
      <c r="J5" s="198">
        <f>main!K71</f>
        <v>812158</v>
      </c>
      <c r="K5" s="198">
        <f>main!L71</f>
        <v>835999</v>
      </c>
      <c r="L5" s="272">
        <f>main!N71</f>
        <v>846655.9390002318</v>
      </c>
      <c r="M5" s="272">
        <f>main!O71</f>
        <v>859704.14460568153</v>
      </c>
      <c r="N5" s="272">
        <f>main!P71</f>
        <v>867211.47334407107</v>
      </c>
      <c r="O5" s="272">
        <f>main!Q71</f>
        <v>867929.66513166018</v>
      </c>
      <c r="P5" s="272">
        <f>main!R71</f>
        <v>869012.33925145073</v>
      </c>
      <c r="Q5" s="272">
        <f>main!S71</f>
        <v>870466.73148570256</v>
      </c>
      <c r="R5" s="272">
        <f>main!T71</f>
        <v>872014.07451017783</v>
      </c>
      <c r="S5" s="272">
        <f>main!U71</f>
        <v>873408.51802630571</v>
      </c>
      <c r="T5" s="272">
        <f>main!V71</f>
        <v>874637.8300734181</v>
      </c>
      <c r="U5" s="272"/>
      <c r="V5" s="272"/>
      <c r="W5" s="272"/>
      <c r="AJ5" s="268"/>
    </row>
    <row r="6" spans="1:36" s="35" customFormat="1" x14ac:dyDescent="0.2">
      <c r="A6" s="35" t="s">
        <v>214</v>
      </c>
      <c r="D6" s="198">
        <f>main!E74</f>
        <v>589819</v>
      </c>
      <c r="E6" s="198">
        <f>main!F74</f>
        <v>599372</v>
      </c>
      <c r="F6" s="198">
        <f>main!G74</f>
        <v>614976</v>
      </c>
      <c r="G6" s="198">
        <f>main!H74</f>
        <v>622265</v>
      </c>
      <c r="H6" s="198">
        <f>main!I74</f>
        <v>619632</v>
      </c>
      <c r="I6" s="198">
        <f>main!J74</f>
        <v>624096</v>
      </c>
      <c r="J6" s="198">
        <f>main!K74</f>
        <v>668823</v>
      </c>
      <c r="K6" s="198">
        <f>main!L74</f>
        <v>691267</v>
      </c>
      <c r="L6" s="35">
        <f>main!N74</f>
        <v>703733.08900023182</v>
      </c>
      <c r="M6" s="35">
        <f>main!O74</f>
        <v>716423.98748068151</v>
      </c>
      <c r="N6" s="35">
        <f>main!P74</f>
        <v>723573.11582625867</v>
      </c>
      <c r="O6" s="35">
        <f>main!Q74</f>
        <v>723573.11582625867</v>
      </c>
      <c r="P6" s="35">
        <f>main!R74</f>
        <v>723573.11582625867</v>
      </c>
      <c r="Q6" s="35">
        <f>main!S74</f>
        <v>723573.11582625867</v>
      </c>
      <c r="R6" s="35">
        <f>main!T74</f>
        <v>723573.11582625867</v>
      </c>
      <c r="S6" s="35">
        <f>main!U74</f>
        <v>723573.11582625867</v>
      </c>
      <c r="T6" s="35">
        <f>main!V74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5"/>
    <col min="11" max="11" width="10.83203125" style="145"/>
    <col min="15" max="15" width="10.83203125" style="145"/>
    <col min="19" max="19" width="10.83203125" style="145"/>
    <col min="23" max="23" width="10.83203125" style="145"/>
    <col min="27" max="27" width="12.1640625" style="145" bestFit="1" customWidth="1"/>
  </cols>
  <sheetData>
    <row r="1" spans="1:27" ht="19" x14ac:dyDescent="0.25">
      <c r="A1" s="294" t="s">
        <v>208</v>
      </c>
      <c r="B1" s="295"/>
      <c r="C1" s="35"/>
      <c r="I1" s="249"/>
      <c r="J1" s="302" t="s">
        <v>283</v>
      </c>
      <c r="V1" s="289"/>
      <c r="W1" s="289"/>
      <c r="X1" s="289"/>
      <c r="Y1" s="289"/>
    </row>
    <row r="2" spans="1:27" x14ac:dyDescent="0.2">
      <c r="A2" s="296" t="s">
        <v>192</v>
      </c>
      <c r="B2" s="125"/>
      <c r="C2" t="s">
        <v>193</v>
      </c>
      <c r="H2" s="95"/>
      <c r="I2" s="250"/>
      <c r="J2" s="302"/>
    </row>
    <row r="3" spans="1:27" x14ac:dyDescent="0.2">
      <c r="A3" s="297"/>
      <c r="B3" s="126"/>
      <c r="C3" t="s">
        <v>194</v>
      </c>
      <c r="H3" s="95"/>
      <c r="I3" s="250"/>
      <c r="J3" s="302"/>
    </row>
    <row r="4" spans="1:27" x14ac:dyDescent="0.2">
      <c r="A4" s="297"/>
      <c r="B4" s="127"/>
      <c r="C4" t="s">
        <v>195</v>
      </c>
      <c r="H4" s="95"/>
      <c r="I4" s="95"/>
      <c r="J4" s="95"/>
    </row>
    <row r="5" spans="1:27" x14ac:dyDescent="0.2">
      <c r="A5" s="298"/>
      <c r="B5" s="128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0"/>
      <c r="O7" s="299" t="s">
        <v>272</v>
      </c>
      <c r="P7" s="300"/>
      <c r="Q7" s="300"/>
      <c r="R7" s="300"/>
      <c r="S7" s="299" t="s">
        <v>277</v>
      </c>
      <c r="T7" s="300"/>
      <c r="U7" s="300"/>
      <c r="V7" s="300"/>
      <c r="W7" s="299" t="s">
        <v>278</v>
      </c>
      <c r="X7" s="300"/>
      <c r="Y7" s="300"/>
      <c r="Z7" s="300"/>
      <c r="AA7" s="230" t="s">
        <v>279</v>
      </c>
    </row>
    <row r="8" spans="1:27" s="267" customFormat="1" x14ac:dyDescent="0.2">
      <c r="B8" s="267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6" t="s">
        <v>5</v>
      </c>
      <c r="H8" s="96" t="s">
        <v>6</v>
      </c>
      <c r="I8" s="96" t="s">
        <v>7</v>
      </c>
      <c r="J8" s="96" t="s">
        <v>8</v>
      </c>
      <c r="K8" s="146" t="s">
        <v>5</v>
      </c>
      <c r="L8" s="96" t="s">
        <v>6</v>
      </c>
      <c r="M8" s="96" t="s">
        <v>7</v>
      </c>
      <c r="N8" s="96" t="s">
        <v>8</v>
      </c>
      <c r="O8" s="146" t="s">
        <v>5</v>
      </c>
      <c r="P8" s="96" t="s">
        <v>6</v>
      </c>
      <c r="Q8" s="96" t="s">
        <v>7</v>
      </c>
      <c r="R8" s="96" t="s">
        <v>8</v>
      </c>
      <c r="S8" s="146" t="s">
        <v>5</v>
      </c>
      <c r="T8" s="96" t="s">
        <v>6</v>
      </c>
      <c r="U8" s="96" t="s">
        <v>7</v>
      </c>
      <c r="V8" s="96" t="s">
        <v>8</v>
      </c>
      <c r="W8" s="146" t="s">
        <v>5</v>
      </c>
      <c r="X8" s="96" t="s">
        <v>6</v>
      </c>
      <c r="Y8" s="96" t="s">
        <v>7</v>
      </c>
      <c r="Z8" s="96" t="s">
        <v>8</v>
      </c>
      <c r="AA8" s="146" t="s">
        <v>5</v>
      </c>
    </row>
    <row r="9" spans="1:27" s="267" customFormat="1" ht="19" x14ac:dyDescent="0.25">
      <c r="A9" s="106" t="s">
        <v>165</v>
      </c>
      <c r="B9" s="106"/>
      <c r="C9" s="78"/>
      <c r="D9" s="78"/>
      <c r="E9" s="78"/>
      <c r="F9" s="78"/>
      <c r="G9" s="147"/>
      <c r="H9" s="78"/>
      <c r="I9" s="78"/>
      <c r="J9" s="78"/>
      <c r="K9" s="151"/>
      <c r="L9" s="78"/>
      <c r="M9" s="78"/>
      <c r="N9" s="78"/>
      <c r="O9" s="147"/>
      <c r="S9" s="147"/>
      <c r="W9" s="147"/>
      <c r="AA9" s="147"/>
    </row>
    <row r="10" spans="1:27" ht="16" x14ac:dyDescent="0.2">
      <c r="B10" s="86" t="s">
        <v>171</v>
      </c>
      <c r="D10" s="275">
        <v>624.1</v>
      </c>
      <c r="E10" s="275">
        <v>668.8</v>
      </c>
      <c r="F10" s="275">
        <v>699</v>
      </c>
      <c r="G10" s="276">
        <v>725.67515775001925</v>
      </c>
      <c r="H10" s="275">
        <v>752.35031550003862</v>
      </c>
      <c r="I10" s="275">
        <v>779.02547325005798</v>
      </c>
      <c r="J10" s="275">
        <v>805.70063100007712</v>
      </c>
      <c r="K10" s="276">
        <v>797.68095514365859</v>
      </c>
      <c r="L10" s="275">
        <v>789.66127928724018</v>
      </c>
      <c r="M10" s="275">
        <v>781.64160343082176</v>
      </c>
      <c r="N10" s="275">
        <v>773.62192757440323</v>
      </c>
      <c r="O10" s="276">
        <v>765.68096050565816</v>
      </c>
      <c r="P10" s="275">
        <v>757.73999343691298</v>
      </c>
      <c r="Q10" s="275">
        <v>749.7990263681678</v>
      </c>
      <c r="R10" s="275">
        <v>741.85805929942273</v>
      </c>
      <c r="S10" s="276">
        <v>750.21768215784016</v>
      </c>
      <c r="T10" s="275">
        <v>758.57730501625758</v>
      </c>
      <c r="U10" s="275">
        <v>766.93692787467512</v>
      </c>
      <c r="V10" s="275">
        <v>775.29655073309266</v>
      </c>
      <c r="W10" s="276">
        <v>785.88625590892332</v>
      </c>
      <c r="X10" s="275">
        <v>796.47596108475398</v>
      </c>
      <c r="Y10" s="275">
        <v>807.06566626058475</v>
      </c>
      <c r="Z10" s="275">
        <v>817.65537143641552</v>
      </c>
      <c r="AA10" s="276">
        <v>828.6749765144433</v>
      </c>
    </row>
    <row r="11" spans="1:27" ht="16" x14ac:dyDescent="0.2">
      <c r="B11" s="86" t="s">
        <v>172</v>
      </c>
      <c r="D11" s="275">
        <v>143</v>
      </c>
      <c r="E11" s="275">
        <v>143.40000000000009</v>
      </c>
      <c r="F11" s="275">
        <v>144.6</v>
      </c>
      <c r="G11" s="276">
        <v>120.03384224998069</v>
      </c>
      <c r="H11" s="275">
        <v>95.472956999961298</v>
      </c>
      <c r="I11" s="275">
        <v>70.917357431191931</v>
      </c>
      <c r="J11" s="275">
        <v>48.491913834578902</v>
      </c>
      <c r="K11" s="276">
        <v>62.918033777257392</v>
      </c>
      <c r="L11" s="275">
        <v>79.543699522884936</v>
      </c>
      <c r="M11" s="275">
        <v>96.719377529314102</v>
      </c>
      <c r="N11" s="275">
        <v>112.99031224028791</v>
      </c>
      <c r="O11" s="276">
        <v>128.20541540449631</v>
      </c>
      <c r="P11" s="275">
        <v>143.1671904459771</v>
      </c>
      <c r="Q11" s="275">
        <v>158.92513958745889</v>
      </c>
      <c r="R11" s="275">
        <v>174.61070926530419</v>
      </c>
      <c r="S11" s="276">
        <v>174.06806847962321</v>
      </c>
      <c r="T11" s="275">
        <v>173.95970447576121</v>
      </c>
      <c r="U11" s="275">
        <v>174.24942752189929</v>
      </c>
      <c r="V11" s="275">
        <v>175.11818627712921</v>
      </c>
      <c r="W11" s="276">
        <v>173.86543191040059</v>
      </c>
      <c r="X11" s="275">
        <v>172.54029808003551</v>
      </c>
      <c r="Y11" s="275">
        <v>171.50468210421619</v>
      </c>
      <c r="Z11" s="275">
        <v>170.79477371476079</v>
      </c>
      <c r="AA11" s="276">
        <v>169.9444832776542</v>
      </c>
    </row>
    <row r="12" spans="1:27" ht="16" x14ac:dyDescent="0.2">
      <c r="B12" s="86" t="s">
        <v>173</v>
      </c>
      <c r="D12" s="275">
        <v>1862.4</v>
      </c>
      <c r="E12" s="275">
        <v>1779.8</v>
      </c>
      <c r="F12" s="275">
        <v>1840.7</v>
      </c>
      <c r="G12" s="276">
        <v>1877.922058618492</v>
      </c>
      <c r="H12" s="275">
        <v>1909.0672334979879</v>
      </c>
      <c r="I12" s="275">
        <v>1939.424154981476</v>
      </c>
      <c r="J12" s="275">
        <v>1971.870864538103</v>
      </c>
      <c r="K12" s="276">
        <v>1993.602827351312</v>
      </c>
      <c r="L12" s="275">
        <v>2013.4924769947811</v>
      </c>
      <c r="M12" s="275">
        <v>2033.180480420667</v>
      </c>
      <c r="N12" s="275">
        <v>2053.766726088515</v>
      </c>
      <c r="O12" s="276">
        <v>2074.6554410827389</v>
      </c>
      <c r="P12" s="275">
        <v>2095.654144922918</v>
      </c>
      <c r="Q12" s="275">
        <v>2115.7821037326221</v>
      </c>
      <c r="R12" s="275">
        <v>2137.3490832768989</v>
      </c>
      <c r="S12" s="276">
        <v>2160.1442716010042</v>
      </c>
      <c r="T12" s="275">
        <v>2184.1035085447952</v>
      </c>
      <c r="U12" s="275">
        <v>2207.641121579094</v>
      </c>
      <c r="V12" s="275">
        <v>2230.977088395809</v>
      </c>
      <c r="W12" s="276">
        <v>2254.7438448591802</v>
      </c>
      <c r="X12" s="275">
        <v>2279.6563184679121</v>
      </c>
      <c r="Y12" s="275">
        <v>2304.862095665856</v>
      </c>
      <c r="Z12" s="275">
        <v>2330.315347767199</v>
      </c>
      <c r="AA12" s="276">
        <v>2355.9885775604512</v>
      </c>
    </row>
    <row r="13" spans="1:27" ht="16" x14ac:dyDescent="0.2">
      <c r="B13" s="86" t="s">
        <v>174</v>
      </c>
      <c r="D13" s="275">
        <v>62.7</v>
      </c>
      <c r="E13" s="275">
        <v>54.2</v>
      </c>
      <c r="F13" s="275">
        <v>62.633333333333333</v>
      </c>
      <c r="G13" s="276">
        <v>63.899884973907497</v>
      </c>
      <c r="H13" s="275">
        <v>64.959659038096376</v>
      </c>
      <c r="I13" s="275">
        <v>65.992611274880829</v>
      </c>
      <c r="J13" s="275">
        <v>67.096672542458393</v>
      </c>
      <c r="K13" s="276">
        <v>67.836144086364158</v>
      </c>
      <c r="L13" s="275">
        <v>68.512927405754951</v>
      </c>
      <c r="M13" s="275">
        <v>69.182849327437623</v>
      </c>
      <c r="N13" s="275">
        <v>69.883335657092758</v>
      </c>
      <c r="O13" s="276">
        <v>70.594114083310089</v>
      </c>
      <c r="P13" s="275">
        <v>71.308635090095464</v>
      </c>
      <c r="Q13" s="275">
        <v>71.993527334050356</v>
      </c>
      <c r="R13" s="275">
        <v>72.727385007104047</v>
      </c>
      <c r="S13" s="276">
        <v>73.503034829834391</v>
      </c>
      <c r="T13" s="275">
        <v>74.31829363024336</v>
      </c>
      <c r="U13" s="275">
        <v>75.11920587180812</v>
      </c>
      <c r="V13" s="275">
        <v>75.913256715664758</v>
      </c>
      <c r="W13" s="276">
        <v>76.721966000079647</v>
      </c>
      <c r="X13" s="275">
        <v>77.569660498745151</v>
      </c>
      <c r="Y13" s="275">
        <v>78.427335212258797</v>
      </c>
      <c r="Z13" s="275">
        <v>79.293430732050595</v>
      </c>
      <c r="AA13" s="276">
        <v>80.167011412978511</v>
      </c>
    </row>
    <row r="14" spans="1:27" ht="16" x14ac:dyDescent="0.2">
      <c r="B14" s="86" t="s">
        <v>175</v>
      </c>
      <c r="D14" s="275">
        <v>0.6</v>
      </c>
      <c r="E14" s="275">
        <v>0.6</v>
      </c>
      <c r="F14" s="275">
        <v>0.6</v>
      </c>
      <c r="G14" s="276">
        <v>0.60196494651670918</v>
      </c>
      <c r="H14" s="275">
        <v>0.60400462950948985</v>
      </c>
      <c r="I14" s="275">
        <v>0.60618755741474062</v>
      </c>
      <c r="J14" s="275">
        <v>0.6085448704308245</v>
      </c>
      <c r="K14" s="276">
        <v>0.61108591061725048</v>
      </c>
      <c r="L14" s="275">
        <v>0.613723485418602</v>
      </c>
      <c r="M14" s="275">
        <v>0.61640465649766174</v>
      </c>
      <c r="N14" s="275">
        <v>0.61912008179492095</v>
      </c>
      <c r="O14" s="276">
        <v>0.62186976131037952</v>
      </c>
      <c r="P14" s="275">
        <v>0.62465992308370988</v>
      </c>
      <c r="Q14" s="275">
        <v>0.62746254093638565</v>
      </c>
      <c r="R14" s="275">
        <v>0.63030564104693343</v>
      </c>
      <c r="S14" s="276">
        <v>0.63318922341535311</v>
      </c>
      <c r="T14" s="275">
        <v>0.63610394598213582</v>
      </c>
      <c r="U14" s="275">
        <v>0.6390248965885913</v>
      </c>
      <c r="V14" s="275">
        <v>0.64196141729422818</v>
      </c>
      <c r="W14" s="276">
        <v>0.64491350809904657</v>
      </c>
      <c r="X14" s="275">
        <v>0.64787182694353762</v>
      </c>
      <c r="Y14" s="275">
        <v>0.65081457568884715</v>
      </c>
      <c r="Z14" s="275">
        <v>0.6537604384539929</v>
      </c>
      <c r="AA14" s="276">
        <v>0.65670630121913887</v>
      </c>
    </row>
    <row r="15" spans="1:27" ht="16" x14ac:dyDescent="0.2">
      <c r="B15" s="86" t="s">
        <v>176</v>
      </c>
      <c r="D15" s="275">
        <v>804.7</v>
      </c>
      <c r="E15" s="275">
        <v>824.1</v>
      </c>
      <c r="F15" s="275">
        <v>842.7</v>
      </c>
      <c r="G15" s="276">
        <v>829.91020137042551</v>
      </c>
      <c r="H15" s="275">
        <v>817.12040274085098</v>
      </c>
      <c r="I15" s="275">
        <v>804.33060411127656</v>
      </c>
      <c r="J15" s="275">
        <v>791.54080548170202</v>
      </c>
      <c r="K15" s="276">
        <v>831.50700168084188</v>
      </c>
      <c r="L15" s="275">
        <v>871.47319787998163</v>
      </c>
      <c r="M15" s="275">
        <v>911.43939407912126</v>
      </c>
      <c r="N15" s="275">
        <v>951.405590278261</v>
      </c>
      <c r="O15" s="276">
        <v>961.1388873035537</v>
      </c>
      <c r="P15" s="275">
        <v>970.8721843288464</v>
      </c>
      <c r="Q15" s="275">
        <v>980.6054813541391</v>
      </c>
      <c r="R15" s="275">
        <v>990.3387783794318</v>
      </c>
      <c r="S15" s="276">
        <v>995.99576239925386</v>
      </c>
      <c r="T15" s="275">
        <v>1001.652746419076</v>
      </c>
      <c r="U15" s="275">
        <v>1007.309730438898</v>
      </c>
      <c r="V15" s="275">
        <v>1012.96671445872</v>
      </c>
      <c r="W15" s="276">
        <v>1042.6707682282611</v>
      </c>
      <c r="X15" s="275">
        <v>1072.3748219978011</v>
      </c>
      <c r="Y15" s="275">
        <v>1102.0788757673411</v>
      </c>
      <c r="Z15" s="275">
        <v>1131.7829295368811</v>
      </c>
      <c r="AA15" s="276">
        <v>1151.8062286849761</v>
      </c>
    </row>
    <row r="16" spans="1:27" ht="16" x14ac:dyDescent="0.2">
      <c r="B16" s="86" t="s">
        <v>167</v>
      </c>
      <c r="D16" s="275">
        <v>1617.8</v>
      </c>
      <c r="E16" s="275">
        <v>3991.2</v>
      </c>
      <c r="F16" s="275">
        <v>2671.1</v>
      </c>
      <c r="G16" s="276">
        <v>2333.9915869000388</v>
      </c>
      <c r="H16" s="275">
        <v>2068.5630978317022</v>
      </c>
      <c r="I16" s="275">
        <v>1854.7401002166671</v>
      </c>
      <c r="J16" s="275">
        <v>1705.479653085818</v>
      </c>
      <c r="K16" s="276">
        <v>1751.959108413354</v>
      </c>
      <c r="L16" s="275">
        <v>1769.6982583878359</v>
      </c>
      <c r="M16" s="275">
        <v>1769.1584086787691</v>
      </c>
      <c r="N16" s="275">
        <v>1743.308007766135</v>
      </c>
      <c r="O16" s="276">
        <v>1745.2651382913789</v>
      </c>
      <c r="P16" s="275">
        <v>1748.278899711572</v>
      </c>
      <c r="Q16" s="275">
        <v>1752.0152900787809</v>
      </c>
      <c r="R16" s="275">
        <v>1757.822159024543</v>
      </c>
      <c r="S16" s="276">
        <v>1775.5902086761339</v>
      </c>
      <c r="T16" s="275">
        <v>1792.663139384533</v>
      </c>
      <c r="U16" s="275">
        <v>1806.4949994790579</v>
      </c>
      <c r="V16" s="275">
        <v>1818.3401827003661</v>
      </c>
      <c r="W16" s="276">
        <v>1860.3070315426439</v>
      </c>
      <c r="X16" s="275">
        <v>1895.734539781108</v>
      </c>
      <c r="Y16" s="275">
        <v>1925.3690742770759</v>
      </c>
      <c r="Z16" s="275">
        <v>1948.5872272714889</v>
      </c>
      <c r="AA16" s="276">
        <v>1961.095884519679</v>
      </c>
    </row>
    <row r="17" spans="1:28" ht="16" x14ac:dyDescent="0.2">
      <c r="B17" s="86" t="s">
        <v>168</v>
      </c>
      <c r="D17" s="275">
        <v>3376.8</v>
      </c>
      <c r="E17" s="275">
        <v>3096.4</v>
      </c>
      <c r="F17" s="275">
        <v>3250.4</v>
      </c>
      <c r="G17" s="276">
        <v>3279.4707042488958</v>
      </c>
      <c r="H17" s="275">
        <v>3308.5414084977929</v>
      </c>
      <c r="I17" s="275">
        <v>3337.612112746689</v>
      </c>
      <c r="J17" s="275">
        <v>3366.6828169955852</v>
      </c>
      <c r="K17" s="276">
        <v>3414.9766574307191</v>
      </c>
      <c r="L17" s="275">
        <v>3463.270497865853</v>
      </c>
      <c r="M17" s="275">
        <v>3511.5643383009879</v>
      </c>
      <c r="N17" s="275">
        <v>3559.8581787361222</v>
      </c>
      <c r="O17" s="276">
        <v>3606.5959670229809</v>
      </c>
      <c r="P17" s="275">
        <v>3653.3337553098409</v>
      </c>
      <c r="Q17" s="275">
        <v>3700.0715435967008</v>
      </c>
      <c r="R17" s="275">
        <v>3746.8093318835622</v>
      </c>
      <c r="S17" s="276">
        <v>3782.1656535796728</v>
      </c>
      <c r="T17" s="275">
        <v>3817.5219752757839</v>
      </c>
      <c r="U17" s="275">
        <v>3852.8782969718959</v>
      </c>
      <c r="V17" s="275">
        <v>3888.234618668007</v>
      </c>
      <c r="W17" s="276">
        <v>3927.686912464862</v>
      </c>
      <c r="X17" s="275">
        <v>3967.1392062617178</v>
      </c>
      <c r="Y17" s="275">
        <v>4006.5915000585742</v>
      </c>
      <c r="Z17" s="275">
        <v>4046.0437938554301</v>
      </c>
      <c r="AA17" s="276">
        <v>4091.8476387732821</v>
      </c>
    </row>
    <row r="18" spans="1:28" ht="16" x14ac:dyDescent="0.2">
      <c r="B18" s="86" t="s">
        <v>169</v>
      </c>
      <c r="D18" s="275">
        <v>180.5</v>
      </c>
      <c r="E18" s="275">
        <v>171.5</v>
      </c>
      <c r="F18" s="275">
        <v>193.9</v>
      </c>
      <c r="G18" s="276">
        <v>203.46905965472101</v>
      </c>
      <c r="H18" s="275">
        <v>213.03811930944201</v>
      </c>
      <c r="I18" s="275">
        <v>222.60717896416301</v>
      </c>
      <c r="J18" s="275">
        <v>232.17623861888401</v>
      </c>
      <c r="K18" s="276">
        <v>272.74113487866401</v>
      </c>
      <c r="L18" s="275">
        <v>313.30603113844381</v>
      </c>
      <c r="M18" s="275">
        <v>353.87092739822373</v>
      </c>
      <c r="N18" s="275">
        <v>394.4358236580037</v>
      </c>
      <c r="O18" s="276">
        <v>417.68987091583182</v>
      </c>
      <c r="P18" s="275">
        <v>440.94391817365999</v>
      </c>
      <c r="Q18" s="275">
        <v>464.19796543148823</v>
      </c>
      <c r="R18" s="275">
        <v>487.45201268931629</v>
      </c>
      <c r="S18" s="276">
        <v>499.93126343802862</v>
      </c>
      <c r="T18" s="275">
        <v>512.4105141867409</v>
      </c>
      <c r="U18" s="275">
        <v>524.88976493545317</v>
      </c>
      <c r="V18" s="275">
        <v>537.36901568416533</v>
      </c>
      <c r="W18" s="276">
        <v>549.34569255866063</v>
      </c>
      <c r="X18" s="275">
        <v>561.32236943315593</v>
      </c>
      <c r="Y18" s="275">
        <v>573.29904630765122</v>
      </c>
      <c r="Z18" s="275">
        <v>585.27572318214641</v>
      </c>
      <c r="AA18" s="276">
        <v>587.36016206119621</v>
      </c>
    </row>
    <row r="19" spans="1:28" ht="16" x14ac:dyDescent="0.2">
      <c r="B19" s="86" t="s">
        <v>170</v>
      </c>
      <c r="D19" s="275">
        <v>74.5</v>
      </c>
      <c r="E19" s="275">
        <v>1085.9000000000001</v>
      </c>
      <c r="F19" s="275">
        <v>1211.7</v>
      </c>
      <c r="G19" s="276">
        <v>1215.6682094904941</v>
      </c>
      <c r="H19" s="275">
        <v>1219.787349294415</v>
      </c>
      <c r="I19" s="275">
        <v>1224.1957721990691</v>
      </c>
      <c r="J19" s="275">
        <v>1228.9563658350501</v>
      </c>
      <c r="K19" s="276">
        <v>1234.087996491538</v>
      </c>
      <c r="L19" s="275">
        <v>1239.414578802867</v>
      </c>
      <c r="M19" s="275">
        <v>1244.829203797028</v>
      </c>
      <c r="N19" s="275">
        <v>1250.313005184843</v>
      </c>
      <c r="O19" s="276">
        <v>1255.865982966312</v>
      </c>
      <c r="P19" s="275">
        <v>1261.5007146675521</v>
      </c>
      <c r="Q19" s="275">
        <v>1267.1606014210311</v>
      </c>
      <c r="R19" s="275">
        <v>1272.902242094282</v>
      </c>
      <c r="S19" s="276">
        <v>1278.725636687306</v>
      </c>
      <c r="T19" s="275">
        <v>1284.611918910924</v>
      </c>
      <c r="U19" s="275">
        <v>1290.51077866066</v>
      </c>
      <c r="V19" s="275">
        <v>1296.4410822256939</v>
      </c>
      <c r="W19" s="276">
        <v>1302.4028296060251</v>
      </c>
      <c r="X19" s="275">
        <v>1308.377154512475</v>
      </c>
      <c r="Y19" s="275">
        <v>1314.320035603628</v>
      </c>
      <c r="Z19" s="275">
        <v>1320.269205457839</v>
      </c>
      <c r="AA19" s="276">
        <v>1326.2183753120521</v>
      </c>
    </row>
    <row r="20" spans="1:28" x14ac:dyDescent="0.2">
      <c r="B20" t="s">
        <v>196</v>
      </c>
      <c r="D20" s="275">
        <v>627.79999999999995</v>
      </c>
      <c r="E20" s="275">
        <v>1396.9</v>
      </c>
      <c r="F20" s="275">
        <v>727.5</v>
      </c>
      <c r="G20" s="276">
        <v>733.04680766425781</v>
      </c>
      <c r="H20" s="275">
        <v>735.98902738182073</v>
      </c>
      <c r="I20" s="275">
        <v>739.36534509049943</v>
      </c>
      <c r="J20" s="275">
        <v>743.32046012066564</v>
      </c>
      <c r="K20" s="276">
        <v>749.02556575769893</v>
      </c>
      <c r="L20" s="275">
        <v>755.52366768540628</v>
      </c>
      <c r="M20" s="275">
        <v>762.10350317964219</v>
      </c>
      <c r="N20" s="275">
        <v>769.41290608618056</v>
      </c>
      <c r="O20" s="276">
        <v>776.13795670807622</v>
      </c>
      <c r="P20" s="275">
        <v>783.60728828800347</v>
      </c>
      <c r="Q20" s="275">
        <v>790.46038352082041</v>
      </c>
      <c r="R20" s="275">
        <v>798.06474350137887</v>
      </c>
      <c r="S20" s="276">
        <v>805.75664035773445</v>
      </c>
      <c r="T20" s="275">
        <v>813.52495973338114</v>
      </c>
      <c r="U20" s="275">
        <v>821.33843618411572</v>
      </c>
      <c r="V20" s="275">
        <v>829.20919608994689</v>
      </c>
      <c r="W20" s="276">
        <v>837.13753702857616</v>
      </c>
      <c r="X20" s="275">
        <v>845.80063209028697</v>
      </c>
      <c r="Y20" s="275">
        <v>853.79527583413812</v>
      </c>
      <c r="Z20" s="275">
        <v>861.83155348315586</v>
      </c>
      <c r="AA20" s="27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8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8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8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8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8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8">
        <f t="shared" si="0"/>
        <v>767.11235959291537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8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8">
        <f t="shared" si="1"/>
        <v>797.68095514365859</v>
      </c>
      <c r="L25" s="104">
        <f t="shared" si="1"/>
        <v>789.66127928724018</v>
      </c>
      <c r="M25" s="231">
        <f t="shared" si="1"/>
        <v>781.64160343082176</v>
      </c>
      <c r="N25" s="104">
        <f t="shared" si="1"/>
        <v>773.62192757440323</v>
      </c>
      <c r="O25" s="148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8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8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8">
        <f t="shared" si="1"/>
        <v>828.6749765144433</v>
      </c>
      <c r="AB25" s="95"/>
    </row>
    <row r="26" spans="1:28" s="170" customFormat="1" ht="12" x14ac:dyDescent="0.15">
      <c r="B26" s="212" t="s">
        <v>281</v>
      </c>
      <c r="D26" s="236"/>
      <c r="E26" s="251"/>
      <c r="F26" s="251"/>
      <c r="G26" s="237"/>
      <c r="H26" s="251"/>
      <c r="I26" s="251"/>
      <c r="J26" s="251"/>
      <c r="K26" s="255"/>
      <c r="L26" s="238"/>
      <c r="M26" s="238"/>
      <c r="N26" s="238">
        <f t="shared" ref="N26:AA26" si="2">(N25/M25)-1</f>
        <v>-1.0260042225513799E-2</v>
      </c>
      <c r="O26" s="255">
        <f t="shared" si="2"/>
        <v>-1.0264661310264267E-2</v>
      </c>
      <c r="P26" s="238">
        <f t="shared" si="2"/>
        <v>-1.0371117316931744E-2</v>
      </c>
      <c r="Q26" s="238">
        <f t="shared" si="2"/>
        <v>-1.0479804599895837E-2</v>
      </c>
      <c r="R26" s="238">
        <f t="shared" si="2"/>
        <v>-1.0590794052119601E-2</v>
      </c>
      <c r="S26" s="255">
        <f t="shared" si="2"/>
        <v>1.1268493687743852E-2</v>
      </c>
      <c r="T26" s="238">
        <f t="shared" si="2"/>
        <v>1.1142929655260536E-2</v>
      </c>
      <c r="U26" s="238">
        <f t="shared" si="2"/>
        <v>1.1020133087475292E-2</v>
      </c>
      <c r="V26" s="238">
        <f t="shared" si="2"/>
        <v>1.090001348818026E-2</v>
      </c>
      <c r="W26" s="255">
        <f t="shared" si="2"/>
        <v>1.3658909182321821E-2</v>
      </c>
      <c r="X26" s="238">
        <f t="shared" si="2"/>
        <v>1.3474857329809131E-2</v>
      </c>
      <c r="Y26" s="238">
        <f t="shared" si="2"/>
        <v>1.3295699673607553E-2</v>
      </c>
      <c r="Z26" s="238">
        <f t="shared" si="2"/>
        <v>1.3121243559890861E-2</v>
      </c>
      <c r="AA26" s="255">
        <f t="shared" si="2"/>
        <v>1.3477077828852435E-2</v>
      </c>
      <c r="AB26" s="252"/>
    </row>
    <row r="27" spans="1:28" s="97" customFormat="1" x14ac:dyDescent="0.2">
      <c r="B27" s="99" t="s">
        <v>179</v>
      </c>
      <c r="D27" s="103"/>
      <c r="E27" s="224"/>
      <c r="F27" s="224">
        <f t="shared" ref="F27:AA27" si="3">F24-F25</f>
        <v>-7.7329999999999472</v>
      </c>
      <c r="G27" s="149">
        <f t="shared" si="3"/>
        <v>-21.942068749787381</v>
      </c>
      <c r="H27" s="224">
        <f t="shared" si="3"/>
        <v>-35.926328019357129</v>
      </c>
      <c r="I27" s="224">
        <f t="shared" si="3"/>
        <v>-55.452357423799299</v>
      </c>
      <c r="J27" s="224">
        <f t="shared" si="3"/>
        <v>-82.127515173818438</v>
      </c>
      <c r="K27" s="149">
        <f t="shared" si="3"/>
        <v>-74.107839317399907</v>
      </c>
      <c r="L27" s="224">
        <f t="shared" si="3"/>
        <v>-66.088163460981491</v>
      </c>
      <c r="M27" s="248">
        <f t="shared" si="3"/>
        <v>-58.068487604563074</v>
      </c>
      <c r="N27" s="224">
        <f t="shared" si="3"/>
        <v>-57.472702469768592</v>
      </c>
      <c r="O27" s="149">
        <f t="shared" si="3"/>
        <v>-56.882764644330791</v>
      </c>
      <c r="P27" s="224">
        <f t="shared" si="3"/>
        <v>-56.292826818892991</v>
      </c>
      <c r="Q27" s="224">
        <f t="shared" si="3"/>
        <v>-55.70288899345519</v>
      </c>
      <c r="R27" s="224">
        <f t="shared" si="3"/>
        <v>-55.112951168017389</v>
      </c>
      <c r="S27" s="149">
        <f t="shared" si="3"/>
        <v>-55.733991110367128</v>
      </c>
      <c r="T27" s="224">
        <f t="shared" si="3"/>
        <v>-56.355031052716868</v>
      </c>
      <c r="U27" s="224">
        <f t="shared" si="3"/>
        <v>-56.976070995066607</v>
      </c>
      <c r="V27" s="224">
        <f t="shared" si="3"/>
        <v>-57.597110937416346</v>
      </c>
      <c r="W27" s="149">
        <f t="shared" si="3"/>
        <v>-58.383824644874608</v>
      </c>
      <c r="X27" s="224">
        <f t="shared" si="3"/>
        <v>-59.170538352332983</v>
      </c>
      <c r="Y27" s="224">
        <f t="shared" si="3"/>
        <v>-59.957252059791244</v>
      </c>
      <c r="Z27" s="224">
        <f t="shared" si="3"/>
        <v>-60.74396576724962</v>
      </c>
      <c r="AA27" s="149">
        <f t="shared" si="3"/>
        <v>-61.562616921527933</v>
      </c>
      <c r="AB27" s="253"/>
    </row>
    <row r="28" spans="1:28" x14ac:dyDescent="0.2">
      <c r="D28" s="102"/>
      <c r="E28" s="104"/>
      <c r="F28" s="104"/>
      <c r="G28" s="148"/>
      <c r="H28" s="104"/>
      <c r="I28" s="104"/>
      <c r="J28" s="104"/>
      <c r="K28" s="148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8"/>
      <c r="H29" s="104"/>
      <c r="I29" s="104"/>
      <c r="J29" s="104"/>
      <c r="K29" s="148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8"/>
      <c r="H30" s="104"/>
      <c r="I30" s="104"/>
      <c r="J30" s="104"/>
      <c r="K30" s="148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8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8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8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8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8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8">
        <f t="shared" si="4"/>
        <v>1859.7452693304276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8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8">
        <f t="shared" si="5"/>
        <v>62.918033777257392</v>
      </c>
      <c r="L32" s="231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8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8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8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8">
        <f t="shared" si="5"/>
        <v>169.9444832776542</v>
      </c>
      <c r="AB32" s="95"/>
    </row>
    <row r="33" spans="1:28" s="170" customFormat="1" ht="12" x14ac:dyDescent="0.15">
      <c r="B33" s="212" t="s">
        <v>281</v>
      </c>
      <c r="D33" s="236"/>
      <c r="E33" s="251"/>
      <c r="F33" s="251"/>
      <c r="G33" s="237"/>
      <c r="H33" s="251"/>
      <c r="I33" s="251"/>
      <c r="J33" s="251"/>
      <c r="K33" s="255"/>
      <c r="L33" s="238"/>
      <c r="M33" s="238">
        <f t="shared" ref="M33:AA33" si="6">(M32/L32)-1</f>
        <v>0.2159275732641488</v>
      </c>
      <c r="N33" s="238">
        <f t="shared" si="6"/>
        <v>0.16822828192874106</v>
      </c>
      <c r="O33" s="255">
        <f t="shared" si="6"/>
        <v>0.13465847524920194</v>
      </c>
      <c r="P33" s="238">
        <f t="shared" si="6"/>
        <v>0.11670158389390517</v>
      </c>
      <c r="Q33" s="238">
        <f t="shared" si="6"/>
        <v>0.11006676245021318</v>
      </c>
      <c r="R33" s="238">
        <f t="shared" si="6"/>
        <v>9.8697850563870704E-2</v>
      </c>
      <c r="S33" s="255">
        <f t="shared" si="6"/>
        <v>-3.1077176649944027E-3</v>
      </c>
      <c r="T33" s="238">
        <f t="shared" si="6"/>
        <v>-6.2253809563395102E-4</v>
      </c>
      <c r="U33" s="238">
        <f t="shared" si="6"/>
        <v>1.6654606709707309E-3</v>
      </c>
      <c r="V33" s="238">
        <f t="shared" si="6"/>
        <v>4.9857194229274704E-3</v>
      </c>
      <c r="W33" s="255">
        <f t="shared" si="6"/>
        <v>-7.1537650849472501E-3</v>
      </c>
      <c r="X33" s="238">
        <f t="shared" si="6"/>
        <v>-7.6216060651318474E-3</v>
      </c>
      <c r="Y33" s="238">
        <f t="shared" si="6"/>
        <v>-6.0021686953325437E-3</v>
      </c>
      <c r="Z33" s="238">
        <f t="shared" si="6"/>
        <v>-4.1392945122280533E-3</v>
      </c>
      <c r="AA33" s="255">
        <f t="shared" si="6"/>
        <v>-4.9784335820874936E-3</v>
      </c>
      <c r="AB33" s="252"/>
    </row>
    <row r="34" spans="1:28" s="97" customFormat="1" x14ac:dyDescent="0.2">
      <c r="B34" s="99" t="s">
        <v>179</v>
      </c>
      <c r="D34" s="103"/>
      <c r="E34" s="224"/>
      <c r="F34" s="224">
        <f t="shared" ref="F34:AA34" si="7">F31-F32</f>
        <v>691.399</v>
      </c>
      <c r="G34" s="149">
        <f t="shared" si="7"/>
        <v>726.6220967502511</v>
      </c>
      <c r="H34" s="224">
        <f t="shared" si="7"/>
        <v>764.23118760572027</v>
      </c>
      <c r="I34" s="224">
        <f t="shared" si="7"/>
        <v>796.29411591287919</v>
      </c>
      <c r="J34" s="224">
        <f t="shared" si="7"/>
        <v>819.43775129708126</v>
      </c>
      <c r="K34" s="149">
        <f t="shared" si="7"/>
        <v>806.09430547419333</v>
      </c>
      <c r="L34" s="248">
        <f t="shared" si="7"/>
        <v>790.92303196281762</v>
      </c>
      <c r="M34" s="224">
        <f t="shared" si="7"/>
        <v>961.70512289327155</v>
      </c>
      <c r="N34" s="224">
        <f t="shared" si="7"/>
        <v>1123.4911234396754</v>
      </c>
      <c r="O34" s="149">
        <f t="shared" si="7"/>
        <v>1274.778725078075</v>
      </c>
      <c r="P34" s="149">
        <f t="shared" si="7"/>
        <v>1423.5474214089395</v>
      </c>
      <c r="Q34" s="149">
        <f t="shared" si="7"/>
        <v>1580.2326772777706</v>
      </c>
      <c r="R34" s="149">
        <f t="shared" si="7"/>
        <v>1736.1982459158774</v>
      </c>
      <c r="S34" s="149">
        <f t="shared" si="7"/>
        <v>1730.8026319571122</v>
      </c>
      <c r="T34" s="149">
        <f t="shared" si="7"/>
        <v>1729.7251413826953</v>
      </c>
      <c r="U34" s="149">
        <f t="shared" si="7"/>
        <v>1732.6059305772574</v>
      </c>
      <c r="V34" s="149">
        <f t="shared" si="7"/>
        <v>1741.244217617616</v>
      </c>
      <c r="W34" s="149">
        <f t="shared" si="7"/>
        <v>1728.7877655292568</v>
      </c>
      <c r="X34" s="149">
        <f t="shared" si="7"/>
        <v>1715.6116262101732</v>
      </c>
      <c r="Y34" s="149">
        <f t="shared" si="7"/>
        <v>1705.3142358139858</v>
      </c>
      <c r="Z34" s="149">
        <f t="shared" si="7"/>
        <v>1698.2554379560565</v>
      </c>
      <c r="AA34" s="149">
        <f t="shared" si="7"/>
        <v>1689.8007860527734</v>
      </c>
      <c r="AB34" s="253"/>
    </row>
    <row r="35" spans="1:28" s="97" customFormat="1" x14ac:dyDescent="0.2">
      <c r="B35" s="99"/>
      <c r="D35" s="103"/>
      <c r="E35" s="224"/>
      <c r="F35" s="224"/>
      <c r="G35" s="149"/>
      <c r="H35" s="224"/>
      <c r="I35" s="224"/>
      <c r="J35" s="224"/>
      <c r="K35" s="149"/>
      <c r="L35" s="224"/>
      <c r="M35" s="224"/>
      <c r="N35" s="224"/>
      <c r="O35" s="182"/>
      <c r="P35" s="253"/>
      <c r="Q35" s="253"/>
      <c r="R35" s="253"/>
      <c r="S35" s="182"/>
      <c r="T35" s="253"/>
      <c r="U35" s="253"/>
      <c r="V35" s="253"/>
      <c r="W35" s="182"/>
      <c r="X35" s="253"/>
      <c r="Y35" s="253"/>
      <c r="Z35" s="253"/>
      <c r="AA35" s="182"/>
      <c r="AB35" s="253"/>
    </row>
    <row r="36" spans="1:28" s="97" customFormat="1" x14ac:dyDescent="0.2">
      <c r="B36" s="99"/>
      <c r="D36" s="103"/>
      <c r="E36" s="224"/>
      <c r="F36" s="224"/>
      <c r="G36" s="149"/>
      <c r="H36" s="224"/>
      <c r="I36" s="224"/>
      <c r="J36" s="224"/>
      <c r="K36" s="149"/>
      <c r="L36" s="224"/>
      <c r="M36" s="224"/>
      <c r="N36" s="224"/>
      <c r="O36" s="182"/>
      <c r="P36" s="253"/>
      <c r="Q36" s="253"/>
      <c r="R36" s="253"/>
      <c r="S36" s="182"/>
      <c r="T36" s="253"/>
      <c r="U36" s="253"/>
      <c r="V36" s="253"/>
      <c r="W36" s="182"/>
      <c r="X36" s="253"/>
      <c r="Y36" s="253"/>
      <c r="Z36" s="253"/>
      <c r="AA36" s="182"/>
      <c r="AB36" s="253"/>
    </row>
    <row r="37" spans="1:28" ht="19" x14ac:dyDescent="0.25">
      <c r="A37" s="105" t="s">
        <v>189</v>
      </c>
      <c r="B37" s="105"/>
      <c r="D37" s="102"/>
      <c r="E37" s="104"/>
      <c r="F37" s="104"/>
      <c r="G37" s="148"/>
      <c r="H37" s="104"/>
      <c r="I37" s="104"/>
      <c r="J37" s="104"/>
      <c r="K37" s="148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8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8">
        <f t="shared" ref="K38:AA38" si="8">J38*(1+K40)</f>
        <v>929.45215752016566</v>
      </c>
      <c r="L38" s="148">
        <f t="shared" si="8"/>
        <v>974.12606550900387</v>
      </c>
      <c r="M38" s="148">
        <f t="shared" si="8"/>
        <v>1018.799973497842</v>
      </c>
      <c r="N38" s="148">
        <f t="shared" si="8"/>
        <v>1063.4738814866801</v>
      </c>
      <c r="O38" s="148">
        <f t="shared" si="8"/>
        <v>1074.3536863490031</v>
      </c>
      <c r="P38" s="148">
        <f t="shared" si="8"/>
        <v>1085.2334912113261</v>
      </c>
      <c r="Q38" s="148">
        <f t="shared" si="8"/>
        <v>1096.1132960736491</v>
      </c>
      <c r="R38" s="148">
        <f t="shared" si="8"/>
        <v>1106.9931009359721</v>
      </c>
      <c r="S38" s="148">
        <f t="shared" si="8"/>
        <v>1113.3164343434505</v>
      </c>
      <c r="T38" s="148">
        <f t="shared" si="8"/>
        <v>1119.639767750929</v>
      </c>
      <c r="U38" s="148">
        <f t="shared" si="8"/>
        <v>1125.9631011584072</v>
      </c>
      <c r="V38" s="148">
        <f t="shared" si="8"/>
        <v>1132.2864345658857</v>
      </c>
      <c r="W38" s="148">
        <f t="shared" si="8"/>
        <v>1165.4893983501784</v>
      </c>
      <c r="X38" s="148">
        <f t="shared" si="8"/>
        <v>1198.6923621344699</v>
      </c>
      <c r="Y38" s="148">
        <f t="shared" si="8"/>
        <v>1231.8953259187617</v>
      </c>
      <c r="Z38" s="148">
        <f t="shared" si="8"/>
        <v>1265.0982897030535</v>
      </c>
      <c r="AA38" s="148">
        <f t="shared" si="8"/>
        <v>1287.4801801215926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8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8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8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8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8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8">
        <f t="shared" si="9"/>
        <v>1151.8062286849761</v>
      </c>
      <c r="AB39" s="95"/>
    </row>
    <row r="40" spans="1:28" s="170" customFormat="1" ht="12" x14ac:dyDescent="0.15">
      <c r="B40" s="212" t="s">
        <v>281</v>
      </c>
      <c r="D40" s="236"/>
      <c r="E40" s="251"/>
      <c r="F40" s="251"/>
      <c r="G40" s="237"/>
      <c r="H40" s="251"/>
      <c r="I40" s="251"/>
      <c r="J40" s="251"/>
      <c r="K40" s="255">
        <f t="shared" ref="K40:AA40" si="10">(K39/J39)-1</f>
        <v>5.0491643541760167E-2</v>
      </c>
      <c r="L40" s="238">
        <f t="shared" si="10"/>
        <v>4.8064774100940122E-2</v>
      </c>
      <c r="M40" s="238">
        <f t="shared" si="10"/>
        <v>4.5860499549917E-2</v>
      </c>
      <c r="N40" s="238">
        <f t="shared" si="10"/>
        <v>4.3849537839561803E-2</v>
      </c>
      <c r="O40" s="255">
        <f t="shared" si="10"/>
        <v>1.0230439178359196E-2</v>
      </c>
      <c r="P40" s="238">
        <f t="shared" si="10"/>
        <v>1.0126837186454019E-2</v>
      </c>
      <c r="Q40" s="238">
        <f t="shared" si="10"/>
        <v>1.002531247923355E-2</v>
      </c>
      <c r="R40" s="238">
        <f t="shared" si="10"/>
        <v>9.925803200540706E-3</v>
      </c>
      <c r="S40" s="255">
        <f t="shared" si="10"/>
        <v>5.7121705655907018E-3</v>
      </c>
      <c r="T40" s="238">
        <f t="shared" si="10"/>
        <v>5.6797269962223229E-3</v>
      </c>
      <c r="U40" s="238">
        <f t="shared" si="10"/>
        <v>5.6476498866955271E-3</v>
      </c>
      <c r="V40" s="238">
        <f t="shared" si="10"/>
        <v>5.6159330629688142E-3</v>
      </c>
      <c r="W40" s="255">
        <f t="shared" si="10"/>
        <v>2.9323820166601733E-2</v>
      </c>
      <c r="X40" s="238">
        <f t="shared" si="10"/>
        <v>2.8488430552257693E-2</v>
      </c>
      <c r="Y40" s="238">
        <f t="shared" si="10"/>
        <v>2.7699320387066129E-2</v>
      </c>
      <c r="Z40" s="238">
        <f t="shared" si="10"/>
        <v>2.6952747596090232E-2</v>
      </c>
      <c r="AA40" s="255">
        <f t="shared" si="10"/>
        <v>1.7691819363531591E-2</v>
      </c>
      <c r="AB40" s="252"/>
    </row>
    <row r="41" spans="1:28" s="97" customFormat="1" x14ac:dyDescent="0.2">
      <c r="B41" s="99" t="s">
        <v>179</v>
      </c>
      <c r="D41" s="103"/>
      <c r="E41" s="224"/>
      <c r="F41" s="224">
        <f t="shared" ref="F41:AA41" si="11">F38-F39</f>
        <v>3.2999999999901775E-2</v>
      </c>
      <c r="G41" s="149">
        <f t="shared" si="11"/>
        <v>23.142985628403267</v>
      </c>
      <c r="H41" s="224">
        <f t="shared" si="11"/>
        <v>46.379353230327069</v>
      </c>
      <c r="I41" s="224">
        <f t="shared" si="11"/>
        <v>69.743650491218432</v>
      </c>
      <c r="J41" s="248">
        <f t="shared" si="11"/>
        <v>93.23744404962531</v>
      </c>
      <c r="K41" s="149">
        <f t="shared" si="11"/>
        <v>97.945155839323775</v>
      </c>
      <c r="L41" s="224">
        <f t="shared" si="11"/>
        <v>102.65286762902224</v>
      </c>
      <c r="M41" s="224">
        <f t="shared" si="11"/>
        <v>107.3605794187207</v>
      </c>
      <c r="N41" s="224">
        <f t="shared" si="11"/>
        <v>112.06829120841905</v>
      </c>
      <c r="O41" s="149">
        <f t="shared" si="11"/>
        <v>113.21479904544935</v>
      </c>
      <c r="P41" s="224">
        <f t="shared" si="11"/>
        <v>114.36130688247965</v>
      </c>
      <c r="Q41" s="224">
        <f t="shared" si="11"/>
        <v>115.50781471950995</v>
      </c>
      <c r="R41" s="224">
        <f t="shared" si="11"/>
        <v>116.65432255654025</v>
      </c>
      <c r="S41" s="149">
        <f t="shared" si="11"/>
        <v>117.32067194419665</v>
      </c>
      <c r="T41" s="224">
        <f t="shared" si="11"/>
        <v>117.98702133185293</v>
      </c>
      <c r="U41" s="224">
        <f t="shared" si="11"/>
        <v>118.65337071950921</v>
      </c>
      <c r="V41" s="224">
        <f t="shared" si="11"/>
        <v>119.31972010716561</v>
      </c>
      <c r="W41" s="149">
        <f t="shared" si="11"/>
        <v>122.81863012191729</v>
      </c>
      <c r="X41" s="224">
        <f t="shared" si="11"/>
        <v>126.31754013666887</v>
      </c>
      <c r="Y41" s="224">
        <f t="shared" si="11"/>
        <v>129.81645015142067</v>
      </c>
      <c r="Z41" s="224">
        <f t="shared" si="11"/>
        <v>133.31536016617247</v>
      </c>
      <c r="AA41" s="149">
        <f t="shared" si="11"/>
        <v>135.67395143661656</v>
      </c>
      <c r="AB41" s="253"/>
    </row>
    <row r="42" spans="1:28" x14ac:dyDescent="0.2">
      <c r="D42" s="102"/>
      <c r="E42" s="104"/>
      <c r="F42" s="104"/>
      <c r="G42" s="148"/>
      <c r="H42" s="104"/>
      <c r="I42" s="104"/>
      <c r="J42" s="104"/>
      <c r="K42" s="148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8"/>
      <c r="H43" s="104"/>
      <c r="I43" s="104"/>
      <c r="J43" s="104"/>
      <c r="K43" s="148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8"/>
      <c r="H44" s="104"/>
      <c r="I44" s="104"/>
      <c r="J44" s="104"/>
      <c r="K44" s="148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8">
        <f>main_nipas!L3/1000</f>
        <v>2847.845831998829</v>
      </c>
      <c r="H45" s="102">
        <f>main_nipas!M3/1000</f>
        <v>2752.0649561336782</v>
      </c>
      <c r="I45" s="102">
        <f>main_nipas!N3/1000</f>
        <v>2658.3052157637767</v>
      </c>
      <c r="J45" s="102">
        <f>main_nipas!O3/1000</f>
        <v>2548.7674784838996</v>
      </c>
      <c r="K45" s="273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8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8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8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8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8">
        <f t="shared" si="13"/>
        <v>1961.095884519679</v>
      </c>
      <c r="AB46" s="95"/>
    </row>
    <row r="47" spans="1:28" s="170" customFormat="1" ht="12" x14ac:dyDescent="0.15">
      <c r="B47" s="212" t="s">
        <v>281</v>
      </c>
      <c r="D47" s="236"/>
      <c r="E47" s="251"/>
      <c r="F47" s="251"/>
      <c r="G47" s="237"/>
      <c r="H47" s="251"/>
      <c r="I47" s="251"/>
      <c r="J47" s="251"/>
      <c r="K47" s="255"/>
      <c r="L47" s="238">
        <f t="shared" ref="L47" si="14">(L46/K46)-1</f>
        <v>1.0125321926347519E-2</v>
      </c>
      <c r="M47" s="238">
        <f t="shared" ref="M47" si="15">(M46/L46)-1</f>
        <v>-3.0505183949192105E-4</v>
      </c>
      <c r="N47" s="238">
        <f t="shared" ref="N47" si="16">(N46/M46)-1</f>
        <v>-1.461169377813909E-2</v>
      </c>
      <c r="O47" s="255">
        <f t="shared" ref="O47" si="17">(O46/N46)-1</f>
        <v>1.1226533214585555E-3</v>
      </c>
      <c r="P47" s="238">
        <f t="shared" ref="P47" si="18">(P46/O46)-1</f>
        <v>1.7268215321963876E-3</v>
      </c>
      <c r="Q47" s="238">
        <f t="shared" ref="Q47" si="19">(Q46/P46)-1</f>
        <v>2.1371820982483136E-3</v>
      </c>
      <c r="R47" s="238">
        <f t="shared" ref="R47" si="20">(R46/Q46)-1</f>
        <v>3.3143939888224949E-3</v>
      </c>
      <c r="S47" s="255">
        <f t="shared" ref="S47" si="21">(S46/R46)-1</f>
        <v>1.0107990481500684E-2</v>
      </c>
      <c r="T47" s="238">
        <f t="shared" ref="T47" si="22">(T46/S46)-1</f>
        <v>9.6153552914264306E-3</v>
      </c>
      <c r="U47" s="238">
        <f t="shared" ref="U47" si="23">(U46/T46)-1</f>
        <v>7.7158166476685164E-3</v>
      </c>
      <c r="V47" s="238">
        <f t="shared" ref="V47" si="24">(V46/U46)-1</f>
        <v>6.5569975143711101E-3</v>
      </c>
      <c r="W47" s="255">
        <f t="shared" ref="W47" si="25">(W46/V46)-1</f>
        <v>2.3079756605254076E-2</v>
      </c>
      <c r="X47" s="238">
        <f t="shared" ref="X47" si="26">(X46/W46)-1</f>
        <v>1.904390384907928E-2</v>
      </c>
      <c r="Y47" s="238">
        <f t="shared" ref="Y47" si="27">(Y46/X46)-1</f>
        <v>1.5632217419739414E-2</v>
      </c>
      <c r="Z47" s="238">
        <f t="shared" ref="Z47" si="28">(Z46/Y46)-1</f>
        <v>1.2059066131583585E-2</v>
      </c>
      <c r="AA47" s="255">
        <f t="shared" ref="AA47" si="29">(AA46/Z46)-1</f>
        <v>6.4193468340163484E-3</v>
      </c>
      <c r="AB47" s="252"/>
    </row>
    <row r="48" spans="1:28" s="97" customFormat="1" x14ac:dyDescent="0.2">
      <c r="B48" s="99" t="s">
        <v>179</v>
      </c>
      <c r="D48" s="103"/>
      <c r="E48" s="224"/>
      <c r="F48" s="224">
        <f t="shared" ref="F48:AA48" si="30">F45-F46</f>
        <v>817.02500000000009</v>
      </c>
      <c r="G48" s="149">
        <f t="shared" si="30"/>
        <v>513.85424509879022</v>
      </c>
      <c r="H48" s="224">
        <f t="shared" si="30"/>
        <v>683.50185830197597</v>
      </c>
      <c r="I48" s="224">
        <f t="shared" si="30"/>
        <v>803.5651155471096</v>
      </c>
      <c r="J48" s="224">
        <f t="shared" si="30"/>
        <v>843.28782539808162</v>
      </c>
      <c r="K48" s="274">
        <f t="shared" si="30"/>
        <v>850.04005809445835</v>
      </c>
      <c r="L48" s="224">
        <f t="shared" si="30"/>
        <v>858.64698733295586</v>
      </c>
      <c r="M48" s="224">
        <f t="shared" si="30"/>
        <v>858.38505548999569</v>
      </c>
      <c r="N48" s="224">
        <f t="shared" si="30"/>
        <v>845.84259591544492</v>
      </c>
      <c r="O48" s="149">
        <f t="shared" si="30"/>
        <v>846.79218391518066</v>
      </c>
      <c r="P48" s="224">
        <f t="shared" si="30"/>
        <v>848.25444289166103</v>
      </c>
      <c r="Q48" s="224">
        <f t="shared" si="30"/>
        <v>850.06731710176859</v>
      </c>
      <c r="R48" s="224">
        <f t="shared" si="30"/>
        <v>852.88477510766552</v>
      </c>
      <c r="S48" s="149">
        <f t="shared" si="30"/>
        <v>861.50572629627095</v>
      </c>
      <c r="T48" s="224">
        <f t="shared" si="30"/>
        <v>869.78940994020809</v>
      </c>
      <c r="U48" s="224">
        <f t="shared" si="30"/>
        <v>876.50054554939038</v>
      </c>
      <c r="V48" s="224">
        <f t="shared" si="30"/>
        <v>882.24775744790236</v>
      </c>
      <c r="W48" s="149">
        <f t="shared" si="30"/>
        <v>902.60982095533109</v>
      </c>
      <c r="X48" s="224">
        <f t="shared" si="30"/>
        <v>919.79903559883928</v>
      </c>
      <c r="Y48" s="224">
        <f t="shared" si="30"/>
        <v>934.17753410578689</v>
      </c>
      <c r="Z48" s="224">
        <f t="shared" si="30"/>
        <v>945.44284276820849</v>
      </c>
      <c r="AA48" s="149">
        <f t="shared" si="30"/>
        <v>951.51196828767593</v>
      </c>
      <c r="AB48" s="253"/>
    </row>
    <row r="49" spans="2:28" s="97" customFormat="1" x14ac:dyDescent="0.2">
      <c r="B49" s="99"/>
      <c r="D49" s="103"/>
      <c r="E49" s="224"/>
      <c r="F49" s="224"/>
      <c r="G49" s="149"/>
      <c r="H49" s="224"/>
      <c r="I49" s="224"/>
      <c r="J49" s="224"/>
      <c r="K49" s="149"/>
      <c r="L49" s="224"/>
      <c r="M49" s="224"/>
      <c r="N49" s="224"/>
      <c r="O49" s="182"/>
      <c r="P49" s="253"/>
      <c r="Q49" s="253"/>
      <c r="R49" s="253"/>
      <c r="S49" s="182"/>
      <c r="T49" s="253"/>
      <c r="U49" s="253"/>
      <c r="V49" s="253"/>
      <c r="W49" s="182"/>
      <c r="X49" s="253"/>
      <c r="Y49" s="253"/>
      <c r="Z49" s="253"/>
      <c r="AA49" s="182"/>
      <c r="AB49" s="253"/>
    </row>
    <row r="50" spans="2:28" s="97" customFormat="1" x14ac:dyDescent="0.2">
      <c r="B50" s="99"/>
      <c r="D50" s="103"/>
      <c r="E50" s="224"/>
      <c r="F50" s="224"/>
      <c r="G50" s="149"/>
      <c r="H50" s="224"/>
      <c r="I50" s="224"/>
      <c r="J50" s="224"/>
      <c r="K50" s="149"/>
      <c r="L50" s="224"/>
      <c r="M50" s="224"/>
      <c r="N50" s="224"/>
      <c r="O50" s="182"/>
      <c r="P50" s="253"/>
      <c r="Q50" s="253"/>
      <c r="R50" s="253"/>
      <c r="S50" s="182"/>
      <c r="T50" s="253"/>
      <c r="U50" s="253"/>
      <c r="V50" s="253"/>
      <c r="W50" s="182"/>
      <c r="X50" s="253"/>
      <c r="Y50" s="253"/>
      <c r="Z50" s="253"/>
      <c r="AA50" s="182"/>
      <c r="AB50" s="253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69" t="s">
        <v>257</v>
      </c>
      <c r="B1" s="269" t="s">
        <v>250</v>
      </c>
      <c r="C1" s="269" t="s">
        <v>251</v>
      </c>
      <c r="D1" s="269" t="s">
        <v>252</v>
      </c>
      <c r="E1" s="269" t="s">
        <v>253</v>
      </c>
      <c r="F1" s="269" t="s">
        <v>254</v>
      </c>
      <c r="G1" s="269" t="s">
        <v>255</v>
      </c>
      <c r="H1" s="269" t="s">
        <v>256</v>
      </c>
      <c r="I1" s="269" t="s">
        <v>290</v>
      </c>
    </row>
    <row r="2" spans="1:9" x14ac:dyDescent="0.2">
      <c r="A2" s="270">
        <v>44104</v>
      </c>
      <c r="B2" s="271">
        <f t="array" ref="B2:B23">TRANSPOSE('add-ons calculations nipas'!F27:AA27)</f>
        <v>-7.7329999999999472</v>
      </c>
      <c r="C2" s="269">
        <f t="array" ref="C2:C23">TRANSPOSE('add-ons calculations nipas'!F34:AA34)</f>
        <v>691.399</v>
      </c>
      <c r="D2" s="269">
        <f t="array" ref="D2:D23">TRANSPOSE('add-ons calculations'!F40:AA40)</f>
        <v>4.5999999999821739E-2</v>
      </c>
      <c r="E2" s="269">
        <f t="array" ref="E2:E23">TRANSPOSE('add-ons calculations'!F46:AA46)</f>
        <v>0</v>
      </c>
      <c r="F2" s="269">
        <f t="array" ref="F2:F23">TRANSPOSE('add-ons calculations nipas'!F41:AA41)</f>
        <v>3.2999999999901775E-2</v>
      </c>
      <c r="G2" s="269">
        <f t="array" ref="G2:G23">TRANSPOSE('add-ons calculations nipas'!F48:AA48)</f>
        <v>817.02500000000009</v>
      </c>
      <c r="H2" s="269">
        <f t="array" ref="H2:H23">TRANSPOSE('add-ons calculations'!F67:AA67)</f>
        <v>0.60799999999994725</v>
      </c>
      <c r="I2" s="269">
        <f t="array" ref="I2:I23">TRANSPOSE('add-ons calculations'!F74:AA74)</f>
        <v>44.822614367357801</v>
      </c>
    </row>
    <row r="3" spans="1:9" x14ac:dyDescent="0.2">
      <c r="A3" s="270">
        <v>44196</v>
      </c>
      <c r="B3" s="269">
        <v>-21.942068749787381</v>
      </c>
      <c r="C3" s="269">
        <v>726.6220967502511</v>
      </c>
      <c r="D3" s="269">
        <v>9.1220108456809612E-2</v>
      </c>
      <c r="E3" s="269">
        <v>1.9071502101439819E-3</v>
      </c>
      <c r="F3" s="269">
        <v>23.142985628403267</v>
      </c>
      <c r="G3" s="269">
        <v>513.85424509879022</v>
      </c>
      <c r="H3" s="269">
        <v>-833.73947605477315</v>
      </c>
      <c r="I3" s="269">
        <v>69.242163837897039</v>
      </c>
    </row>
    <row r="4" spans="1:9" x14ac:dyDescent="0.2">
      <c r="A4" s="270">
        <v>44286</v>
      </c>
      <c r="B4" s="269">
        <v>-35.926328019357129</v>
      </c>
      <c r="C4" s="269">
        <v>764.23118760572027</v>
      </c>
      <c r="D4" s="269">
        <v>9.2732986063538192E-2</v>
      </c>
      <c r="E4" s="269">
        <v>1.9387801313541786E-3</v>
      </c>
      <c r="F4" s="269">
        <v>46.379353230327069</v>
      </c>
      <c r="G4" s="269">
        <v>683.50185830197597</v>
      </c>
      <c r="H4" s="269">
        <v>-1120.5437736769309</v>
      </c>
      <c r="I4" s="269">
        <v>68.614647648729658</v>
      </c>
    </row>
    <row r="5" spans="1:9" x14ac:dyDescent="0.2">
      <c r="A5" s="270">
        <v>44377</v>
      </c>
      <c r="B5" s="269">
        <v>-55.452357423799299</v>
      </c>
      <c r="C5" s="269">
        <v>796.29411591287919</v>
      </c>
      <c r="D5" s="269">
        <v>9.4207574237998415E-2</v>
      </c>
      <c r="E5" s="269">
        <v>1.969609530561911E-3</v>
      </c>
      <c r="F5" s="269">
        <v>69.743650491218432</v>
      </c>
      <c r="G5" s="269">
        <v>803.5651155471096</v>
      </c>
      <c r="H5" s="269">
        <v>-1124.95583479476</v>
      </c>
      <c r="I5" s="269">
        <v>56.665943583511762</v>
      </c>
    </row>
    <row r="6" spans="1:9" x14ac:dyDescent="0.2">
      <c r="A6" s="270">
        <v>44469</v>
      </c>
      <c r="B6" s="269">
        <v>-82.127515173818438</v>
      </c>
      <c r="C6" s="269">
        <v>819.43775129708126</v>
      </c>
      <c r="D6" s="269">
        <v>9.5783673922369417E-2</v>
      </c>
      <c r="E6" s="269">
        <v>2.0025612436285201E-3</v>
      </c>
      <c r="F6" s="269">
        <v>93.23744404962531</v>
      </c>
      <c r="G6" s="269">
        <v>843.28782539808162</v>
      </c>
      <c r="H6" s="269">
        <v>-1129.7203572857679</v>
      </c>
      <c r="I6" s="269">
        <v>72.288989016896693</v>
      </c>
    </row>
    <row r="7" spans="1:9" x14ac:dyDescent="0.2">
      <c r="A7" s="270">
        <v>44561</v>
      </c>
      <c r="B7" s="269">
        <v>-74.107839317399907</v>
      </c>
      <c r="C7" s="269">
        <v>806.09430547419333</v>
      </c>
      <c r="D7" s="269">
        <v>9.6839304535023984E-2</v>
      </c>
      <c r="E7" s="269">
        <v>2.024631444953684E-3</v>
      </c>
      <c r="F7" s="269">
        <v>97.945155839323775</v>
      </c>
      <c r="G7" s="269">
        <v>850.04005809445835</v>
      </c>
      <c r="H7" s="269">
        <v>-1134.856223009233</v>
      </c>
      <c r="I7" s="269">
        <v>56.491059459541219</v>
      </c>
    </row>
    <row r="8" spans="1:9" x14ac:dyDescent="0.2">
      <c r="A8" s="270">
        <v>44651</v>
      </c>
      <c r="B8" s="269">
        <v>-66.088163460981491</v>
      </c>
      <c r="C8" s="269">
        <v>790.92303196281762</v>
      </c>
      <c r="D8" s="269">
        <v>0</v>
      </c>
      <c r="E8" s="269">
        <v>0</v>
      </c>
      <c r="F8" s="269">
        <v>102.65286762902224</v>
      </c>
      <c r="G8" s="269">
        <v>858.64698733295586</v>
      </c>
      <c r="H8" s="269">
        <v>-1165.6072012785651</v>
      </c>
      <c r="I8" s="269">
        <v>40.106394189216502</v>
      </c>
    </row>
    <row r="9" spans="1:9" x14ac:dyDescent="0.2">
      <c r="A9" s="270">
        <v>44742</v>
      </c>
      <c r="B9" s="269">
        <v>-58.068487604563074</v>
      </c>
      <c r="C9" s="269">
        <v>961.70512289327155</v>
      </c>
      <c r="D9" s="269">
        <v>0</v>
      </c>
      <c r="E9" s="269">
        <v>0</v>
      </c>
      <c r="F9" s="269">
        <v>107.3605794187207</v>
      </c>
      <c r="G9" s="269">
        <v>858.38505548999569</v>
      </c>
      <c r="H9" s="269">
        <v>-1170.6993843086477</v>
      </c>
      <c r="I9" s="269">
        <v>29.661254484149993</v>
      </c>
    </row>
    <row r="10" spans="1:9" x14ac:dyDescent="0.2">
      <c r="A10" s="270">
        <v>44834</v>
      </c>
      <c r="B10" s="269">
        <v>-57.472702469768592</v>
      </c>
      <c r="C10" s="269">
        <v>1123.4911234396754</v>
      </c>
      <c r="D10" s="269">
        <v>0</v>
      </c>
      <c r="E10" s="269">
        <v>0</v>
      </c>
      <c r="F10" s="269">
        <v>112.06829120841905</v>
      </c>
      <c r="G10" s="269">
        <v>845.84259591544492</v>
      </c>
      <c r="H10" s="269">
        <v>-1175.8566242647828</v>
      </c>
      <c r="I10" s="269">
        <v>18.676309913851043</v>
      </c>
    </row>
    <row r="11" spans="1:9" x14ac:dyDescent="0.2">
      <c r="A11" s="270">
        <v>44926</v>
      </c>
      <c r="B11" s="269">
        <v>-56.882764644330791</v>
      </c>
      <c r="C11" s="269">
        <v>1274.778725078075</v>
      </c>
      <c r="D11" s="269">
        <v>0</v>
      </c>
      <c r="E11" s="269">
        <v>0</v>
      </c>
      <c r="F11" s="269">
        <v>113.21479904544935</v>
      </c>
      <c r="G11" s="269">
        <v>846.79218391518066</v>
      </c>
      <c r="H11" s="269">
        <v>-1181.0789211469692</v>
      </c>
      <c r="I11" s="269">
        <v>8.1784586186428498</v>
      </c>
    </row>
    <row r="12" spans="1:9" x14ac:dyDescent="0.2">
      <c r="A12" s="270">
        <v>45016</v>
      </c>
      <c r="B12" s="269">
        <v>-56.292826818892991</v>
      </c>
      <c r="C12" s="269">
        <v>1423.5474214089395</v>
      </c>
      <c r="D12" s="269">
        <v>0</v>
      </c>
      <c r="E12" s="269">
        <v>0</v>
      </c>
      <c r="F12" s="269">
        <v>114.36130688247965</v>
      </c>
      <c r="G12" s="269">
        <v>848.25444289166103</v>
      </c>
      <c r="H12" s="269">
        <v>-1186.3781034872188</v>
      </c>
      <c r="I12" s="269">
        <v>-2.8700840526758213</v>
      </c>
    </row>
    <row r="13" spans="1:9" x14ac:dyDescent="0.2">
      <c r="A13" s="270">
        <v>45107</v>
      </c>
      <c r="B13" s="269">
        <v>-55.70288899345519</v>
      </c>
      <c r="C13" s="269">
        <v>1580.2326772777706</v>
      </c>
      <c r="D13" s="269">
        <v>0</v>
      </c>
      <c r="E13" s="269">
        <v>0</v>
      </c>
      <c r="F13" s="269">
        <v>115.50781471950995</v>
      </c>
      <c r="G13" s="269">
        <v>850.06731710176859</v>
      </c>
      <c r="H13" s="269">
        <v>-1191.7009428914864</v>
      </c>
      <c r="I13" s="269">
        <v>-3.0081206958325879</v>
      </c>
    </row>
    <row r="14" spans="1:9" x14ac:dyDescent="0.2">
      <c r="A14" s="270">
        <v>45199</v>
      </c>
      <c r="B14" s="269">
        <v>-55.112951168017389</v>
      </c>
      <c r="C14" s="269">
        <v>1736.1982459158774</v>
      </c>
      <c r="D14" s="269">
        <v>0</v>
      </c>
      <c r="E14" s="269">
        <v>0</v>
      </c>
      <c r="F14" s="269">
        <v>116.65432255654025</v>
      </c>
      <c r="G14" s="269">
        <v>852.88477510766552</v>
      </c>
      <c r="H14" s="269">
        <v>-1197.1006677538157</v>
      </c>
      <c r="I14" s="269">
        <v>-3.1545408316389967</v>
      </c>
    </row>
    <row r="15" spans="1:9" x14ac:dyDescent="0.2">
      <c r="A15" s="270">
        <v>45291</v>
      </c>
      <c r="B15" s="269">
        <v>-55.733991110367128</v>
      </c>
      <c r="C15" s="269">
        <v>1730.8026319571122</v>
      </c>
      <c r="D15" s="269">
        <v>0</v>
      </c>
      <c r="E15" s="269">
        <v>0</v>
      </c>
      <c r="F15" s="269">
        <v>117.32067194419665</v>
      </c>
      <c r="G15" s="269">
        <v>861.50572629627095</v>
      </c>
      <c r="H15" s="269">
        <v>-1202.5772780742061</v>
      </c>
      <c r="I15" s="269">
        <v>-3.1755686603398772</v>
      </c>
    </row>
    <row r="16" spans="1:9" x14ac:dyDescent="0.2">
      <c r="A16" s="270">
        <v>45382</v>
      </c>
      <c r="B16" s="269">
        <v>-56.355031052716868</v>
      </c>
      <c r="C16" s="269">
        <v>1729.7251413826953</v>
      </c>
      <c r="D16" s="269">
        <v>0</v>
      </c>
      <c r="E16" s="269">
        <v>0</v>
      </c>
      <c r="F16" s="269">
        <v>117.98702133185293</v>
      </c>
      <c r="G16" s="269">
        <v>869.78940994020809</v>
      </c>
      <c r="H16" s="269">
        <v>-1208.113031054645</v>
      </c>
      <c r="I16" s="269">
        <v>-3.1974493010895912</v>
      </c>
    </row>
    <row r="17" spans="1:9" x14ac:dyDescent="0.2">
      <c r="A17" s="270">
        <v>45473</v>
      </c>
      <c r="B17" s="269">
        <v>-56.976070995066607</v>
      </c>
      <c r="C17" s="269">
        <v>1732.6059305772574</v>
      </c>
      <c r="D17" s="269">
        <v>0</v>
      </c>
      <c r="E17" s="269">
        <v>0</v>
      </c>
      <c r="F17" s="269">
        <v>118.65337071950921</v>
      </c>
      <c r="G17" s="269">
        <v>876.50054554939038</v>
      </c>
      <c r="H17" s="269">
        <v>-1213.6606125670928</v>
      </c>
      <c r="I17" s="269">
        <v>-3.2198338574140166</v>
      </c>
    </row>
    <row r="18" spans="1:9" x14ac:dyDescent="0.2">
      <c r="A18" s="270">
        <v>45565</v>
      </c>
      <c r="B18" s="269">
        <v>-57.597110937416346</v>
      </c>
      <c r="C18" s="269">
        <v>1741.244217617616</v>
      </c>
      <c r="D18" s="269">
        <v>0</v>
      </c>
      <c r="E18" s="269">
        <v>0</v>
      </c>
      <c r="F18" s="269">
        <v>119.31972010716561</v>
      </c>
      <c r="G18" s="269">
        <v>882.24775744790236</v>
      </c>
      <c r="H18" s="269">
        <v>-1219.2377654095646</v>
      </c>
      <c r="I18" s="269">
        <v>-3.2428576496751589</v>
      </c>
    </row>
    <row r="19" spans="1:9" x14ac:dyDescent="0.2">
      <c r="A19" s="270">
        <v>45657</v>
      </c>
      <c r="B19" s="269">
        <v>-58.383824644874608</v>
      </c>
      <c r="C19" s="269">
        <v>1728.7877655292568</v>
      </c>
      <c r="D19" s="269">
        <v>0</v>
      </c>
      <c r="E19" s="269">
        <v>0</v>
      </c>
      <c r="F19" s="269">
        <v>122.81863012191729</v>
      </c>
      <c r="G19" s="269">
        <v>902.60982095533109</v>
      </c>
      <c r="H19" s="269">
        <v>-1224.8444895820596</v>
      </c>
      <c r="I19" s="269">
        <v>-3.2492354464859545</v>
      </c>
    </row>
    <row r="20" spans="1:9" x14ac:dyDescent="0.2">
      <c r="A20" s="270">
        <v>45747</v>
      </c>
      <c r="B20" s="269">
        <v>-59.170538352332983</v>
      </c>
      <c r="C20" s="269">
        <v>1715.6116262101732</v>
      </c>
      <c r="D20" s="269">
        <v>0</v>
      </c>
      <c r="E20" s="269">
        <v>0</v>
      </c>
      <c r="F20" s="269">
        <v>126.31754013666887</v>
      </c>
      <c r="G20" s="269">
        <v>919.79903559883928</v>
      </c>
      <c r="H20" s="269">
        <v>-1230.4630422865646</v>
      </c>
      <c r="I20" s="269">
        <v>-3.2638124910435522</v>
      </c>
    </row>
    <row r="21" spans="1:9" x14ac:dyDescent="0.2">
      <c r="A21" s="270">
        <v>45838</v>
      </c>
      <c r="B21" s="269">
        <v>-59.957252059791244</v>
      </c>
      <c r="C21" s="269">
        <v>1705.3142358139858</v>
      </c>
      <c r="D21" s="269">
        <v>0</v>
      </c>
      <c r="E21" s="269">
        <v>0</v>
      </c>
      <c r="F21" s="269">
        <v>129.81645015142067</v>
      </c>
      <c r="G21" s="269">
        <v>934.17753410578689</v>
      </c>
      <c r="H21" s="269">
        <v>-1236.052023661046</v>
      </c>
      <c r="I21" s="269">
        <v>-3.2709301722717896</v>
      </c>
    </row>
    <row r="22" spans="1:9" x14ac:dyDescent="0.2">
      <c r="A22" s="270">
        <v>45930</v>
      </c>
      <c r="B22" s="269">
        <v>-60.74396576724962</v>
      </c>
      <c r="C22" s="269">
        <v>1698.2554379560565</v>
      </c>
      <c r="D22" s="269">
        <v>0</v>
      </c>
      <c r="E22" s="269">
        <v>0</v>
      </c>
      <c r="F22" s="269">
        <v>133.31536016617247</v>
      </c>
      <c r="G22" s="269">
        <v>945.44284276820849</v>
      </c>
      <c r="H22" s="269">
        <v>-1241.6469193015316</v>
      </c>
      <c r="I22" s="269">
        <v>-3.2785124534150327</v>
      </c>
    </row>
    <row r="23" spans="1:9" x14ac:dyDescent="0.2">
      <c r="A23" s="270">
        <v>46022</v>
      </c>
      <c r="B23" s="269">
        <v>-61.562616921527933</v>
      </c>
      <c r="C23" s="269">
        <v>1689.8007860527734</v>
      </c>
      <c r="D23" s="269">
        <v>0</v>
      </c>
      <c r="E23" s="269">
        <v>0</v>
      </c>
      <c r="F23" s="269">
        <v>135.67395143661656</v>
      </c>
      <c r="G23" s="269">
        <v>951.51196828767593</v>
      </c>
      <c r="H23" s="269">
        <v>-1247.2418149420184</v>
      </c>
      <c r="I23" s="269">
        <v>-3.2831814210312018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F27" sqref="F27"/>
    </sheetView>
  </sheetViews>
  <sheetFormatPr baseColWidth="10" defaultColWidth="8.83203125" defaultRowHeight="15" x14ac:dyDescent="0.2"/>
  <sheetData>
    <row r="1" spans="1:9" s="278" customFormat="1" x14ac:dyDescent="0.2">
      <c r="A1" s="278" t="s">
        <v>325</v>
      </c>
      <c r="B1" s="278" t="s">
        <v>326</v>
      </c>
      <c r="C1" s="278" t="s">
        <v>327</v>
      </c>
      <c r="D1" s="278" t="s">
        <v>328</v>
      </c>
      <c r="E1" s="278" t="s">
        <v>329</v>
      </c>
      <c r="F1" s="278" t="s">
        <v>330</v>
      </c>
      <c r="G1" s="278" t="s">
        <v>331</v>
      </c>
      <c r="H1" s="278" t="s">
        <v>332</v>
      </c>
      <c r="I1" s="278" t="s">
        <v>333</v>
      </c>
    </row>
    <row r="2" spans="1:9" x14ac:dyDescent="0.2">
      <c r="A2" t="s">
        <v>295</v>
      </c>
      <c r="B2" s="285">
        <v>20909.900000000001</v>
      </c>
      <c r="C2" s="285">
        <v>21115.3</v>
      </c>
      <c r="D2" s="285">
        <v>21329.9</v>
      </c>
      <c r="E2" s="285">
        <v>21540.3</v>
      </c>
      <c r="F2" s="285">
        <v>21747.4</v>
      </c>
      <c r="G2" s="285">
        <v>21561.1</v>
      </c>
      <c r="H2" s="285">
        <v>19520.099999999999</v>
      </c>
      <c r="I2" s="285">
        <v>21157.1</v>
      </c>
    </row>
    <row r="3" spans="1:9" x14ac:dyDescent="0.2">
      <c r="A3" t="s">
        <v>296</v>
      </c>
      <c r="B3" s="285">
        <v>18813.900000000001</v>
      </c>
      <c r="C3" s="285">
        <v>18950.3</v>
      </c>
      <c r="D3" s="285">
        <v>19020.599999999999</v>
      </c>
      <c r="E3" s="285">
        <v>19141.7</v>
      </c>
      <c r="F3" s="285">
        <v>19254</v>
      </c>
      <c r="G3" s="285">
        <v>19010.8</v>
      </c>
      <c r="H3" s="285">
        <v>17302.5</v>
      </c>
      <c r="I3" s="285">
        <v>18583.5</v>
      </c>
    </row>
    <row r="4" spans="1:9" x14ac:dyDescent="0.2">
      <c r="A4" t="s">
        <v>297</v>
      </c>
      <c r="B4" s="285">
        <v>1634.2</v>
      </c>
      <c r="C4" s="285">
        <v>1695.5</v>
      </c>
      <c r="D4" s="285">
        <v>1703.1</v>
      </c>
      <c r="E4" s="285">
        <v>1713.2</v>
      </c>
      <c r="F4" s="285">
        <v>1740.2</v>
      </c>
      <c r="G4" s="285">
        <v>1756.6</v>
      </c>
      <c r="H4" s="285">
        <v>1600.1</v>
      </c>
      <c r="I4" s="285">
        <v>1687.2</v>
      </c>
    </row>
    <row r="5" spans="1:9" x14ac:dyDescent="0.2">
      <c r="A5" t="s">
        <v>298</v>
      </c>
      <c r="B5" s="285">
        <v>183.5</v>
      </c>
      <c r="C5" s="285">
        <v>172.1</v>
      </c>
      <c r="D5" s="285">
        <v>168.3</v>
      </c>
      <c r="E5" s="285">
        <v>175.1</v>
      </c>
      <c r="F5" s="285">
        <v>179.2</v>
      </c>
      <c r="G5" s="285">
        <v>183.8</v>
      </c>
      <c r="H5" s="285">
        <v>131.4</v>
      </c>
      <c r="I5" s="285">
        <v>144.69999999999999</v>
      </c>
    </row>
    <row r="6" spans="1:9" x14ac:dyDescent="0.2">
      <c r="A6" t="s">
        <v>299</v>
      </c>
      <c r="B6" s="285">
        <v>1355.2</v>
      </c>
      <c r="C6" s="285">
        <v>1386.7</v>
      </c>
      <c r="D6" s="285">
        <v>1392.6</v>
      </c>
      <c r="E6" s="285">
        <v>1397.2</v>
      </c>
      <c r="F6" s="285">
        <v>1411.7</v>
      </c>
      <c r="G6" s="285">
        <v>1431.2</v>
      </c>
      <c r="H6" s="285">
        <v>1369.2</v>
      </c>
      <c r="I6" s="285">
        <v>1429.6</v>
      </c>
    </row>
    <row r="7" spans="1:9" x14ac:dyDescent="0.2">
      <c r="A7" t="s">
        <v>300</v>
      </c>
      <c r="B7" s="285">
        <v>234.7</v>
      </c>
      <c r="C7" s="285">
        <v>213.8</v>
      </c>
      <c r="D7" s="285">
        <v>224.2</v>
      </c>
      <c r="E7" s="285">
        <v>201.6</v>
      </c>
      <c r="F7" s="285">
        <v>229.7</v>
      </c>
      <c r="G7" s="285">
        <v>180.5</v>
      </c>
      <c r="H7" s="285">
        <v>171.5</v>
      </c>
      <c r="I7" s="285">
        <v>205.3</v>
      </c>
    </row>
    <row r="8" spans="1:9" x14ac:dyDescent="0.2">
      <c r="A8" t="s">
        <v>301</v>
      </c>
      <c r="B8" s="285">
        <v>456.5</v>
      </c>
      <c r="C8" s="285">
        <v>475.2</v>
      </c>
      <c r="D8" s="285">
        <v>519.4</v>
      </c>
      <c r="E8" s="285">
        <v>483.9</v>
      </c>
      <c r="F8" s="285">
        <v>480.9</v>
      </c>
      <c r="G8" s="285">
        <v>495.8</v>
      </c>
      <c r="H8" s="285">
        <v>496.4</v>
      </c>
      <c r="I8" s="285">
        <v>499.4</v>
      </c>
    </row>
    <row r="9" spans="1:9" x14ac:dyDescent="0.2">
      <c r="A9" t="s">
        <v>302</v>
      </c>
      <c r="B9" s="285">
        <v>1295.5</v>
      </c>
      <c r="C9" s="285">
        <v>1301.5999999999999</v>
      </c>
      <c r="D9" s="285">
        <v>1312.4</v>
      </c>
      <c r="E9" s="285">
        <v>1326.5</v>
      </c>
      <c r="F9" s="285">
        <v>1330.4</v>
      </c>
      <c r="G9" s="285">
        <v>1346.2</v>
      </c>
      <c r="H9" s="285">
        <v>1264.3</v>
      </c>
      <c r="I9" s="285">
        <v>1317.3</v>
      </c>
    </row>
    <row r="10" spans="1:9" x14ac:dyDescent="0.2">
      <c r="A10" t="s">
        <v>334</v>
      </c>
      <c r="B10" s="285">
        <v>8600</v>
      </c>
      <c r="C10" s="285">
        <v>8932</v>
      </c>
      <c r="D10" s="285">
        <v>8944</v>
      </c>
      <c r="E10" s="285">
        <v>8604</v>
      </c>
      <c r="F10" s="285">
        <v>7908</v>
      </c>
      <c r="G10" s="285">
        <v>7020</v>
      </c>
      <c r="H10" s="285">
        <v>6744</v>
      </c>
      <c r="I10" s="285">
        <v>7248</v>
      </c>
    </row>
    <row r="11" spans="1:9" x14ac:dyDescent="0.2">
      <c r="A11" t="s">
        <v>335</v>
      </c>
      <c r="B11" s="285">
        <v>12969</v>
      </c>
      <c r="C11" s="285">
        <v>13054</v>
      </c>
      <c r="D11" s="285">
        <v>13132</v>
      </c>
      <c r="E11" s="285">
        <v>13183</v>
      </c>
      <c r="F11" s="285">
        <v>13235</v>
      </c>
      <c r="G11" s="285">
        <v>13345</v>
      </c>
      <c r="H11" s="285">
        <v>12362</v>
      </c>
      <c r="I11" s="285">
        <v>12998</v>
      </c>
    </row>
    <row r="12" spans="1:9" x14ac:dyDescent="0.2">
      <c r="A12" t="s">
        <v>304</v>
      </c>
      <c r="B12" s="285">
        <v>63.5</v>
      </c>
      <c r="C12" s="285">
        <v>68.5</v>
      </c>
      <c r="D12" s="285">
        <v>68.7</v>
      </c>
      <c r="E12" s="285">
        <v>69.8</v>
      </c>
      <c r="F12" s="285">
        <v>71</v>
      </c>
      <c r="G12" s="285">
        <v>62.7</v>
      </c>
      <c r="H12" s="285">
        <v>54.2</v>
      </c>
      <c r="I12" s="285">
        <v>79.099999999999994</v>
      </c>
    </row>
    <row r="13" spans="1:9" x14ac:dyDescent="0.2">
      <c r="A13" t="s">
        <v>305</v>
      </c>
      <c r="B13" s="285">
        <v>2220523</v>
      </c>
      <c r="C13" s="285">
        <v>2298792</v>
      </c>
      <c r="D13" s="285">
        <v>2315842</v>
      </c>
      <c r="E13" s="285">
        <v>2331428</v>
      </c>
      <c r="F13" s="285">
        <v>2347737</v>
      </c>
      <c r="G13" s="285">
        <v>2422546</v>
      </c>
      <c r="H13" s="285">
        <v>4815254</v>
      </c>
      <c r="I13" s="285">
        <v>3488125</v>
      </c>
    </row>
    <row r="14" spans="1:9" x14ac:dyDescent="0.2">
      <c r="A14" t="s">
        <v>306</v>
      </c>
      <c r="B14" s="285">
        <v>753311</v>
      </c>
      <c r="C14" s="285">
        <v>767353</v>
      </c>
      <c r="D14" s="285">
        <v>779707</v>
      </c>
      <c r="E14" s="285">
        <v>789893</v>
      </c>
      <c r="F14" s="285">
        <v>797912</v>
      </c>
      <c r="G14" s="285">
        <v>804655</v>
      </c>
      <c r="H14" s="285">
        <v>824058</v>
      </c>
      <c r="I14" s="285">
        <v>842733</v>
      </c>
    </row>
    <row r="15" spans="1:9" x14ac:dyDescent="0.2">
      <c r="A15" t="s">
        <v>307</v>
      </c>
      <c r="H15" s="285">
        <v>1078100</v>
      </c>
      <c r="I15" s="285">
        <v>15600</v>
      </c>
    </row>
    <row r="16" spans="1:9" x14ac:dyDescent="0.2">
      <c r="A16" t="s">
        <v>308</v>
      </c>
      <c r="B16" s="285">
        <v>27025</v>
      </c>
      <c r="C16" s="285">
        <v>28029</v>
      </c>
      <c r="D16" s="285">
        <v>27483</v>
      </c>
      <c r="E16" s="285">
        <v>27578</v>
      </c>
      <c r="F16" s="285">
        <v>27884</v>
      </c>
      <c r="G16" s="285">
        <v>43429</v>
      </c>
      <c r="H16" s="285">
        <v>1084572</v>
      </c>
      <c r="I16" s="285">
        <v>768678</v>
      </c>
    </row>
    <row r="17" spans="1:9" x14ac:dyDescent="0.2">
      <c r="A17" t="s">
        <v>309</v>
      </c>
      <c r="H17" s="285">
        <v>19100</v>
      </c>
      <c r="I17" s="285">
        <v>27000</v>
      </c>
    </row>
    <row r="18" spans="1:9" x14ac:dyDescent="0.2">
      <c r="A18" t="s">
        <v>310</v>
      </c>
      <c r="H18" s="285">
        <v>160900</v>
      </c>
      <c r="I18" s="285">
        <v>58400</v>
      </c>
    </row>
    <row r="19" spans="1:9" x14ac:dyDescent="0.2">
      <c r="A19" t="s">
        <v>311</v>
      </c>
      <c r="B19" s="285">
        <v>79458</v>
      </c>
      <c r="C19" s="285">
        <v>71318</v>
      </c>
      <c r="D19" s="285">
        <v>61083</v>
      </c>
      <c r="E19" s="285">
        <v>81998</v>
      </c>
      <c r="F19" s="285">
        <v>81147</v>
      </c>
      <c r="G19" s="285">
        <v>75093</v>
      </c>
      <c r="H19" s="285">
        <v>1086548</v>
      </c>
      <c r="I19" s="285">
        <v>1213308</v>
      </c>
    </row>
    <row r="20" spans="1:9" x14ac:dyDescent="0.2">
      <c r="A20" t="s">
        <v>312</v>
      </c>
      <c r="H20" s="285">
        <v>609300</v>
      </c>
      <c r="I20" s="285">
        <v>865600</v>
      </c>
    </row>
    <row r="21" spans="1:9" x14ac:dyDescent="0.2">
      <c r="A21" t="s">
        <v>313</v>
      </c>
      <c r="H21" s="285">
        <v>63800</v>
      </c>
      <c r="I21" s="285">
        <v>15000</v>
      </c>
    </row>
    <row r="22" spans="1:9" x14ac:dyDescent="0.2">
      <c r="A22" t="s">
        <v>314</v>
      </c>
      <c r="H22" s="285">
        <v>73300</v>
      </c>
      <c r="I22" s="285">
        <v>73300</v>
      </c>
    </row>
    <row r="23" spans="1:9" x14ac:dyDescent="0.2">
      <c r="A23" t="s">
        <v>315</v>
      </c>
      <c r="H23" s="285">
        <v>140000</v>
      </c>
      <c r="I23" s="285">
        <v>140000</v>
      </c>
    </row>
    <row r="24" spans="1:9" x14ac:dyDescent="0.2">
      <c r="A24" t="s">
        <v>316</v>
      </c>
      <c r="B24" s="285">
        <v>586475</v>
      </c>
      <c r="C24" s="285">
        <v>594213</v>
      </c>
      <c r="D24" s="285">
        <v>612547</v>
      </c>
      <c r="E24" s="285">
        <v>610331</v>
      </c>
      <c r="F24" s="285">
        <v>615406</v>
      </c>
      <c r="G24" s="285">
        <v>627805</v>
      </c>
      <c r="H24" s="285">
        <v>1396890</v>
      </c>
      <c r="I24" s="285">
        <v>728172</v>
      </c>
    </row>
    <row r="25" spans="1:9" x14ac:dyDescent="0.2">
      <c r="A25" t="s">
        <v>319</v>
      </c>
      <c r="B25" s="285">
        <v>1368395</v>
      </c>
      <c r="C25" s="285">
        <v>1388750</v>
      </c>
      <c r="D25" s="285">
        <v>1410626</v>
      </c>
      <c r="E25" s="285">
        <v>1429281</v>
      </c>
      <c r="F25" s="285">
        <v>1447946</v>
      </c>
      <c r="G25" s="285">
        <v>1452551</v>
      </c>
      <c r="H25" s="285">
        <v>1504782</v>
      </c>
      <c r="I25" s="285">
        <v>1486802</v>
      </c>
    </row>
    <row r="26" spans="1:9" x14ac:dyDescent="0.2">
      <c r="A26" t="s">
        <v>318</v>
      </c>
      <c r="B26" s="285">
        <v>1241599</v>
      </c>
      <c r="C26" s="285">
        <v>1245767</v>
      </c>
      <c r="D26" s="285">
        <v>1273567</v>
      </c>
      <c r="E26" s="285">
        <v>1288518</v>
      </c>
      <c r="F26" s="285">
        <v>1301120</v>
      </c>
      <c r="G26" s="285">
        <v>1306142</v>
      </c>
      <c r="H26" s="285">
        <v>1356816</v>
      </c>
      <c r="I26" s="285">
        <v>1335322</v>
      </c>
    </row>
    <row r="27" spans="1:9" x14ac:dyDescent="0.2">
      <c r="A27" t="s">
        <v>320</v>
      </c>
      <c r="B27" s="285">
        <v>389624</v>
      </c>
      <c r="C27" s="285">
        <v>404529</v>
      </c>
      <c r="D27" s="285">
        <v>419672</v>
      </c>
      <c r="E27" s="285">
        <v>418824</v>
      </c>
      <c r="F27" s="285">
        <v>411409</v>
      </c>
      <c r="G27" s="285">
        <v>423429</v>
      </c>
      <c r="H27" s="285">
        <v>512640</v>
      </c>
      <c r="I27" s="285">
        <v>486072</v>
      </c>
    </row>
    <row r="28" spans="1:9" x14ac:dyDescent="0.2">
      <c r="A28" t="s">
        <v>321</v>
      </c>
      <c r="B28" s="285">
        <v>728844</v>
      </c>
      <c r="C28" s="285">
        <v>738714</v>
      </c>
      <c r="D28" s="285">
        <v>755204</v>
      </c>
      <c r="E28" s="285">
        <v>763370</v>
      </c>
      <c r="F28" s="285">
        <v>760967</v>
      </c>
      <c r="G28" s="285">
        <v>767087</v>
      </c>
      <c r="H28" s="285">
        <v>812158</v>
      </c>
      <c r="I28" s="285">
        <v>835999</v>
      </c>
    </row>
    <row r="29" spans="1:9" x14ac:dyDescent="0.2">
      <c r="A29" t="s">
        <v>322</v>
      </c>
      <c r="B29" s="285">
        <v>589819</v>
      </c>
      <c r="C29" s="285">
        <v>599372</v>
      </c>
      <c r="D29" s="285">
        <v>614976</v>
      </c>
      <c r="E29" s="285">
        <v>622265</v>
      </c>
      <c r="F29" s="285">
        <v>619362</v>
      </c>
      <c r="G29" s="285">
        <v>624096</v>
      </c>
      <c r="H29" s="285">
        <v>668823</v>
      </c>
      <c r="I29" s="285">
        <v>691267</v>
      </c>
    </row>
    <row r="30" spans="1:9" x14ac:dyDescent="0.2">
      <c r="A30" t="s">
        <v>323</v>
      </c>
      <c r="B30" s="285">
        <v>1997129</v>
      </c>
      <c r="C30" s="285">
        <v>2012720</v>
      </c>
      <c r="D30" s="285">
        <v>2025477</v>
      </c>
      <c r="E30" s="285">
        <v>2028275</v>
      </c>
      <c r="F30" s="285">
        <v>2035602</v>
      </c>
      <c r="G30" s="285">
        <v>2041017</v>
      </c>
      <c r="H30" s="285">
        <v>2013139</v>
      </c>
      <c r="I30" s="285">
        <v>1992677</v>
      </c>
    </row>
    <row r="31" spans="1:9" x14ac:dyDescent="0.2">
      <c r="A31" t="s">
        <v>324</v>
      </c>
      <c r="B31" s="285">
        <v>2279638</v>
      </c>
      <c r="C31" s="285">
        <v>2292717</v>
      </c>
      <c r="D31" s="285">
        <v>2327018</v>
      </c>
      <c r="E31" s="285">
        <v>2337774</v>
      </c>
      <c r="F31" s="285">
        <v>2357385</v>
      </c>
      <c r="G31" s="285">
        <v>2381563</v>
      </c>
      <c r="H31" s="285">
        <v>2334544</v>
      </c>
      <c r="I31" s="285">
        <v>2329677</v>
      </c>
    </row>
    <row r="32" spans="1:9" x14ac:dyDescent="0.2">
      <c r="A32" t="s">
        <v>303</v>
      </c>
      <c r="B32" s="285">
        <v>21.568999999999999</v>
      </c>
      <c r="C32" s="285">
        <v>21.986000000000001</v>
      </c>
      <c r="D32" s="285">
        <v>22.076000000000001</v>
      </c>
      <c r="E32" s="285">
        <v>21.786999999999999</v>
      </c>
      <c r="F32" s="285">
        <v>21.143000000000001</v>
      </c>
      <c r="G32" s="285">
        <v>20.364999999999998</v>
      </c>
      <c r="H32" s="285">
        <v>19.106000000000002</v>
      </c>
      <c r="I32" s="285">
        <v>20.245999999999999</v>
      </c>
    </row>
    <row r="33" spans="1:9" x14ac:dyDescent="0.2">
      <c r="A33" t="s">
        <v>337</v>
      </c>
      <c r="H33" s="285">
        <v>277100</v>
      </c>
      <c r="I33" s="285">
        <v>228300</v>
      </c>
    </row>
    <row r="34" spans="1:9" x14ac:dyDescent="0.2">
      <c r="A34" t="s">
        <v>317</v>
      </c>
      <c r="H34" s="285">
        <v>690700</v>
      </c>
      <c r="I34" s="285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291</v>
      </c>
    </row>
    <row r="2" spans="1:2" x14ac:dyDescent="0.2">
      <c r="A2" s="189">
        <v>44104</v>
      </c>
      <c r="B2">
        <v>337800</v>
      </c>
    </row>
    <row r="3" spans="1:2" x14ac:dyDescent="0.2">
      <c r="A3" s="189">
        <v>44196</v>
      </c>
      <c r="B3">
        <v>244000</v>
      </c>
    </row>
    <row r="4" spans="1:2" x14ac:dyDescent="0.2">
      <c r="A4" s="189">
        <v>44286</v>
      </c>
      <c r="B4">
        <v>152000</v>
      </c>
    </row>
    <row r="5" spans="1:2" x14ac:dyDescent="0.2">
      <c r="A5" s="189">
        <v>44377</v>
      </c>
      <c r="B5">
        <v>44000</v>
      </c>
    </row>
    <row r="6" spans="1:2" x14ac:dyDescent="0.2">
      <c r="A6" s="189">
        <v>44469</v>
      </c>
      <c r="B6">
        <v>44000</v>
      </c>
    </row>
    <row r="7" spans="1:2" x14ac:dyDescent="0.2">
      <c r="A7" s="189">
        <v>44561</v>
      </c>
      <c r="B7">
        <v>44000</v>
      </c>
    </row>
    <row r="8" spans="1:2" x14ac:dyDescent="0.2">
      <c r="A8" s="189">
        <v>44651</v>
      </c>
      <c r="B8">
        <v>44000</v>
      </c>
    </row>
    <row r="9" spans="1:2" x14ac:dyDescent="0.2">
      <c r="A9" s="189">
        <v>44742</v>
      </c>
      <c r="B9">
        <v>44000</v>
      </c>
    </row>
    <row r="10" spans="1:2" x14ac:dyDescent="0.2">
      <c r="A10" s="189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233</v>
      </c>
    </row>
    <row r="3" spans="1:16" x14ac:dyDescent="0.2">
      <c r="B3" s="157" t="s">
        <v>234</v>
      </c>
    </row>
    <row r="4" spans="1:16" x14ac:dyDescent="0.2">
      <c r="A4" s="157" t="s">
        <v>235</v>
      </c>
      <c r="C4" s="157" t="s">
        <v>236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237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238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239</v>
      </c>
      <c r="C8" s="160"/>
      <c r="D8" s="161">
        <f>SUMPRODUCT(B5:B6,C5:C6)</f>
        <v>0.45</v>
      </c>
    </row>
    <row r="9" spans="1:16" x14ac:dyDescent="0.2">
      <c r="B9" s="157" t="s">
        <v>240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241</v>
      </c>
      <c r="C14" s="157" t="s">
        <v>236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7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238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242</v>
      </c>
      <c r="D19" s="157">
        <f>SUMPRODUCT(C15:C17,B15:B17)</f>
        <v>0.86186821348990206</v>
      </c>
    </row>
    <row r="20" spans="1:12" x14ac:dyDescent="0.2">
      <c r="B20" s="161" t="s">
        <v>240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243</v>
      </c>
    </row>
    <row r="23" spans="1:12" x14ac:dyDescent="0.2">
      <c r="A23" s="157" t="s">
        <v>244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245</v>
      </c>
      <c r="C26" s="157">
        <v>1065.5</v>
      </c>
      <c r="D26" s="157">
        <f>C26/C25</f>
        <v>0.18843065822516181</v>
      </c>
    </row>
    <row r="27" spans="1:12" x14ac:dyDescent="0.2">
      <c r="B27" s="157" t="s">
        <v>246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15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29"/>
      <c r="B8" s="129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0"/>
      <c r="R8" s="306"/>
      <c r="S8" s="307"/>
    </row>
    <row r="9" spans="1:19" s="6" customFormat="1" ht="15" customHeight="1" x14ac:dyDescent="0.15">
      <c r="A9" s="129"/>
      <c r="B9" s="129"/>
      <c r="C9" s="14"/>
      <c r="D9" s="14"/>
      <c r="E9" s="14"/>
      <c r="F9" s="15" t="s">
        <v>35</v>
      </c>
      <c r="G9" s="16"/>
      <c r="H9" s="17"/>
      <c r="I9" s="16"/>
      <c r="J9" s="17"/>
      <c r="K9" s="130"/>
      <c r="L9" s="130"/>
      <c r="M9" s="130"/>
      <c r="N9" s="130"/>
      <c r="O9" s="130"/>
      <c r="P9" s="130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29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29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29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main!J76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7" customWidth="1"/>
    <col min="8" max="10" width="9.33203125" style="95" bestFit="1" customWidth="1"/>
    <col min="11" max="11" width="9.33203125" style="117" bestFit="1" customWidth="1"/>
  </cols>
  <sheetData>
    <row r="1" spans="1:32" ht="19" x14ac:dyDescent="0.25">
      <c r="A1" s="290" t="s">
        <v>208</v>
      </c>
      <c r="B1" s="290"/>
      <c r="C1" s="35"/>
      <c r="H1"/>
      <c r="I1"/>
      <c r="J1"/>
      <c r="X1" t="s">
        <v>28</v>
      </c>
      <c r="Z1" s="308" t="s">
        <v>84</v>
      </c>
      <c r="AA1" s="308"/>
      <c r="AB1" s="308"/>
      <c r="AC1" s="289"/>
      <c r="AD1" s="289"/>
      <c r="AE1" s="289"/>
      <c r="AF1" s="289"/>
    </row>
    <row r="2" spans="1:32" x14ac:dyDescent="0.2">
      <c r="A2" s="309" t="s">
        <v>192</v>
      </c>
      <c r="B2" s="107"/>
      <c r="C2" t="s">
        <v>193</v>
      </c>
    </row>
    <row r="3" spans="1:32" x14ac:dyDescent="0.2">
      <c r="A3" s="309"/>
      <c r="B3" s="108"/>
      <c r="C3" t="s">
        <v>194</v>
      </c>
    </row>
    <row r="4" spans="1:32" x14ac:dyDescent="0.2">
      <c r="A4" s="309"/>
      <c r="B4" s="109"/>
      <c r="C4" t="s">
        <v>195</v>
      </c>
    </row>
    <row r="5" spans="1:32" x14ac:dyDescent="0.2">
      <c r="A5" s="309"/>
      <c r="B5" s="98"/>
      <c r="C5" t="s">
        <v>182</v>
      </c>
    </row>
    <row r="7" spans="1:32" x14ac:dyDescent="0.2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1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8" t="s">
        <v>5</v>
      </c>
      <c r="H8" s="96" t="s">
        <v>6</v>
      </c>
      <c r="I8" s="96" t="s">
        <v>7</v>
      </c>
      <c r="J8" s="96" t="s">
        <v>8</v>
      </c>
      <c r="K8" s="123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19"/>
      <c r="H9" s="78"/>
      <c r="I9" s="78"/>
      <c r="J9" s="78"/>
      <c r="K9" s="124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7">
        <v>65.414387073439201</v>
      </c>
      <c r="H10">
        <v>67.818960353465997</v>
      </c>
      <c r="I10">
        <v>70.223533633492494</v>
      </c>
      <c r="J10">
        <v>72.628106913519204</v>
      </c>
      <c r="K10" s="117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7">
        <v>404.20608325604502</v>
      </c>
      <c r="H11">
        <v>395.88157173561501</v>
      </c>
      <c r="I11">
        <v>388.889110037249</v>
      </c>
      <c r="J11">
        <v>377.60448780112102</v>
      </c>
      <c r="K11" s="117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7">
        <v>1933.47191075455</v>
      </c>
      <c r="H12">
        <v>1965.5383751259999</v>
      </c>
      <c r="I12">
        <v>1996.7932691808101</v>
      </c>
      <c r="J12">
        <v>2030.19976826113</v>
      </c>
      <c r="K12" s="117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7">
        <v>57.912604308472503</v>
      </c>
      <c r="H13">
        <v>58.8730798407964</v>
      </c>
      <c r="I13">
        <v>59.809246692784903</v>
      </c>
      <c r="J13">
        <v>60.809859813569702</v>
      </c>
      <c r="K13" s="117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7">
        <v>0.60396796467365799</v>
      </c>
      <c r="H14">
        <v>0.60601443464314297</v>
      </c>
      <c r="I14">
        <v>0.60820462616773796</v>
      </c>
      <c r="J14">
        <v>0.61056978306376897</v>
      </c>
      <c r="K14" s="117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7">
        <v>1471.3575997539101</v>
      </c>
      <c r="H15">
        <v>1482.0109159528199</v>
      </c>
      <c r="I15">
        <v>1492.66423215174</v>
      </c>
      <c r="J15">
        <v>1503.31754835066</v>
      </c>
      <c r="K15" s="117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7">
        <v>3550.4202533538501</v>
      </c>
      <c r="H16">
        <v>3177.8359541396499</v>
      </c>
      <c r="I16">
        <v>2876.7404548976301</v>
      </c>
      <c r="J16">
        <v>2665.0830973586999</v>
      </c>
      <c r="K16" s="117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7">
        <v>3117.4031672383799</v>
      </c>
      <c r="H17">
        <v>3145.07457874083</v>
      </c>
      <c r="I17">
        <v>3172.7459902432902</v>
      </c>
      <c r="J17">
        <v>3200.4174017457399</v>
      </c>
      <c r="K17" s="117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7">
        <v>188.57281638621899</v>
      </c>
      <c r="H18">
        <v>197.44131232521099</v>
      </c>
      <c r="I18">
        <v>206.30980826420301</v>
      </c>
      <c r="J18">
        <v>215.17830420319501</v>
      </c>
      <c r="K18" s="117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7">
        <v>1093.3833387142099</v>
      </c>
      <c r="H19">
        <v>1097.08813151564</v>
      </c>
      <c r="I19">
        <v>1101.05310823899</v>
      </c>
      <c r="J19">
        <v>1105.3348306064399</v>
      </c>
      <c r="K19" s="117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7">
        <v>781.13535139200803</v>
      </c>
      <c r="H20">
        <v>763.35143409724697</v>
      </c>
      <c r="I20">
        <v>746.40840369968305</v>
      </c>
      <c r="J20">
        <v>730.58655583171605</v>
      </c>
      <c r="K20" s="117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0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0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1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1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1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1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1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1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2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2">
        <f t="shared" si="3"/>
        <v>121.58520881077312</v>
      </c>
    </row>
    <row r="29" spans="1:12" x14ac:dyDescent="0.2">
      <c r="D29" s="102"/>
      <c r="E29" s="102"/>
      <c r="F29" s="102"/>
      <c r="G29" s="121"/>
      <c r="H29" s="104"/>
      <c r="I29" s="104"/>
      <c r="J29" s="104"/>
      <c r="K29" s="121"/>
    </row>
    <row r="30" spans="1:12" x14ac:dyDescent="0.2">
      <c r="D30" s="102"/>
      <c r="E30" s="102"/>
      <c r="F30" s="102"/>
      <c r="G30" s="121"/>
      <c r="H30" s="104"/>
      <c r="I30" s="104"/>
      <c r="J30" s="104"/>
      <c r="K30" s="121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0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0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1">
        <f>47</f>
        <v>47</v>
      </c>
      <c r="H33" s="102">
        <v>47</v>
      </c>
      <c r="I33" s="102">
        <v>47</v>
      </c>
      <c r="J33" s="102">
        <v>47</v>
      </c>
      <c r="K33" s="121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1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1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1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1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2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2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2"/>
      <c r="H37" s="103"/>
      <c r="I37" s="103"/>
      <c r="J37" s="103"/>
      <c r="K37" s="122"/>
    </row>
    <row r="38" spans="1:11" s="97" customFormat="1" x14ac:dyDescent="0.2">
      <c r="B38" s="99"/>
      <c r="D38" s="103"/>
      <c r="E38" s="103"/>
      <c r="F38" s="103"/>
      <c r="G38" s="122"/>
      <c r="H38" s="103"/>
      <c r="I38" s="103"/>
      <c r="J38" s="103"/>
      <c r="K38" s="122"/>
    </row>
    <row r="39" spans="1:11" ht="19" x14ac:dyDescent="0.25">
      <c r="A39" s="110" t="s">
        <v>184</v>
      </c>
      <c r="B39" s="110"/>
      <c r="D39" s="102"/>
      <c r="E39" s="102"/>
      <c r="F39" s="102"/>
      <c r="G39" s="121"/>
      <c r="H39" s="104"/>
      <c r="I39" s="104"/>
      <c r="J39" s="104"/>
      <c r="K39" s="121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0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0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1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1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1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1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2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2">
        <f t="shared" si="10"/>
        <v>-161.58289086722652</v>
      </c>
    </row>
    <row r="44" spans="1:11" x14ac:dyDescent="0.2">
      <c r="D44" s="102"/>
      <c r="E44" s="102"/>
      <c r="F44" s="102"/>
      <c r="G44" s="121"/>
      <c r="H44" s="104"/>
      <c r="I44" s="104"/>
      <c r="J44" s="104"/>
      <c r="K44" s="121"/>
    </row>
    <row r="45" spans="1:11" x14ac:dyDescent="0.2">
      <c r="D45" s="102"/>
      <c r="E45" s="102"/>
      <c r="F45" s="102"/>
      <c r="G45" s="121"/>
      <c r="H45" s="104"/>
      <c r="I45" s="104"/>
      <c r="J45" s="104"/>
      <c r="K45" s="121"/>
    </row>
    <row r="46" spans="1:11" ht="19" x14ac:dyDescent="0.25">
      <c r="A46" s="110" t="s">
        <v>183</v>
      </c>
      <c r="B46" s="110"/>
      <c r="D46" s="102"/>
      <c r="E46" s="102"/>
      <c r="F46" s="102"/>
      <c r="G46" s="121"/>
      <c r="H46" s="104"/>
      <c r="I46" s="104"/>
      <c r="J46" s="104"/>
      <c r="K46" s="121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0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0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1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1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1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1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2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2">
        <f t="shared" si="13"/>
        <v>36.308251718988402</v>
      </c>
    </row>
    <row r="51" spans="1:12" x14ac:dyDescent="0.2">
      <c r="D51" s="102"/>
      <c r="E51" s="102"/>
      <c r="F51" s="102"/>
      <c r="G51" s="121"/>
      <c r="H51" s="104"/>
      <c r="I51" s="104"/>
      <c r="J51" s="104"/>
      <c r="K51" s="121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0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0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0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0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1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1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1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1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2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2">
        <f t="shared" si="17"/>
        <v>-69.515510906409418</v>
      </c>
    </row>
    <row r="59" spans="1:12" x14ac:dyDescent="0.2">
      <c r="D59" s="102"/>
      <c r="E59" s="102"/>
      <c r="F59" s="102"/>
      <c r="G59" s="121"/>
      <c r="H59" s="104"/>
      <c r="I59" s="104"/>
      <c r="J59" s="104"/>
      <c r="K59" s="121"/>
    </row>
    <row r="60" spans="1:12" x14ac:dyDescent="0.2">
      <c r="D60" s="102"/>
      <c r="E60" s="102"/>
      <c r="F60" s="102"/>
      <c r="G60" s="121"/>
      <c r="H60" s="104"/>
      <c r="I60" s="104"/>
      <c r="J60" s="104"/>
      <c r="K60" s="121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0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0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0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0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1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1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1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1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2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2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2"/>
      <c r="H67" s="103"/>
      <c r="I67" s="103"/>
      <c r="J67" s="103"/>
      <c r="K67" s="122"/>
    </row>
    <row r="68" spans="1:11" s="97" customFormat="1" x14ac:dyDescent="0.2">
      <c r="B68" s="99"/>
      <c r="D68" s="103"/>
      <c r="E68" s="103"/>
      <c r="F68" s="103"/>
      <c r="G68" s="122"/>
      <c r="H68" s="103"/>
      <c r="I68" s="103"/>
      <c r="J68" s="103"/>
      <c r="K68" s="122"/>
    </row>
    <row r="69" spans="1:11" ht="19" x14ac:dyDescent="0.25">
      <c r="A69" s="105" t="s">
        <v>191</v>
      </c>
      <c r="B69" s="105"/>
      <c r="D69" s="102"/>
      <c r="E69" s="102"/>
      <c r="F69" s="102"/>
      <c r="G69" s="121"/>
      <c r="H69" s="104"/>
      <c r="I69" s="104"/>
      <c r="J69" s="104"/>
      <c r="K69" s="121"/>
    </row>
    <row r="70" spans="1:11" x14ac:dyDescent="0.2">
      <c r="B70" t="s">
        <v>4</v>
      </c>
      <c r="D70" s="100"/>
      <c r="E70" s="102">
        <f>main!K46/1000</f>
        <v>1086.548</v>
      </c>
      <c r="F70" s="102">
        <f>main!L46/1000</f>
        <v>1213.308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1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1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1"/>
      <c r="H73" s="104"/>
      <c r="I73" s="104"/>
      <c r="J73" s="104"/>
      <c r="K73" s="121"/>
    </row>
    <row r="74" spans="1:11" x14ac:dyDescent="0.2">
      <c r="D74" s="102"/>
      <c r="E74" s="102"/>
      <c r="F74" s="102"/>
      <c r="G74" s="121"/>
      <c r="H74" s="104"/>
      <c r="I74" s="104"/>
      <c r="J74" s="104"/>
      <c r="K74" s="121"/>
    </row>
    <row r="75" spans="1:11" ht="19" x14ac:dyDescent="0.25">
      <c r="A75" s="105" t="s">
        <v>197</v>
      </c>
      <c r="B75" s="105"/>
      <c r="D75" s="102"/>
      <c r="E75" s="102"/>
      <c r="F75" s="102"/>
      <c r="G75" s="121"/>
      <c r="H75" s="104"/>
      <c r="I75" s="104"/>
      <c r="J75" s="104"/>
      <c r="K75" s="121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0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0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1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1">
        <f t="shared" si="25"/>
        <v>120</v>
      </c>
    </row>
    <row r="78" spans="1:11" x14ac:dyDescent="0.2">
      <c r="B78" s="111" t="s">
        <v>198</v>
      </c>
      <c r="F78" s="102">
        <v>300</v>
      </c>
      <c r="G78" s="121">
        <v>150</v>
      </c>
      <c r="H78" s="102">
        <v>100</v>
      </c>
      <c r="I78" s="102">
        <v>50</v>
      </c>
      <c r="J78" s="102"/>
      <c r="K78" s="121"/>
    </row>
    <row r="79" spans="1:11" x14ac:dyDescent="0.2">
      <c r="B79" s="112" t="s">
        <v>199</v>
      </c>
      <c r="F79" s="102">
        <v>17</v>
      </c>
      <c r="G79" s="121">
        <v>50</v>
      </c>
      <c r="H79" s="102">
        <v>35</v>
      </c>
      <c r="I79" s="102">
        <v>18</v>
      </c>
      <c r="J79" s="102"/>
      <c r="K79" s="121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1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1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1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1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2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2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abSelected="1" topLeftCell="H1" zoomScale="110" zoomScaleNormal="110" workbookViewId="0">
      <selection activeCell="H10" activeCellId="1" sqref="K23:N23 H10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15" t="s">
        <v>104</v>
      </c>
      <c r="B2" s="315"/>
      <c r="C2" s="315"/>
      <c r="D2" s="315"/>
      <c r="E2" s="315"/>
      <c r="F2" s="315"/>
      <c r="G2" s="315"/>
      <c r="H2" s="315"/>
      <c r="I2" s="315"/>
      <c r="J2" s="315"/>
      <c r="K2" s="77"/>
    </row>
    <row r="3" spans="1:24" x14ac:dyDescent="0.2">
      <c r="A3" s="315" t="s">
        <v>105</v>
      </c>
      <c r="B3" s="315"/>
      <c r="C3" s="315"/>
      <c r="D3" s="315"/>
      <c r="E3" s="315"/>
      <c r="F3" s="315"/>
      <c r="G3" s="315"/>
      <c r="H3" s="315"/>
      <c r="I3" s="315"/>
      <c r="J3" s="315"/>
      <c r="K3" s="77"/>
    </row>
    <row r="4" spans="1:24" ht="16" thickBot="1" x14ac:dyDescent="0.25">
      <c r="A4" s="316"/>
      <c r="B4" s="316"/>
      <c r="C4" s="316"/>
      <c r="D4" s="316"/>
      <c r="E4" s="316"/>
      <c r="F4" s="316"/>
      <c r="G4" s="316"/>
      <c r="H4" s="316"/>
      <c r="I4" s="316"/>
      <c r="J4" s="316"/>
      <c r="K4" s="321" t="s">
        <v>160</v>
      </c>
      <c r="L4" s="321"/>
      <c r="M4" s="321"/>
      <c r="N4" s="321"/>
    </row>
    <row r="5" spans="1:24" x14ac:dyDescent="0.2">
      <c r="A5" s="47"/>
      <c r="B5" s="48"/>
      <c r="C5" s="317" t="s">
        <v>106</v>
      </c>
      <c r="D5" s="318"/>
      <c r="E5" s="318"/>
      <c r="F5" s="318"/>
      <c r="G5" s="318"/>
      <c r="H5" s="318"/>
      <c r="I5" s="318"/>
      <c r="J5" s="319"/>
      <c r="K5" s="78"/>
      <c r="L5" s="320" t="s">
        <v>107</v>
      </c>
      <c r="M5" s="289"/>
      <c r="N5" s="289"/>
    </row>
    <row r="6" spans="1:24" x14ac:dyDescent="0.2">
      <c r="A6" s="1" t="s">
        <v>109</v>
      </c>
      <c r="B6" s="49"/>
      <c r="C6" s="311">
        <v>2020</v>
      </c>
      <c r="D6" s="312"/>
      <c r="E6" s="312"/>
      <c r="F6" s="312"/>
      <c r="G6" s="312"/>
      <c r="H6" s="312"/>
      <c r="I6" s="312"/>
      <c r="J6" s="313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2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3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3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2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3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9" t="s">
        <v>9</v>
      </c>
      <c r="L22" s="289"/>
      <c r="M22" s="289"/>
      <c r="N22" s="289"/>
      <c r="O22" s="289" t="s">
        <v>10</v>
      </c>
      <c r="P22" s="289"/>
      <c r="Q22" s="289"/>
      <c r="R22" s="289"/>
      <c r="S22" s="289" t="s">
        <v>11</v>
      </c>
      <c r="T22" s="289"/>
      <c r="U22" s="289"/>
      <c r="V22" s="289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14" t="s">
        <v>108</v>
      </c>
      <c r="L23" s="314"/>
      <c r="M23" s="314"/>
      <c r="N23" s="314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3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10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10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10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10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10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10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23" t="s">
        <v>87</v>
      </c>
      <c r="F6" s="323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</row>
    <row r="7" spans="1:18" x14ac:dyDescent="0.2">
      <c r="A7" s="322" t="s">
        <v>88</v>
      </c>
      <c r="B7" s="322"/>
      <c r="C7" s="322"/>
      <c r="D7" s="322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22" t="s">
        <v>89</v>
      </c>
      <c r="C8" s="322"/>
      <c r="D8" s="322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22" t="s">
        <v>90</v>
      </c>
      <c r="C9" s="322"/>
      <c r="D9" s="322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22" t="s">
        <v>91</v>
      </c>
      <c r="C10" s="322"/>
      <c r="D10" s="322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22" t="s">
        <v>58</v>
      </c>
      <c r="C11" s="322"/>
      <c r="D11" s="322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22" t="s">
        <v>34</v>
      </c>
      <c r="D13" s="322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22" t="s">
        <v>89</v>
      </c>
      <c r="C19" s="322"/>
      <c r="D19" s="322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22" t="s">
        <v>90</v>
      </c>
      <c r="C20" s="322"/>
      <c r="D20" s="322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22" t="s">
        <v>91</v>
      </c>
      <c r="C21" s="322"/>
      <c r="D21" s="322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22" t="s">
        <v>58</v>
      </c>
      <c r="C22" s="322"/>
      <c r="D22" s="322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24" t="s">
        <v>95</v>
      </c>
      <c r="I27" s="324"/>
      <c r="J27" s="324"/>
      <c r="K27" s="324"/>
      <c r="L27" s="324"/>
      <c r="M27" s="324"/>
      <c r="N27" s="324"/>
      <c r="O27" s="324"/>
      <c r="P27" s="324"/>
      <c r="Q27" s="324"/>
      <c r="R27" s="324"/>
      <c r="S27" s="324"/>
      <c r="T27" s="324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25" t="s">
        <v>99</v>
      </c>
      <c r="G37" s="325"/>
      <c r="H37" s="325"/>
      <c r="I37" s="325"/>
      <c r="J37" s="325"/>
      <c r="K37" s="325"/>
      <c r="L37" s="325"/>
      <c r="M37" s="325"/>
      <c r="N37" s="325"/>
      <c r="O37" s="325"/>
      <c r="P37" s="325"/>
      <c r="Q37" s="325"/>
      <c r="R37" s="325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24" t="s">
        <v>101</v>
      </c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4"/>
      <c r="R48" s="324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V38" sqref="V3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15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6" t="s">
        <v>34</v>
      </c>
      <c r="S8" s="307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26" t="s">
        <v>42</v>
      </c>
      <c r="E75" s="327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2020-12-03T15:03:47Z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