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yilla\The Brookings Institution\Hutchins Center Team - Documents\Projects\Fiscal Impact\COVID-19 Changes\September\"/>
    </mc:Choice>
  </mc:AlternateContent>
  <xr:revisionPtr revIDLastSave="11" documentId="8_{EFEC6923-A3EC-4432-B19F-304FC7CD8963}" xr6:coauthVersionLast="44" xr6:coauthVersionMax="44" xr10:uidLastSave="{CFD8B1C7-D07C-4921-B22F-C6DA3F8792FA}"/>
  <bookViews>
    <workbookView xWindow="-110" yWindow="-110" windowWidth="19420" windowHeight="10420" xr2:uid="{6DB4813E-24A9-4E22-BA09-9A23A9DFCC52}"/>
  </bookViews>
  <sheets>
    <sheet name="GDP Changes" sheetId="1" r:id="rId1"/>
    <sheet name="Pre and Post Tax Collections" sheetId="2" r:id="rId2"/>
    <sheet name="figurin out federal " sheetId="10" r:id="rId3"/>
    <sheet name="eff on fed budge" sheetId="7" r:id="rId4"/>
    <sheet name="soci benefits GDP Detail" sheetId="9" r:id="rId5"/>
    <sheet name="eff covid on Pers Inc" sheetId="8" r:id="rId6"/>
    <sheet name="outlays and deficit check" sheetId="4" r:id="rId7"/>
    <sheet name="PPP"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5" i="6" l="1"/>
  <c r="J15" i="6"/>
  <c r="K15" i="6"/>
  <c r="L15" i="6"/>
  <c r="M15" i="6"/>
  <c r="I15" i="6"/>
  <c r="A14" i="6"/>
  <c r="B14" i="6"/>
  <c r="F19" i="6" l="1"/>
  <c r="F22" i="6"/>
  <c r="P13" i="9" l="1"/>
  <c r="S10" i="7" l="1"/>
  <c r="S9" i="7" s="1"/>
  <c r="T11" i="7"/>
  <c r="U11" i="7"/>
  <c r="V11" i="7" s="1"/>
  <c r="W11" i="7" s="1"/>
  <c r="T13" i="7"/>
  <c r="U13" i="7"/>
  <c r="T19" i="7"/>
  <c r="U19" i="7"/>
  <c r="D33" i="1"/>
  <c r="D34" i="1"/>
  <c r="E34" i="1" s="1"/>
  <c r="L34" i="1"/>
  <c r="M33" i="1" s="1"/>
  <c r="E36" i="1"/>
  <c r="F36" i="1" s="1"/>
  <c r="G36" i="1" s="1"/>
  <c r="H36" i="1" s="1"/>
  <c r="I36" i="1" s="1"/>
  <c r="D36" i="1"/>
  <c r="D50" i="1"/>
  <c r="E50" i="1"/>
  <c r="F50" i="1"/>
  <c r="G50" i="1"/>
  <c r="H50" i="1"/>
  <c r="I50" i="1"/>
  <c r="D51" i="1"/>
  <c r="E51" i="1"/>
  <c r="F51" i="1"/>
  <c r="G51" i="1"/>
  <c r="H51" i="1"/>
  <c r="I51" i="1"/>
  <c r="D52" i="1"/>
  <c r="E52" i="1"/>
  <c r="F52" i="1"/>
  <c r="G52" i="1"/>
  <c r="H52" i="1"/>
  <c r="I52" i="1"/>
  <c r="D53" i="1"/>
  <c r="E53" i="1"/>
  <c r="F53" i="1"/>
  <c r="G53" i="1"/>
  <c r="H53" i="1"/>
  <c r="I53" i="1"/>
  <c r="D54" i="1"/>
  <c r="E54" i="1"/>
  <c r="F54" i="1"/>
  <c r="G54" i="1"/>
  <c r="H54" i="1"/>
  <c r="I54" i="1"/>
  <c r="C51" i="1"/>
  <c r="C52" i="1"/>
  <c r="C53" i="1"/>
  <c r="C54" i="1"/>
  <c r="C50" i="1"/>
  <c r="N36" i="9"/>
  <c r="N37" i="9" s="1"/>
  <c r="O35" i="9"/>
  <c r="N35" i="9"/>
  <c r="O15" i="9"/>
  <c r="O14" i="9"/>
  <c r="O13" i="9"/>
  <c r="O12" i="9"/>
  <c r="N10" i="9"/>
  <c r="O10" i="9"/>
  <c r="C15" i="2"/>
  <c r="L17" i="2"/>
  <c r="L18" i="2" s="1"/>
  <c r="L19" i="2" s="1"/>
  <c r="D43" i="2"/>
  <c r="N9" i="7"/>
  <c r="N6" i="7"/>
  <c r="N7" i="7" s="1"/>
  <c r="N45" i="8"/>
  <c r="N46" i="8" s="1"/>
  <c r="N43" i="8"/>
  <c r="D21" i="4"/>
  <c r="F22" i="4"/>
  <c r="X11" i="7" l="1"/>
  <c r="W19" i="7"/>
  <c r="T10" i="7"/>
  <c r="U10" i="7" s="1"/>
  <c r="V10" i="7" s="1"/>
  <c r="W10" i="7" s="1"/>
  <c r="X10" i="7" s="1"/>
  <c r="Y10" i="7" s="1"/>
  <c r="Z10" i="7" s="1"/>
  <c r="AA10" i="7" s="1"/>
  <c r="V19" i="7"/>
  <c r="N10" i="7"/>
  <c r="N11" i="7" s="1"/>
  <c r="V9" i="7" l="1"/>
  <c r="T9" i="7"/>
  <c r="U9" i="7"/>
  <c r="Y11" i="7"/>
  <c r="X19" i="7"/>
  <c r="U4" i="7"/>
  <c r="D38" i="4"/>
  <c r="Y19" i="7" l="1"/>
  <c r="Z11" i="7"/>
  <c r="AA11" i="7" s="1"/>
  <c r="J16" i="6"/>
  <c r="J18" i="6" s="1"/>
  <c r="N16" i="6"/>
  <c r="O16" i="6" s="1"/>
  <c r="I18" i="6"/>
  <c r="H12" i="6"/>
  <c r="H8" i="6"/>
  <c r="I8" i="6"/>
  <c r="J8" i="6"/>
  <c r="K8" i="6"/>
  <c r="L8" i="6"/>
  <c r="M8" i="6"/>
  <c r="M10" i="6" s="1"/>
  <c r="G8" i="6"/>
  <c r="G5" i="6"/>
  <c r="H5" i="6"/>
  <c r="H10" i="6" s="1"/>
  <c r="H19" i="6" s="1"/>
  <c r="I5" i="6"/>
  <c r="I10" i="6" s="1"/>
  <c r="J5" i="6"/>
  <c r="J10" i="6" s="1"/>
  <c r="K5" i="6"/>
  <c r="K10" i="6" s="1"/>
  <c r="L5" i="6"/>
  <c r="L10" i="6" s="1"/>
  <c r="F5" i="6"/>
  <c r="C69" i="4"/>
  <c r="D45" i="4"/>
  <c r="R38" i="8"/>
  <c r="S32" i="8"/>
  <c r="N34" i="7"/>
  <c r="O34" i="7" s="1"/>
  <c r="N35" i="7"/>
  <c r="N40" i="7"/>
  <c r="O40" i="7" s="1"/>
  <c r="N41" i="7"/>
  <c r="O41" i="7" s="1"/>
  <c r="N42" i="7"/>
  <c r="O42" i="7" s="1"/>
  <c r="N43" i="7"/>
  <c r="O43" i="7" s="1"/>
  <c r="N44" i="7"/>
  <c r="O44" i="7" s="1"/>
  <c r="N45" i="7"/>
  <c r="O45" i="7" s="1"/>
  <c r="N33" i="7"/>
  <c r="O33" i="7" s="1"/>
  <c r="R33" i="7" s="1"/>
  <c r="O24" i="4"/>
  <c r="C80" i="4"/>
  <c r="D84" i="4"/>
  <c r="P34" i="8"/>
  <c r="N32" i="8" s="1"/>
  <c r="C79" i="4"/>
  <c r="D78" i="4"/>
  <c r="D86" i="4" s="1"/>
  <c r="J50" i="9"/>
  <c r="I50" i="9"/>
  <c r="L50" i="9" s="1"/>
  <c r="J49" i="9"/>
  <c r="I49" i="9"/>
  <c r="L49" i="9" s="1"/>
  <c r="J48" i="9"/>
  <c r="M48" i="9" s="1"/>
  <c r="I48" i="9"/>
  <c r="L48" i="9" s="1"/>
  <c r="J47" i="9"/>
  <c r="M47" i="9" s="1"/>
  <c r="I47" i="9"/>
  <c r="L47" i="9" s="1"/>
  <c r="J46" i="9"/>
  <c r="I46" i="9"/>
  <c r="L46" i="9" s="1"/>
  <c r="J45" i="9"/>
  <c r="I45" i="9"/>
  <c r="L45" i="9" s="1"/>
  <c r="J44" i="9"/>
  <c r="M44" i="9" s="1"/>
  <c r="I44" i="9"/>
  <c r="L44" i="9" s="1"/>
  <c r="J43" i="9"/>
  <c r="M43" i="9" s="1"/>
  <c r="I43" i="9"/>
  <c r="L43" i="9" s="1"/>
  <c r="J42" i="9"/>
  <c r="I42" i="9"/>
  <c r="L42" i="9" s="1"/>
  <c r="J41" i="9"/>
  <c r="I41" i="9"/>
  <c r="L41" i="9" s="1"/>
  <c r="J40" i="9"/>
  <c r="M40" i="9" s="1"/>
  <c r="I40" i="9"/>
  <c r="L40" i="9" s="1"/>
  <c r="J39" i="9"/>
  <c r="M39" i="9" s="1"/>
  <c r="I39" i="9"/>
  <c r="L39" i="9" s="1"/>
  <c r="J38" i="9"/>
  <c r="I38" i="9"/>
  <c r="L38" i="9" s="1"/>
  <c r="J37" i="9"/>
  <c r="I37" i="9"/>
  <c r="L37" i="9" s="1"/>
  <c r="J36" i="9"/>
  <c r="M36" i="9" s="1"/>
  <c r="I36" i="9"/>
  <c r="L36" i="9" s="1"/>
  <c r="J35" i="9"/>
  <c r="M35" i="9" s="1"/>
  <c r="I35" i="9"/>
  <c r="L35" i="9" s="1"/>
  <c r="J34" i="9"/>
  <c r="I34" i="9"/>
  <c r="L34" i="9" s="1"/>
  <c r="J33" i="9"/>
  <c r="I33" i="9"/>
  <c r="L33" i="9" s="1"/>
  <c r="J32" i="9"/>
  <c r="M32" i="9" s="1"/>
  <c r="I32" i="9"/>
  <c r="L32" i="9" s="1"/>
  <c r="J30" i="9"/>
  <c r="M30" i="9" s="1"/>
  <c r="I30" i="9"/>
  <c r="L30" i="9" s="1"/>
  <c r="J29" i="9"/>
  <c r="I29" i="9"/>
  <c r="L29" i="9" s="1"/>
  <c r="J28" i="9"/>
  <c r="I28" i="9"/>
  <c r="L28" i="9" s="1"/>
  <c r="C81" i="4" s="1"/>
  <c r="J27" i="9"/>
  <c r="M27" i="9" s="1"/>
  <c r="I27" i="9"/>
  <c r="L27" i="9" s="1"/>
  <c r="J26" i="9"/>
  <c r="M26" i="9" s="1"/>
  <c r="I26" i="9"/>
  <c r="L26" i="9" s="1"/>
  <c r="J25" i="9"/>
  <c r="I25" i="9"/>
  <c r="L25" i="9" s="1"/>
  <c r="J24" i="9"/>
  <c r="I24" i="9"/>
  <c r="L24" i="9" s="1"/>
  <c r="J23" i="9"/>
  <c r="M23" i="9" s="1"/>
  <c r="I23" i="9"/>
  <c r="L23" i="9" s="1"/>
  <c r="J22" i="9"/>
  <c r="M22" i="9" s="1"/>
  <c r="I22" i="9"/>
  <c r="L22" i="9" s="1"/>
  <c r="J21" i="9"/>
  <c r="I21" i="9"/>
  <c r="L21" i="9" s="1"/>
  <c r="J20" i="9"/>
  <c r="I20" i="9"/>
  <c r="L20" i="9" s="1"/>
  <c r="J19" i="9"/>
  <c r="M19" i="9" s="1"/>
  <c r="I19" i="9"/>
  <c r="L19" i="9" s="1"/>
  <c r="J18" i="9"/>
  <c r="M18" i="9" s="1"/>
  <c r="I18" i="9"/>
  <c r="L18" i="9" s="1"/>
  <c r="C78" i="4" s="1"/>
  <c r="J17" i="9"/>
  <c r="I17" i="9"/>
  <c r="L17" i="9" s="1"/>
  <c r="J16" i="9"/>
  <c r="I16" i="9"/>
  <c r="L16" i="9" s="1"/>
  <c r="J15" i="9"/>
  <c r="M15" i="9" s="1"/>
  <c r="D77" i="4" s="1"/>
  <c r="I15" i="9"/>
  <c r="L15" i="9" s="1"/>
  <c r="C77" i="4" s="1"/>
  <c r="C82" i="4" s="1"/>
  <c r="J14" i="9"/>
  <c r="M14" i="9" s="1"/>
  <c r="N14" i="9" s="1"/>
  <c r="I14" i="9"/>
  <c r="L14" i="9" s="1"/>
  <c r="J13" i="9"/>
  <c r="M13" i="9" s="1"/>
  <c r="D79" i="4" s="1"/>
  <c r="I13" i="9"/>
  <c r="J12" i="9"/>
  <c r="I12" i="9"/>
  <c r="L12" i="9" s="1"/>
  <c r="J11" i="9"/>
  <c r="M11" i="9" s="1"/>
  <c r="I11" i="9"/>
  <c r="L11" i="9" s="1"/>
  <c r="J10" i="9"/>
  <c r="M10" i="9" s="1"/>
  <c r="I10" i="9"/>
  <c r="L10" i="9" s="1"/>
  <c r="J9" i="9"/>
  <c r="I9" i="9"/>
  <c r="L9" i="9" s="1"/>
  <c r="R60" i="7"/>
  <c r="Q60" i="7"/>
  <c r="O27" i="8"/>
  <c r="P27" i="8"/>
  <c r="O28" i="8"/>
  <c r="P28" i="8"/>
  <c r="O29" i="8"/>
  <c r="P29" i="8"/>
  <c r="O31" i="8"/>
  <c r="P31" i="8"/>
  <c r="S31" i="8" s="1"/>
  <c r="S27" i="8" s="1"/>
  <c r="D75" i="4" s="1"/>
  <c r="O32" i="8"/>
  <c r="R32" i="8" s="1"/>
  <c r="R27" i="8" s="1"/>
  <c r="C75" i="4" s="1"/>
  <c r="P32" i="8"/>
  <c r="Q34" i="8" s="1"/>
  <c r="O33" i="8"/>
  <c r="P33" i="8"/>
  <c r="O37" i="8"/>
  <c r="P37" i="8"/>
  <c r="O38" i="8"/>
  <c r="P38" i="8"/>
  <c r="O26" i="8"/>
  <c r="P26" i="8"/>
  <c r="P25" i="8"/>
  <c r="O25" i="8"/>
  <c r="M52" i="8"/>
  <c r="L52" i="8"/>
  <c r="H44" i="8"/>
  <c r="G44" i="8"/>
  <c r="F44" i="8"/>
  <c r="E44" i="8"/>
  <c r="D44" i="8"/>
  <c r="C44" i="8"/>
  <c r="G41" i="8"/>
  <c r="M40" i="8"/>
  <c r="S38" i="8" s="1"/>
  <c r="G36" i="8"/>
  <c r="G35" i="8"/>
  <c r="G34" i="8"/>
  <c r="G30" i="8"/>
  <c r="G20" i="8"/>
  <c r="G17" i="8"/>
  <c r="R39" i="7"/>
  <c r="R37" i="7"/>
  <c r="R38" i="7"/>
  <c r="Q34" i="7"/>
  <c r="R34" i="7" s="1"/>
  <c r="Q35" i="7"/>
  <c r="R35" i="7" s="1"/>
  <c r="Q33" i="7"/>
  <c r="C68" i="4"/>
  <c r="D67" i="4"/>
  <c r="C66" i="4"/>
  <c r="C71" i="4"/>
  <c r="C73" i="4" s="1"/>
  <c r="C43" i="2"/>
  <c r="C29" i="2" s="1"/>
  <c r="W26" i="7"/>
  <c r="G55" i="7"/>
  <c r="G52" i="7"/>
  <c r="G56" i="7" s="1"/>
  <c r="G51" i="7"/>
  <c r="G57" i="7" s="1"/>
  <c r="G50" i="7"/>
  <c r="G49" i="7"/>
  <c r="M42" i="7"/>
  <c r="G39" i="7"/>
  <c r="G38" i="7"/>
  <c r="G37" i="7"/>
  <c r="M36" i="7"/>
  <c r="R36" i="7" s="1"/>
  <c r="R40" i="7" s="1"/>
  <c r="R64" i="7" s="1"/>
  <c r="G31" i="7"/>
  <c r="M20" i="7"/>
  <c r="L20" i="7"/>
  <c r="L13" i="7"/>
  <c r="M34" i="1"/>
  <c r="L35" i="1"/>
  <c r="O43" i="1"/>
  <c r="P43" i="1" s="1"/>
  <c r="M12" i="9" l="1"/>
  <c r="M16" i="9"/>
  <c r="M20" i="9"/>
  <c r="M24" i="9"/>
  <c r="M28" i="9"/>
  <c r="D81" i="4" s="1"/>
  <c r="M33" i="9"/>
  <c r="M37" i="9"/>
  <c r="M41" i="9"/>
  <c r="M45" i="9"/>
  <c r="M49" i="9"/>
  <c r="D80" i="4"/>
  <c r="D33" i="4" s="1"/>
  <c r="M9" i="9"/>
  <c r="M17" i="9"/>
  <c r="M21" i="9"/>
  <c r="M25" i="9"/>
  <c r="M29" i="9"/>
  <c r="M34" i="9"/>
  <c r="M38" i="9"/>
  <c r="M42" i="9"/>
  <c r="M46" i="9"/>
  <c r="M50" i="9"/>
  <c r="R67" i="7"/>
  <c r="I19" i="6"/>
  <c r="R41" i="7"/>
  <c r="R63" i="7"/>
  <c r="R65" i="7" s="1"/>
  <c r="J19" i="6"/>
  <c r="R10" i="6"/>
  <c r="N17" i="6"/>
  <c r="O17" i="6" s="1"/>
  <c r="P17" i="6" s="1"/>
  <c r="P18" i="6" s="1"/>
  <c r="P19" i="6" s="1"/>
  <c r="N18" i="6"/>
  <c r="N19" i="6" s="1"/>
  <c r="K16" i="6"/>
  <c r="K17" i="6" s="1"/>
  <c r="S10" i="6"/>
  <c r="L16" i="6"/>
  <c r="L17" i="6" s="1"/>
  <c r="M16" i="6"/>
  <c r="M17" i="6" s="1"/>
  <c r="O5" i="6"/>
  <c r="G10" i="6"/>
  <c r="G19" i="6" s="1"/>
  <c r="F10" i="6"/>
  <c r="D69" i="4"/>
  <c r="D82" i="4"/>
  <c r="D85" i="4"/>
  <c r="D87" i="4" s="1"/>
  <c r="Q41" i="7"/>
  <c r="Q63" i="7" s="1"/>
  <c r="Q65" i="7" s="1"/>
  <c r="G54" i="7"/>
  <c r="G53" i="7"/>
  <c r="K18" i="6" l="1"/>
  <c r="R11" i="6" s="1"/>
  <c r="L18" i="6"/>
  <c r="L19" i="6" s="1"/>
  <c r="M18" i="6"/>
  <c r="Q10" i="6"/>
  <c r="U10" i="6" s="1"/>
  <c r="O18" i="6"/>
  <c r="H11" i="6"/>
  <c r="H14" i="6" s="1"/>
  <c r="E43" i="2"/>
  <c r="D18" i="1"/>
  <c r="C18" i="1"/>
  <c r="D38" i="1"/>
  <c r="E38" i="1" s="1"/>
  <c r="F38" i="1" s="1"/>
  <c r="G38" i="1" s="1"/>
  <c r="H38" i="1" s="1"/>
  <c r="I38" i="1" s="1"/>
  <c r="E33" i="1"/>
  <c r="F33" i="1" s="1"/>
  <c r="G33" i="1" s="1"/>
  <c r="H33" i="1" s="1"/>
  <c r="I33" i="1" s="1"/>
  <c r="D35" i="1"/>
  <c r="E35" i="1" s="1"/>
  <c r="F35" i="1" s="1"/>
  <c r="G35" i="1" s="1"/>
  <c r="H35" i="1" s="1"/>
  <c r="I35" i="1" s="1"/>
  <c r="F34" i="1"/>
  <c r="G34" i="1" s="1"/>
  <c r="H34" i="1" s="1"/>
  <c r="I34" i="1" s="1"/>
  <c r="E37" i="1"/>
  <c r="F37" i="1"/>
  <c r="G37" i="1"/>
  <c r="H37" i="1"/>
  <c r="I37" i="1"/>
  <c r="J37" i="1"/>
  <c r="K37" i="1"/>
  <c r="D37" i="1"/>
  <c r="K19" i="6" l="1"/>
  <c r="G22" i="6" s="1"/>
  <c r="F24" i="6"/>
  <c r="F23" i="6" s="1"/>
  <c r="T20" i="7"/>
  <c r="U20" i="7"/>
  <c r="O19" i="6"/>
  <c r="I22" i="6" s="1"/>
  <c r="T11" i="6"/>
  <c r="S11" i="6"/>
  <c r="M19" i="6"/>
  <c r="H22" i="6" s="1"/>
  <c r="H24" i="6" s="1"/>
  <c r="H23" i="6" s="1"/>
  <c r="F43" i="2"/>
  <c r="G24" i="6" l="1"/>
  <c r="G23" i="6" s="1"/>
  <c r="I23" i="6"/>
  <c r="I24" i="6"/>
  <c r="U11" i="6"/>
  <c r="G43" i="2"/>
  <c r="F15" i="4"/>
  <c r="E15" i="4"/>
  <c r="H43" i="2" l="1"/>
  <c r="I34" i="6"/>
  <c r="I35" i="6"/>
  <c r="I36" i="6"/>
  <c r="I33" i="6"/>
  <c r="H37" i="6"/>
  <c r="G37" i="6"/>
  <c r="F62" i="4"/>
  <c r="E62" i="4"/>
  <c r="L60" i="1"/>
  <c r="I43" i="2" l="1"/>
  <c r="B12" i="4"/>
  <c r="J43" i="2" l="1"/>
  <c r="D32" i="4"/>
  <c r="E33" i="6" l="1"/>
  <c r="D33" i="6"/>
  <c r="E36" i="6"/>
  <c r="D36" i="6"/>
  <c r="C18" i="2"/>
  <c r="D37" i="6" l="1"/>
  <c r="B59" i="4" s="1"/>
  <c r="E37" i="6"/>
  <c r="C59" i="4" s="1"/>
  <c r="C41" i="4"/>
  <c r="B16" i="4"/>
  <c r="A36" i="4"/>
  <c r="D36" i="4"/>
  <c r="D71" i="4" s="1"/>
  <c r="D34" i="4"/>
  <c r="D66" i="4" s="1"/>
  <c r="D25" i="4"/>
  <c r="G25" i="4"/>
  <c r="G65" i="4" s="1"/>
  <c r="H25" i="4"/>
  <c r="H65" i="4" s="1"/>
  <c r="I25" i="4"/>
  <c r="I65" i="4" s="1"/>
  <c r="J25" i="4"/>
  <c r="J65" i="4" s="1"/>
  <c r="C25" i="4"/>
  <c r="C65" i="4" s="1"/>
  <c r="B13" i="4"/>
  <c r="G8" i="4"/>
  <c r="C4" i="4"/>
  <c r="D3" i="4"/>
  <c r="E3" i="4" s="1"/>
  <c r="D65" i="4" l="1"/>
  <c r="D73" i="4"/>
  <c r="B14" i="4"/>
  <c r="B15" i="4" s="1"/>
  <c r="B17" i="4" s="1"/>
  <c r="E4" i="4"/>
  <c r="F3" i="4"/>
  <c r="C5" i="4"/>
  <c r="D4" i="4"/>
  <c r="D6" i="4" s="1"/>
  <c r="C6" i="2"/>
  <c r="C17" i="2" s="1"/>
  <c r="M7" i="2"/>
  <c r="E6" i="4" l="1"/>
  <c r="E45" i="4"/>
  <c r="E33" i="4"/>
  <c r="E32" i="4" s="1"/>
  <c r="E38" i="4"/>
  <c r="E67" i="4" s="1"/>
  <c r="E21" i="4"/>
  <c r="C21" i="4"/>
  <c r="C24" i="4" s="1"/>
  <c r="E5" i="4"/>
  <c r="G3" i="4"/>
  <c r="F4" i="4"/>
  <c r="F6" i="4" s="1"/>
  <c r="D5" i="4"/>
  <c r="C26" i="4" l="1"/>
  <c r="C70" i="4"/>
  <c r="F45" i="4"/>
  <c r="E69" i="4"/>
  <c r="L69" i="4" s="1"/>
  <c r="L45" i="4"/>
  <c r="L67" i="4"/>
  <c r="F38" i="4"/>
  <c r="F67" i="4" s="1"/>
  <c r="L38" i="4"/>
  <c r="E34" i="4"/>
  <c r="F33" i="4"/>
  <c r="F32" i="4" s="1"/>
  <c r="L32" i="4"/>
  <c r="E36" i="4"/>
  <c r="D24" i="4"/>
  <c r="D70" i="4" s="1"/>
  <c r="G4" i="4"/>
  <c r="G6" i="4" s="1"/>
  <c r="H3" i="4"/>
  <c r="F5" i="4"/>
  <c r="C72" i="4" l="1"/>
  <c r="C74" i="4" s="1"/>
  <c r="F69" i="4"/>
  <c r="G45" i="4"/>
  <c r="L36" i="4"/>
  <c r="E71" i="4"/>
  <c r="L34" i="4"/>
  <c r="E66" i="4"/>
  <c r="L66" i="4" s="1"/>
  <c r="G33" i="4"/>
  <c r="G32" i="4" s="1"/>
  <c r="F36" i="4"/>
  <c r="F71" i="4" s="1"/>
  <c r="F34" i="4"/>
  <c r="F66" i="4" s="1"/>
  <c r="G38" i="4"/>
  <c r="G67" i="4" s="1"/>
  <c r="F21" i="4"/>
  <c r="D26" i="4"/>
  <c r="G5" i="4"/>
  <c r="I3" i="4"/>
  <c r="H4" i="4"/>
  <c r="H5" i="4" l="1"/>
  <c r="H6" i="4"/>
  <c r="H45" i="4"/>
  <c r="G69" i="4"/>
  <c r="F73" i="4"/>
  <c r="E73" i="4"/>
  <c r="L73" i="4" s="1"/>
  <c r="L71" i="4"/>
  <c r="H38" i="4"/>
  <c r="H67" i="4" s="1"/>
  <c r="H33" i="4"/>
  <c r="H32" i="4" s="1"/>
  <c r="G34" i="4"/>
  <c r="G66" i="4" s="1"/>
  <c r="G36" i="4"/>
  <c r="G71" i="4" s="1"/>
  <c r="G21" i="4"/>
  <c r="I4" i="4"/>
  <c r="I6" i="4" s="1"/>
  <c r="J3" i="4"/>
  <c r="J4" i="4" s="1"/>
  <c r="J6" i="4" s="1"/>
  <c r="H69" i="4" l="1"/>
  <c r="I45" i="4"/>
  <c r="M45" i="4"/>
  <c r="G73" i="4"/>
  <c r="I38" i="4"/>
  <c r="I67" i="4" s="1"/>
  <c r="I33" i="4"/>
  <c r="I32" i="4" s="1"/>
  <c r="H36" i="4"/>
  <c r="H71" i="4" s="1"/>
  <c r="H34" i="4"/>
  <c r="H66" i="4" s="1"/>
  <c r="G24" i="4"/>
  <c r="H21" i="4"/>
  <c r="J5" i="4"/>
  <c r="I5" i="4"/>
  <c r="M69" i="4" l="1"/>
  <c r="J38" i="4"/>
  <c r="J67" i="4" s="1"/>
  <c r="M67" i="4"/>
  <c r="M38" i="4"/>
  <c r="J45" i="4"/>
  <c r="J69" i="4" s="1"/>
  <c r="I69" i="4"/>
  <c r="G26" i="4"/>
  <c r="G70" i="4"/>
  <c r="H73" i="4"/>
  <c r="J33" i="4"/>
  <c r="J32" i="4" s="1"/>
  <c r="I36" i="4"/>
  <c r="I34" i="4"/>
  <c r="M32" i="4"/>
  <c r="I21" i="4"/>
  <c r="H24" i="4"/>
  <c r="H70" i="4" s="1"/>
  <c r="M34" i="4" l="1"/>
  <c r="I66" i="4"/>
  <c r="M66" i="4" s="1"/>
  <c r="M36" i="4"/>
  <c r="I71" i="4"/>
  <c r="M71" i="4" s="1"/>
  <c r="J34" i="4"/>
  <c r="J66" i="4" s="1"/>
  <c r="J36" i="4"/>
  <c r="J71" i="4" s="1"/>
  <c r="H26" i="4"/>
  <c r="J21" i="4"/>
  <c r="J24" i="4" s="1"/>
  <c r="I24" i="4"/>
  <c r="J73" i="4" l="1"/>
  <c r="I26" i="4"/>
  <c r="I70" i="4"/>
  <c r="J26" i="4"/>
  <c r="J70" i="4"/>
  <c r="I73" i="4"/>
  <c r="M73" i="4" s="1"/>
  <c r="O48" i="4" l="1"/>
  <c r="B60" i="4" l="1"/>
  <c r="E21" i="2"/>
  <c r="F21" i="2"/>
  <c r="E35" i="2" s="1"/>
  <c r="G21" i="2"/>
  <c r="F35" i="2" s="1"/>
  <c r="H21" i="2"/>
  <c r="G35" i="2" s="1"/>
  <c r="I21" i="2"/>
  <c r="H35" i="2" s="1"/>
  <c r="J21" i="2"/>
  <c r="I35" i="2" s="1"/>
  <c r="E22" i="2"/>
  <c r="F22" i="2"/>
  <c r="G22" i="2"/>
  <c r="H22" i="2"/>
  <c r="I22" i="2"/>
  <c r="J22" i="2"/>
  <c r="E23" i="2"/>
  <c r="F23" i="2"/>
  <c r="G23" i="2"/>
  <c r="H23" i="2"/>
  <c r="I23" i="2"/>
  <c r="J23" i="2"/>
  <c r="E24" i="2"/>
  <c r="F24" i="2"/>
  <c r="G24" i="2"/>
  <c r="H24" i="2"/>
  <c r="I24" i="2"/>
  <c r="J24" i="2"/>
  <c r="D24" i="2"/>
  <c r="D22" i="2"/>
  <c r="D21" i="2"/>
  <c r="E13" i="2"/>
  <c r="E29" i="2" s="1"/>
  <c r="F13" i="2"/>
  <c r="F29" i="2" s="1"/>
  <c r="G13" i="2"/>
  <c r="G29" i="2" s="1"/>
  <c r="H13" i="2"/>
  <c r="H29" i="2" s="1"/>
  <c r="I13" i="2"/>
  <c r="I29" i="2" s="1"/>
  <c r="J13" i="2"/>
  <c r="J29" i="2" s="1"/>
  <c r="E14" i="2"/>
  <c r="F14" i="2"/>
  <c r="G14" i="2"/>
  <c r="H14" i="2"/>
  <c r="I14" i="2"/>
  <c r="J14" i="2"/>
  <c r="E15" i="2"/>
  <c r="F15" i="2"/>
  <c r="G15" i="2"/>
  <c r="H15" i="2"/>
  <c r="I15" i="2"/>
  <c r="J15" i="2"/>
  <c r="E16" i="2"/>
  <c r="F16" i="2"/>
  <c r="G16" i="2"/>
  <c r="H16" i="2"/>
  <c r="I16" i="2"/>
  <c r="J16" i="2"/>
  <c r="D16" i="2"/>
  <c r="D14" i="2"/>
  <c r="D13" i="2"/>
  <c r="D29" i="2" s="1"/>
  <c r="D15" i="2"/>
  <c r="C36" i="2" l="1"/>
  <c r="D36" i="2"/>
  <c r="E36" i="2"/>
  <c r="E50" i="2" s="1"/>
  <c r="D35" i="2"/>
  <c r="D50" i="2" s="1"/>
  <c r="E18" i="2"/>
  <c r="E6" i="2"/>
  <c r="E17" i="2" s="1"/>
  <c r="H18" i="2"/>
  <c r="H6" i="2"/>
  <c r="H17" i="2" s="1"/>
  <c r="G18" i="2"/>
  <c r="G6" i="2"/>
  <c r="G17" i="2" s="1"/>
  <c r="D18" i="2"/>
  <c r="D6" i="2"/>
  <c r="D17" i="2" s="1"/>
  <c r="J18" i="2"/>
  <c r="J6" i="2"/>
  <c r="J17" i="2" s="1"/>
  <c r="F18" i="2"/>
  <c r="F6" i="2"/>
  <c r="F17" i="2" s="1"/>
  <c r="I18" i="2"/>
  <c r="I6" i="2"/>
  <c r="I17" i="2" s="1"/>
  <c r="S18" i="7" l="1"/>
  <c r="C25" i="2"/>
  <c r="E13" i="1"/>
  <c r="E14" i="1"/>
  <c r="E12" i="1"/>
  <c r="D23" i="2"/>
  <c r="S17" i="7" l="1"/>
  <c r="T18" i="7"/>
  <c r="S5" i="7"/>
  <c r="S19" i="7"/>
  <c r="D25" i="2"/>
  <c r="U18" i="7" l="1"/>
  <c r="T5" i="7"/>
  <c r="E25" i="2"/>
  <c r="V18" i="7" l="1"/>
  <c r="U5" i="7"/>
  <c r="F25" i="2"/>
  <c r="W18" i="7" l="1"/>
  <c r="V5" i="7"/>
  <c r="G25" i="2"/>
  <c r="X18" i="7" l="1"/>
  <c r="W5" i="7"/>
  <c r="H25" i="2"/>
  <c r="Y18" i="7" l="1"/>
  <c r="Y5" i="7" s="1"/>
  <c r="X5" i="7"/>
  <c r="I25" i="2"/>
  <c r="J25" i="2" l="1"/>
  <c r="F21" i="1" l="1"/>
  <c r="G31" i="2" s="1"/>
  <c r="F19" i="1"/>
  <c r="G21" i="1"/>
  <c r="H31" i="2" s="1"/>
  <c r="H22" i="1"/>
  <c r="I39" i="2" s="1"/>
  <c r="I22" i="1"/>
  <c r="J39" i="2" s="1"/>
  <c r="E17" i="1"/>
  <c r="U15" i="7" s="1"/>
  <c r="G18" i="1"/>
  <c r="D19" i="1"/>
  <c r="D20" i="1"/>
  <c r="H21" i="1"/>
  <c r="I31" i="2" s="1"/>
  <c r="I21" i="1"/>
  <c r="J31" i="2" s="1"/>
  <c r="D21" i="1"/>
  <c r="E31" i="2" s="1"/>
  <c r="E21" i="1"/>
  <c r="F31" i="2" s="1"/>
  <c r="D17" i="1"/>
  <c r="T15" i="7" s="1"/>
  <c r="B21" i="1"/>
  <c r="C22" i="1"/>
  <c r="D39" i="2" s="1"/>
  <c r="E7" i="1"/>
  <c r="E8" i="1"/>
  <c r="E9" i="1"/>
  <c r="E6" i="1"/>
  <c r="F7" i="1"/>
  <c r="F8" i="1"/>
  <c r="F9" i="1"/>
  <c r="N31" i="2" s="1"/>
  <c r="F6" i="1"/>
  <c r="X20" i="7" l="1"/>
  <c r="H36" i="2"/>
  <c r="H50" i="2" s="1"/>
  <c r="U16" i="7"/>
  <c r="F32" i="2"/>
  <c r="E32" i="2"/>
  <c r="E46" i="2" s="1"/>
  <c r="C38" i="2"/>
  <c r="C52" i="2" s="1"/>
  <c r="C31" i="2"/>
  <c r="C45" i="2" s="1"/>
  <c r="C59" i="2" s="1"/>
  <c r="H33" i="2"/>
  <c r="H47" i="2" s="1"/>
  <c r="I53" i="2"/>
  <c r="O30" i="2"/>
  <c r="J53" i="2"/>
  <c r="D33" i="2"/>
  <c r="D47" i="2" s="1"/>
  <c r="F46" i="2"/>
  <c r="D53" i="2"/>
  <c r="E38" i="2"/>
  <c r="E52" i="2" s="1"/>
  <c r="E45" i="2"/>
  <c r="E37" i="2"/>
  <c r="G38" i="2"/>
  <c r="G52" i="2" s="1"/>
  <c r="G45" i="2"/>
  <c r="G37" i="2"/>
  <c r="G51" i="2" s="1"/>
  <c r="J45" i="2"/>
  <c r="J38" i="2"/>
  <c r="J52" i="2" s="1"/>
  <c r="F45" i="2"/>
  <c r="F38" i="2"/>
  <c r="F52" i="2" s="1"/>
  <c r="I45" i="2"/>
  <c r="I38" i="2"/>
  <c r="I52" i="2" s="1"/>
  <c r="H45" i="2"/>
  <c r="H38" i="2"/>
  <c r="H52" i="2" s="1"/>
  <c r="F17" i="1"/>
  <c r="V15" i="7" s="1"/>
  <c r="V16" i="7" s="1"/>
  <c r="G20" i="1"/>
  <c r="I17" i="1"/>
  <c r="B19" i="1"/>
  <c r="I19" i="1"/>
  <c r="H17" i="1"/>
  <c r="X15" i="7" s="1"/>
  <c r="X16" i="7" s="1"/>
  <c r="E22" i="1"/>
  <c r="F39" i="2" s="1"/>
  <c r="H19" i="1"/>
  <c r="F18" i="1"/>
  <c r="D22" i="1"/>
  <c r="E39" i="2" s="1"/>
  <c r="E19" i="1"/>
  <c r="B20" i="1"/>
  <c r="F20" i="1"/>
  <c r="Q30" i="2" s="1"/>
  <c r="C20" i="1"/>
  <c r="G22" i="1"/>
  <c r="H39" i="2" s="1"/>
  <c r="I20" i="1"/>
  <c r="E20" i="1"/>
  <c r="G19" i="1"/>
  <c r="R30" i="2" s="1"/>
  <c r="H30" i="2" s="1"/>
  <c r="I18" i="1"/>
  <c r="E18" i="1"/>
  <c r="G17" i="1"/>
  <c r="W15" i="7" s="1"/>
  <c r="B22" i="1"/>
  <c r="C39" i="2" s="1"/>
  <c r="B18" i="1"/>
  <c r="C19" i="1"/>
  <c r="D37" i="2" s="1"/>
  <c r="C21" i="1"/>
  <c r="D31" i="2" s="1"/>
  <c r="F22" i="1"/>
  <c r="G39" i="2" s="1"/>
  <c r="H20" i="1"/>
  <c r="H18" i="1"/>
  <c r="C17" i="1"/>
  <c r="B17" i="1"/>
  <c r="R15" i="7" s="1"/>
  <c r="G36" i="2" l="1"/>
  <c r="G50" i="2" s="1"/>
  <c r="W20" i="7"/>
  <c r="S15" i="7"/>
  <c r="T16" i="7" s="1"/>
  <c r="D32" i="2"/>
  <c r="Y20" i="7"/>
  <c r="I36" i="2"/>
  <c r="I50" i="2" s="1"/>
  <c r="F36" i="2"/>
  <c r="F50" i="2" s="1"/>
  <c r="V20" i="7"/>
  <c r="W16" i="7"/>
  <c r="Y15" i="7"/>
  <c r="Y16" i="7" s="1"/>
  <c r="J36" i="2"/>
  <c r="J50" i="2" s="1"/>
  <c r="E65" i="2"/>
  <c r="H65" i="2"/>
  <c r="J65" i="2"/>
  <c r="G65" i="2"/>
  <c r="I59" i="2"/>
  <c r="G59" i="2"/>
  <c r="H59" i="2"/>
  <c r="J59" i="2"/>
  <c r="I65" i="2"/>
  <c r="E59" i="2"/>
  <c r="G30" i="2"/>
  <c r="G44" i="2" s="1"/>
  <c r="E30" i="2"/>
  <c r="E44" i="2" s="1"/>
  <c r="G64" i="2"/>
  <c r="J32" i="2"/>
  <c r="I32" i="2"/>
  <c r="H32" i="2"/>
  <c r="H28" i="2" s="1"/>
  <c r="G32" i="2"/>
  <c r="G46" i="2" s="1"/>
  <c r="H43" i="4"/>
  <c r="H68" i="4" s="1"/>
  <c r="D66" i="2"/>
  <c r="I66" i="2"/>
  <c r="J66" i="2"/>
  <c r="F60" i="2"/>
  <c r="S30" i="2"/>
  <c r="I30" i="2" s="1"/>
  <c r="J46" i="2"/>
  <c r="H46" i="2"/>
  <c r="I46" i="2"/>
  <c r="N30" i="2"/>
  <c r="D30" i="2" s="1"/>
  <c r="D28" i="2" s="1"/>
  <c r="F33" i="2"/>
  <c r="F47" i="2" s="1"/>
  <c r="C32" i="2"/>
  <c r="C46" i="2" s="1"/>
  <c r="C60" i="2" s="1"/>
  <c r="C33" i="2"/>
  <c r="C47" i="2" s="1"/>
  <c r="J33" i="2"/>
  <c r="J47" i="2" s="1"/>
  <c r="H53" i="2"/>
  <c r="P30" i="2"/>
  <c r="F53" i="2"/>
  <c r="I33" i="2"/>
  <c r="I47" i="2" s="1"/>
  <c r="G53" i="2"/>
  <c r="J20" i="1"/>
  <c r="E53" i="2"/>
  <c r="M30" i="2"/>
  <c r="C30" i="2" s="1"/>
  <c r="C44" i="2" s="1"/>
  <c r="C37" i="2"/>
  <c r="C40" i="2" s="1"/>
  <c r="C53" i="2"/>
  <c r="G33" i="2"/>
  <c r="G47" i="2" s="1"/>
  <c r="G41" i="2"/>
  <c r="T30" i="2"/>
  <c r="E33" i="2"/>
  <c r="E47" i="2" s="1"/>
  <c r="D43" i="4"/>
  <c r="D68" i="4" s="1"/>
  <c r="E60" i="2"/>
  <c r="F65" i="2"/>
  <c r="M65" i="2" s="1"/>
  <c r="M52" i="2"/>
  <c r="C65" i="2"/>
  <c r="J22" i="1"/>
  <c r="D38" i="2"/>
  <c r="D45" i="2"/>
  <c r="J21" i="1"/>
  <c r="J37" i="2"/>
  <c r="H57" i="2"/>
  <c r="E51" i="2"/>
  <c r="J17" i="1"/>
  <c r="D51" i="2"/>
  <c r="J19" i="1"/>
  <c r="I37" i="2"/>
  <c r="I44" i="2"/>
  <c r="J18" i="1"/>
  <c r="K19" i="1" s="1"/>
  <c r="H44" i="2"/>
  <c r="H37" i="2"/>
  <c r="H51" i="2" s="1"/>
  <c r="F37" i="2"/>
  <c r="M45" i="2"/>
  <c r="N45" i="2" s="1"/>
  <c r="F59" i="2"/>
  <c r="D63" i="2"/>
  <c r="M59" i="2" l="1"/>
  <c r="G28" i="2"/>
  <c r="L45" i="2"/>
  <c r="D72" i="4"/>
  <c r="D74" i="4" s="1"/>
  <c r="C28" i="2"/>
  <c r="D44" i="2"/>
  <c r="D52" i="2"/>
  <c r="D41" i="2"/>
  <c r="C51" i="2"/>
  <c r="C41" i="2"/>
  <c r="H41" i="2"/>
  <c r="E58" i="2"/>
  <c r="E42" i="2"/>
  <c r="G58" i="2"/>
  <c r="I58" i="2"/>
  <c r="H64" i="2"/>
  <c r="F30" i="2"/>
  <c r="F44" i="2" s="1"/>
  <c r="F41" i="2"/>
  <c r="H58" i="2"/>
  <c r="E64" i="2"/>
  <c r="J30" i="2"/>
  <c r="J28" i="2" s="1"/>
  <c r="I28" i="2"/>
  <c r="F28" i="2"/>
  <c r="I42" i="2"/>
  <c r="H42" i="2"/>
  <c r="G42" i="2"/>
  <c r="E28" i="2"/>
  <c r="I41" i="2"/>
  <c r="E43" i="4"/>
  <c r="E68" i="4" s="1"/>
  <c r="G43" i="4"/>
  <c r="G68" i="4" s="1"/>
  <c r="I43" i="4"/>
  <c r="I68" i="4" s="1"/>
  <c r="J43" i="4"/>
  <c r="J68" i="4" s="1"/>
  <c r="E41" i="2"/>
  <c r="J41" i="2"/>
  <c r="H72" i="4"/>
  <c r="D64" i="2"/>
  <c r="L64" i="2" s="1"/>
  <c r="H66" i="2"/>
  <c r="G66" i="2"/>
  <c r="E66" i="2"/>
  <c r="L66" i="2" s="1"/>
  <c r="C54" i="2"/>
  <c r="L47" i="2"/>
  <c r="C66" i="2"/>
  <c r="L53" i="2"/>
  <c r="F66" i="2"/>
  <c r="M53" i="2"/>
  <c r="F43" i="4"/>
  <c r="M47" i="2"/>
  <c r="H60" i="2"/>
  <c r="H48" i="2"/>
  <c r="H61" i="2" s="1"/>
  <c r="I60" i="2"/>
  <c r="J60" i="2"/>
  <c r="G60" i="2"/>
  <c r="M46" i="2"/>
  <c r="N46" i="2" s="1"/>
  <c r="D46" i="2"/>
  <c r="L52" i="2"/>
  <c r="C64" i="2"/>
  <c r="L51" i="2"/>
  <c r="D40" i="2"/>
  <c r="C58" i="2"/>
  <c r="L44" i="2"/>
  <c r="F40" i="2"/>
  <c r="F51" i="2"/>
  <c r="I40" i="2"/>
  <c r="I51" i="2"/>
  <c r="D58" i="2"/>
  <c r="E40" i="2"/>
  <c r="D59" i="2"/>
  <c r="L59" i="2" s="1"/>
  <c r="J40" i="2"/>
  <c r="J51" i="2"/>
  <c r="J57" i="2"/>
  <c r="G40" i="2"/>
  <c r="I57" i="2"/>
  <c r="G57" i="2"/>
  <c r="H40" i="2"/>
  <c r="D57" i="2"/>
  <c r="M66" i="2" l="1"/>
  <c r="L58" i="2"/>
  <c r="L43" i="4"/>
  <c r="D65" i="2"/>
  <c r="L65" i="2" s="1"/>
  <c r="D42" i="2"/>
  <c r="J44" i="2"/>
  <c r="F42" i="2"/>
  <c r="F58" i="2"/>
  <c r="M58" i="2" s="1"/>
  <c r="M44" i="2"/>
  <c r="N44" i="2" s="1"/>
  <c r="F48" i="2"/>
  <c r="F61" i="2" s="1"/>
  <c r="J64" i="2"/>
  <c r="I64" i="2"/>
  <c r="L68" i="4"/>
  <c r="J72" i="4"/>
  <c r="G72" i="4"/>
  <c r="I72" i="4"/>
  <c r="M43" i="4"/>
  <c r="F68" i="4"/>
  <c r="G48" i="2"/>
  <c r="G61" i="2" s="1"/>
  <c r="I48" i="2"/>
  <c r="I61" i="2" s="1"/>
  <c r="E57" i="2"/>
  <c r="L57" i="2" s="1"/>
  <c r="E48" i="2"/>
  <c r="E61" i="2" s="1"/>
  <c r="C57" i="2"/>
  <c r="C48" i="2"/>
  <c r="C61" i="2" s="1"/>
  <c r="L46" i="2"/>
  <c r="D48" i="2"/>
  <c r="D61" i="2" s="1"/>
  <c r="M60" i="2"/>
  <c r="D60" i="2"/>
  <c r="L60" i="2" s="1"/>
  <c r="J54" i="2"/>
  <c r="J67" i="2" s="1"/>
  <c r="F54" i="2"/>
  <c r="F67" i="2" s="1"/>
  <c r="H54" i="2"/>
  <c r="H67" i="2" s="1"/>
  <c r="E54" i="2"/>
  <c r="E67" i="2" s="1"/>
  <c r="G54" i="2"/>
  <c r="G67" i="2" s="1"/>
  <c r="I54" i="2"/>
  <c r="I67" i="2" s="1"/>
  <c r="D54" i="2"/>
  <c r="C67" i="2"/>
  <c r="F64" i="2"/>
  <c r="M51" i="2"/>
  <c r="C63" i="2"/>
  <c r="L43" i="2"/>
  <c r="F57" i="2"/>
  <c r="M57" i="2" s="1"/>
  <c r="M43" i="2"/>
  <c r="N43" i="2" s="1"/>
  <c r="J42" i="2" l="1"/>
  <c r="J48" i="2"/>
  <c r="J61" i="2" s="1"/>
  <c r="J58" i="2"/>
  <c r="M64" i="2"/>
  <c r="M68" i="4"/>
  <c r="M48" i="2"/>
  <c r="C51" i="4" s="1"/>
  <c r="M61" i="2"/>
  <c r="D67" i="2"/>
  <c r="L67" i="2" s="1"/>
  <c r="D55" i="2"/>
  <c r="L54" i="2"/>
  <c r="E51" i="4" s="1"/>
  <c r="M67" i="2"/>
  <c r="L61" i="2"/>
  <c r="L48" i="2"/>
  <c r="B51" i="4" s="1"/>
  <c r="M54" i="2"/>
  <c r="F51" i="4" s="1"/>
  <c r="N48" i="2" l="1"/>
  <c r="E27" i="4" l="1"/>
  <c r="E65" i="4"/>
  <c r="L25" i="4"/>
  <c r="B52" i="4" s="1"/>
  <c r="B53" i="4" s="1"/>
  <c r="B61" i="4" s="1"/>
  <c r="E22" i="4"/>
  <c r="E24" i="4" s="1"/>
  <c r="E70" i="4" l="1"/>
  <c r="E26" i="4"/>
  <c r="L24" i="4"/>
  <c r="E52" i="4" s="1"/>
  <c r="E23" i="4"/>
  <c r="L65" i="4"/>
  <c r="N69" i="4" s="1"/>
  <c r="L70" i="4" l="1"/>
  <c r="E72" i="4"/>
  <c r="L72" i="4" s="1"/>
  <c r="E53" i="4"/>
  <c r="H52" i="4"/>
  <c r="L26" i="4"/>
  <c r="F23" i="4"/>
  <c r="F25" i="4"/>
  <c r="F24" i="4"/>
  <c r="M24" i="4" s="1"/>
  <c r="F52" i="4" s="1"/>
  <c r="F53" i="4" s="1"/>
  <c r="F26" i="4" l="1"/>
  <c r="F70" i="4"/>
  <c r="G27" i="4"/>
  <c r="F65" i="4"/>
  <c r="M25" i="4"/>
  <c r="M70" i="4" l="1"/>
  <c r="C52" i="4"/>
  <c r="C53" i="4" s="1"/>
  <c r="C61" i="4" s="1"/>
  <c r="M26" i="4"/>
  <c r="M65" i="4"/>
  <c r="O69" i="4" s="1"/>
  <c r="F72" i="4"/>
  <c r="M72" i="4" s="1"/>
  <c r="L50" i="2" l="1"/>
  <c r="E63" i="2"/>
  <c r="L63" i="2" s="1"/>
  <c r="G63" i="2" l="1"/>
  <c r="F63" i="2"/>
  <c r="H63" i="2" l="1"/>
  <c r="I63" i="2" l="1"/>
  <c r="M63" i="2" s="1"/>
  <c r="M50" i="2"/>
  <c r="J63" i="2" l="1"/>
</calcChain>
</file>

<file path=xl/sharedStrings.xml><?xml version="1.0" encoding="utf-8"?>
<sst xmlns="http://schemas.openxmlformats.org/spreadsheetml/2006/main" count="957" uniqueCount="488">
  <si>
    <t>Use CBO and/or Fed elasticities</t>
  </si>
  <si>
    <t>CBO</t>
  </si>
  <si>
    <t>Federal Reserve</t>
  </si>
  <si>
    <t>Income and Payroll Taxes</t>
  </si>
  <si>
    <t>Taxes to Tax Base</t>
  </si>
  <si>
    <t>Tax base to NIPA</t>
  </si>
  <si>
    <t>Nipa to GDP GAP</t>
  </si>
  <si>
    <t>R1*R2*R3</t>
  </si>
  <si>
    <t>R1*R2</t>
  </si>
  <si>
    <t>Fed Taxes to Tax Base</t>
  </si>
  <si>
    <t>Tax Base to NIPA Income</t>
  </si>
  <si>
    <t>Individual</t>
  </si>
  <si>
    <t>Corp</t>
  </si>
  <si>
    <t>FICA</t>
  </si>
  <si>
    <t>SECA</t>
  </si>
  <si>
    <t>Production and Import</t>
  </si>
  <si>
    <t>Fed says moves with GDP</t>
  </si>
  <si>
    <t>State and Local</t>
  </si>
  <si>
    <t>Personal</t>
  </si>
  <si>
    <t>corporate</t>
  </si>
  <si>
    <t>sales</t>
  </si>
  <si>
    <t>consumption</t>
  </si>
  <si>
    <t>NOTE: Personal income falling less because of checks which are not taxable. Take them out of personal income.</t>
  </si>
  <si>
    <t>% Change</t>
  </si>
  <si>
    <t>2020Q1</t>
  </si>
  <si>
    <t>2020Q2</t>
  </si>
  <si>
    <t>2020Q3</t>
  </si>
  <si>
    <t>2020Q4</t>
  </si>
  <si>
    <t>2021Q1</t>
  </si>
  <si>
    <t>2021Q2</t>
  </si>
  <si>
    <t>2021Q3</t>
  </si>
  <si>
    <t>2021Q4</t>
  </si>
  <si>
    <t>GDP</t>
  </si>
  <si>
    <t>Income, Personal (NOTE)</t>
  </si>
  <si>
    <t>NOTE: take some out for stimulus checks-not taxable</t>
  </si>
  <si>
    <t>Wages and Salaries</t>
  </si>
  <si>
    <t>Total Prop Income</t>
  </si>
  <si>
    <t>Profits, Corporate, With IVA and CCAdj</t>
  </si>
  <si>
    <t>PCE</t>
  </si>
  <si>
    <t xml:space="preserve">Pre-COVID (Jan 2020 CBO) </t>
  </si>
  <si>
    <t>Gross Domestic Product (GDP)</t>
  </si>
  <si>
    <t>Income, Personal</t>
  </si>
  <si>
    <t>Profits, Corporate, With IVA &amp; CCAdj</t>
  </si>
  <si>
    <t>Personal Consumption Expenditures</t>
  </si>
  <si>
    <t>Profits, corporate, with IVA and CCADj</t>
  </si>
  <si>
    <t/>
  </si>
  <si>
    <t>Pre-COVID</t>
  </si>
  <si>
    <t>March 2020 FIM Projections (before new CBO economic forecast)</t>
  </si>
  <si>
    <t>Refundable Tax Credits are in Benefits to Persons</t>
  </si>
  <si>
    <t>Federal</t>
  </si>
  <si>
    <t>Noncorporate</t>
  </si>
  <si>
    <t>Need to account for them too</t>
  </si>
  <si>
    <t>Corporate</t>
  </si>
  <si>
    <t>ref tax credit about 10%</t>
  </si>
  <si>
    <t>State</t>
  </si>
  <si>
    <t xml:space="preserve">Refundable Tax Credits </t>
  </si>
  <si>
    <t>Where are these in the CBO Forecast</t>
  </si>
  <si>
    <t>Split into pieces using share from 2020Q1</t>
  </si>
  <si>
    <t>Personal Income</t>
  </si>
  <si>
    <t>Wages</t>
  </si>
  <si>
    <t>Production and Imports</t>
  </si>
  <si>
    <t>Total ex refund</t>
  </si>
  <si>
    <t xml:space="preserve">State </t>
  </si>
  <si>
    <t>Total</t>
  </si>
  <si>
    <t>Post-Covid</t>
  </si>
  <si>
    <t>seca and wage change together</t>
  </si>
  <si>
    <t>elasiticty</t>
  </si>
  <si>
    <t>bump up ref tax credit</t>
  </si>
  <si>
    <t>Total EX</t>
  </si>
  <si>
    <t>wages</t>
  </si>
  <si>
    <t>CHANGES</t>
  </si>
  <si>
    <t>FY2020</t>
  </si>
  <si>
    <t>FY2021</t>
  </si>
  <si>
    <t>pers</t>
  </si>
  <si>
    <t xml:space="preserve">corp </t>
  </si>
  <si>
    <t>pay</t>
  </si>
  <si>
    <t>othe</t>
  </si>
  <si>
    <t>Percent CHANGES</t>
  </si>
  <si>
    <t xml:space="preserve">USING GDP GAP </t>
  </si>
  <si>
    <t>Get Bigger #s</t>
  </si>
  <si>
    <t>2019Q$4</t>
  </si>
  <si>
    <t>Unemployment Rate, Civilian, 16 Years or Older</t>
  </si>
  <si>
    <t>NAIRU</t>
  </si>
  <si>
    <t>UGAP</t>
  </si>
  <si>
    <t>4-q avg UGAP</t>
  </si>
  <si>
    <t>UI</t>
  </si>
  <si>
    <t>About $25 billion per week at peak in May</t>
  </si>
  <si>
    <t xml:space="preserve">Additional $600 per week is all federal--about 60% </t>
  </si>
  <si>
    <t>OF remaining $10 billion per week, some normal (not additional), some gig workers (federal)</t>
  </si>
  <si>
    <t>Costs of Gig worker legislation that lasts until end of december:  30 fy2020 and 5 fy2021</t>
  </si>
  <si>
    <t>Per week at peak</t>
  </si>
  <si>
    <t>billion per week</t>
  </si>
  <si>
    <t>q2</t>
  </si>
  <si>
    <t>q3</t>
  </si>
  <si>
    <t>q4</t>
  </si>
  <si>
    <t>Gig Workers</t>
  </si>
  <si>
    <t>(7 weeks because was delayed)</t>
  </si>
  <si>
    <t>nonGIG</t>
  </si>
  <si>
    <t>Extra $600</t>
  </si>
  <si>
    <t>Regular</t>
  </si>
  <si>
    <t>Regular UI in normal times</t>
  </si>
  <si>
    <t>Automatic Stabil</t>
  </si>
  <si>
    <t>extended cost</t>
  </si>
  <si>
    <t>weeks regular</t>
  </si>
  <si>
    <t>weeks extended at 50%</t>
  </si>
  <si>
    <t xml:space="preserve"> </t>
  </si>
  <si>
    <t>** some people unemployed later</t>
  </si>
  <si>
    <t>regular $</t>
  </si>
  <si>
    <t>extended</t>
  </si>
  <si>
    <t>check extended close enough</t>
  </si>
  <si>
    <t xml:space="preserve">UI Automatic </t>
  </si>
  <si>
    <t>Medicaid - Very Rough</t>
  </si>
  <si>
    <t>About 5% increase in enrollment in May</t>
  </si>
  <si>
    <t>Assume another 5% increase in costs, so 10% total</t>
  </si>
  <si>
    <t xml:space="preserve">Most in expansion states, so federal share high </t>
  </si>
  <si>
    <t>Assume share is 80% for increase</t>
  </si>
  <si>
    <t>Q1</t>
  </si>
  <si>
    <t xml:space="preserve">SNAP  </t>
  </si>
  <si>
    <t>From MTS</t>
  </si>
  <si>
    <t>May</t>
  </si>
  <si>
    <t>8.551 billion</t>
  </si>
  <si>
    <t>February</t>
  </si>
  <si>
    <t>4.9 billion</t>
  </si>
  <si>
    <t>Some of it legislation</t>
  </si>
  <si>
    <t>Call it 1.6</t>
  </si>
  <si>
    <t>Refundable Tax Credit Federal</t>
  </si>
  <si>
    <t>Total Automatic Stabilizers</t>
  </si>
  <si>
    <t>annualized</t>
  </si>
  <si>
    <t>FEDERAL</t>
  </si>
  <si>
    <t>STATE AND LOCAL</t>
  </si>
  <si>
    <t>Revenue</t>
  </si>
  <si>
    <t>Spending</t>
  </si>
  <si>
    <t>FY 2020</t>
  </si>
  <si>
    <t>FY 2021</t>
  </si>
  <si>
    <t>CBO's post covid deficit</t>
  </si>
  <si>
    <t>CBO pre-covid Deficit</t>
  </si>
  <si>
    <t>change</t>
  </si>
  <si>
    <t>Legislation</t>
  </si>
  <si>
    <t>CBO AS</t>
  </si>
  <si>
    <t xml:space="preserve">Coronavirus Preparedness </t>
  </si>
  <si>
    <t xml:space="preserve">Families First </t>
  </si>
  <si>
    <t>CARES</t>
  </si>
  <si>
    <t>PPP Extensions</t>
  </si>
  <si>
    <t>Other</t>
  </si>
  <si>
    <t>Automatic Stabilizers</t>
  </si>
  <si>
    <t>Adjust GDP for Q2 release</t>
  </si>
  <si>
    <t xml:space="preserve">profits held down in q2? Why? </t>
  </si>
  <si>
    <t>Only sales taxes and other move with PCE. Not excise or property. These are 40% of category</t>
  </si>
  <si>
    <t xml:space="preserve">Adjusted # down to hit BEA #s. </t>
  </si>
  <si>
    <t>Figuring out Q3 personal income to figure out taxes</t>
  </si>
  <si>
    <t>Wage were close to keep growth rates</t>
  </si>
  <si>
    <t xml:space="preserve">Down </t>
  </si>
  <si>
    <t>*** calculated 2020 directly using Q2 release and guesstimating (very rough)</t>
  </si>
  <si>
    <t>** if UI is bigger, legislation might cost more (is it bigger?)</t>
  </si>
  <si>
    <t>Release Date: July 30, 2020</t>
  </si>
  <si>
    <t>Effects of Selected Federal Pandemic Response Programs on Federal Government Receipts, Expenditures, and Saving, 2020Q2 Advance</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</si>
  <si>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</si>
  <si>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</si>
  <si>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Change from preceding quarter</t>
  </si>
  <si>
    <t>Line</t>
  </si>
  <si>
    <t>Q2</t>
  </si>
  <si>
    <t>Q3</t>
  </si>
  <si>
    <t>Q4</t>
  </si>
  <si>
    <t>Q2 *</t>
  </si>
  <si>
    <t>Current receipts</t>
  </si>
  <si>
    <t>...........</t>
  </si>
  <si>
    <t>2</t>
  </si>
  <si>
    <t xml:space="preserve">     Current tax receipts</t>
  </si>
  <si>
    <t>3</t>
  </si>
  <si>
    <t xml:space="preserve">          Personal current taxes</t>
  </si>
  <si>
    <t>4</t>
  </si>
  <si>
    <t xml:space="preserve">          Taxes on production and imports</t>
  </si>
  <si>
    <t xml:space="preserve">              Of which:</t>
  </si>
  <si>
    <r>
      <t xml:space="preserve">                  Aviation tax holiday </t>
    </r>
    <r>
      <rPr>
        <vertAlign val="superscript"/>
        <sz val="11"/>
        <color theme="1"/>
        <rFont val="Calibri"/>
        <family val="2"/>
        <scheme val="minor"/>
      </rPr>
      <t>1</t>
    </r>
  </si>
  <si>
    <t>...</t>
  </si>
  <si>
    <t xml:space="preserve">          Taxes on corporate income</t>
  </si>
  <si>
    <t xml:space="preserve">          Taxes from the rest of the world</t>
  </si>
  <si>
    <t xml:space="preserve">      Contributions for government social insurance</t>
  </si>
  <si>
    <t xml:space="preserve">      Income receipts on assets</t>
  </si>
  <si>
    <t xml:space="preserve">           Interest receipts</t>
  </si>
  <si>
    <r>
      <t xml:space="preserve">                 Student loan forbearance </t>
    </r>
    <r>
      <rPr>
        <vertAlign val="superscript"/>
        <sz val="11"/>
        <color theme="1"/>
        <rFont val="Calibri"/>
        <family val="2"/>
        <scheme val="minor"/>
      </rPr>
      <t>2</t>
    </r>
  </si>
  <si>
    <t xml:space="preserve">          Dividends</t>
  </si>
  <si>
    <t xml:space="preserve">          Rents and royalties</t>
  </si>
  <si>
    <t xml:space="preserve">      Current transfer receipts</t>
  </si>
  <si>
    <t xml:space="preserve">          From business</t>
  </si>
  <si>
    <t xml:space="preserve">          From persons</t>
  </si>
  <si>
    <t xml:space="preserve">          From the rest of the world</t>
  </si>
  <si>
    <t xml:space="preserve">      Current surplus of government enterprises</t>
  </si>
  <si>
    <t>Current expenditures</t>
  </si>
  <si>
    <t xml:space="preserve">     Consumption expenditures</t>
  </si>
  <si>
    <t xml:space="preserve">           Of which:</t>
  </si>
  <si>
    <r>
      <t xml:space="preserve">               Paycheck Protection Program lender processing fees </t>
    </r>
    <r>
      <rPr>
        <vertAlign val="superscript"/>
        <sz val="11"/>
        <color theme="1"/>
        <rFont val="Calibri"/>
        <family val="2"/>
        <scheme val="minor"/>
      </rPr>
      <t>3</t>
    </r>
  </si>
  <si>
    <t xml:space="preserve">     Current transfer payments</t>
  </si>
  <si>
    <t xml:space="preserve">          Government social benefits</t>
  </si>
  <si>
    <t xml:space="preserve">               To persons</t>
  </si>
  <si>
    <t xml:space="preserve">                  Of which:</t>
  </si>
  <si>
    <r>
      <t xml:space="preserve">                      Economic impact payments </t>
    </r>
    <r>
      <rPr>
        <vertAlign val="superscript"/>
        <sz val="11"/>
        <color theme="1"/>
        <rFont val="Calibri"/>
        <family val="2"/>
        <scheme val="minor"/>
      </rPr>
      <t>4</t>
    </r>
  </si>
  <si>
    <r>
      <t xml:space="preserve">                      Expansion of unemployment programs </t>
    </r>
    <r>
      <rPr>
        <vertAlign val="superscript"/>
        <sz val="11"/>
        <color theme="1"/>
        <rFont val="Calibri"/>
        <family val="2"/>
        <scheme val="minor"/>
      </rPr>
      <t>5</t>
    </r>
  </si>
  <si>
    <r>
      <t xml:space="preserve">                      Increase in Medicare reimbursement rates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</si>
  <si>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3</t>
    </r>
  </si>
  <si>
    <t xml:space="preserve">               To the rest of the world</t>
  </si>
  <si>
    <t xml:space="preserve">                   Of which:</t>
  </si>
  <si>
    <r>
      <t xml:space="preserve">                       Economic impact payments </t>
    </r>
    <r>
      <rPr>
        <vertAlign val="superscript"/>
        <sz val="11"/>
        <color theme="1"/>
        <rFont val="Calibri"/>
        <family val="2"/>
        <scheme val="minor"/>
      </rPr>
      <t>4</t>
    </r>
  </si>
  <si>
    <t xml:space="preserve">          Other current transfer payments</t>
  </si>
  <si>
    <t xml:space="preserve">               Grants-in-aid to state and local governments</t>
  </si>
  <si>
    <t xml:space="preserve">     Interest payments</t>
  </si>
  <si>
    <t xml:space="preserve">     Subsidies</t>
  </si>
  <si>
    <t xml:space="preserve">         Of which:</t>
  </si>
  <si>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</si>
  <si>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</si>
  <si>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</si>
  <si>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</si>
  <si>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</si>
  <si>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</si>
  <si>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</si>
  <si>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Support for public transit agencies</t>
    </r>
    <r>
      <rPr>
        <vertAlign val="superscript"/>
        <sz val="11"/>
        <color theme="1"/>
        <rFont val="Calibri"/>
        <family val="2"/>
        <scheme val="minor"/>
      </rPr>
      <t xml:space="preserve"> 7</t>
    </r>
  </si>
  <si>
    <t xml:space="preserve">           Tax credits to fund paid sick leave</t>
  </si>
  <si>
    <t>Net federal government saving</t>
  </si>
  <si>
    <t>NPISH</t>
  </si>
  <si>
    <t>-Nonprofit institutions serving households</t>
  </si>
  <si>
    <t>* In advance estimates, taxes on corporate income are not published.</t>
  </si>
  <si>
    <t>1. The Coronavirus Aid, Relief and Economic Security Act (CARES) provides an excise tax holiday that suspends certain aviation excise taxes. The excise tax holiday began on March 28, 2020 and will end</t>
  </si>
  <si>
    <t xml:space="preserve">     on December 31, 2020.</t>
  </si>
  <si>
    <t>2. The Coronavirus Aid, Relief and Economic Security Act (CARES) provides for the temporary suspension of interest payments due on certain categories of federally held student loans. For more</t>
  </si>
  <si>
    <r>
      <rPr>
        <sz val="11"/>
        <rFont val="Calibri"/>
        <family val="2"/>
        <scheme val="minor"/>
      </rPr>
      <t xml:space="preserve">     information, see</t>
    </r>
    <r>
      <rPr>
        <u/>
        <sz val="11"/>
        <color theme="10"/>
        <rFont val="Calibri"/>
        <family val="2"/>
        <scheme val="minor"/>
      </rPr>
      <t xml:space="preserve"> "How does the 2020 CARES Act affect BEA's estimate of personal interest payments?".</t>
    </r>
  </si>
  <si>
    <t xml:space="preserve">3. The Coronavirus Aid, Relief and Economic Security Act (CARES) provides forgivable loans to help small businesses and nonprofit institutions make payroll and cover other expenses. For more </t>
  </si>
  <si>
    <r>
      <rPr>
        <sz val="11"/>
        <rFont val="Calibri"/>
        <family val="2"/>
        <scheme val="minor"/>
      </rPr>
      <t xml:space="preserve">     information, see </t>
    </r>
    <r>
      <rPr>
        <u/>
        <sz val="11"/>
        <color theme="10"/>
        <rFont val="Calibri"/>
        <family val="2"/>
        <scheme val="minor"/>
      </rPr>
      <t>"How does the Paycheck Protection Program of 2020 impact the national income and product accounts (NIPAs)?".</t>
    </r>
  </si>
  <si>
    <t>4. The Coronavirus Aid, Relief and Economic Security Act (CARES) provides $300 billion in direct support economic impact payments to individuals. For more information, see</t>
  </si>
  <si>
    <t>"How are the economic impact payments for individuals authorized by the CARES Act of 2020 recorded in the NIPAs?".</t>
  </si>
  <si>
    <t>5. The Coronavirus Aid, Relief and Economic Security Act (CARES) expanded unemployment insurance benefits provided through three programs. The Federal Pandemic Unemployment Compensation</t>
  </si>
  <si>
    <t>(PUC) program provides a temporary weekly supplemental payment of $600 for people receiving unemployment benefits. The Pandemic Unemployment Assistance (PUA) program provides</t>
  </si>
  <si>
    <t>temporary unemployment benefits to people who are not usually eligible for unemployment insurance benefits. The Pandemic Emergency Unemployment Compensation (PEUC) program provides</t>
  </si>
  <si>
    <r>
      <t xml:space="preserve">a temporary extension of unemployment benefits for 13 weeks to people who exhaused all available regular and extended unemployment benefits. For more information, see </t>
    </r>
    <r>
      <rPr>
        <u/>
        <sz val="11"/>
        <color rgb="FF0000FF"/>
        <rFont val="Calibri"/>
        <family val="2"/>
        <scheme val="minor"/>
      </rPr>
      <t>"How will the</t>
    </r>
  </si>
  <si>
    <t>expansion of unemployment benefits in response to the COVID-19 pandemic be recorded in the NIPAs?".</t>
  </si>
  <si>
    <t>6. The Coronavirus Aid, Relief, and Economic Security (CARES) Act temporarily suspends a two percent reduction in reimbursements paid to Medicare service providers that went into effect in 2013.</t>
  </si>
  <si>
    <t xml:space="preserve">     Increased reimbursement rates will be in effect from May 1, 2020 through December 31, 2020.</t>
  </si>
  <si>
    <t>7. The Coronavirus Aid, Relief and Economic Security (CARES) Act provides $25 billion to transit agencies to help to prevent, prepare for and respond to the COVID-19 pandemic. In the NIPAs, public transit</t>
  </si>
  <si>
    <t xml:space="preserve">     agencies are classified as state and local government enterprises.</t>
  </si>
  <si>
    <t>NOTE: For national statistics detailing the amount of federal government receipts and expenditures, BEA publishes the total level at an annualized rate. BEA does this so that monthly estimates</t>
  </si>
  <si>
    <t>can be easily compared to quarterly estimates included in BEA's quarterly gross domestic product report, for example. To be consistent, the figures in this table also are annualized. For more</t>
  </si>
  <si>
    <r>
      <rPr>
        <sz val="11"/>
        <rFont val="Calibri"/>
        <family val="2"/>
        <scheme val="minor"/>
      </rPr>
      <t>information, see the FAQ</t>
    </r>
    <r>
      <rPr>
        <u/>
        <sz val="11"/>
        <color theme="10"/>
        <rFont val="Calibri"/>
        <family val="2"/>
        <scheme val="minor"/>
      </rPr>
      <t xml:space="preserve"> "Why does BEA publish estimates at annual rates?" </t>
    </r>
    <r>
      <rPr>
        <sz val="11"/>
        <rFont val="Calibri"/>
        <family val="2"/>
        <scheme val="minor"/>
      </rPr>
      <t>on BEA's website.</t>
    </r>
  </si>
  <si>
    <t>Data on this table will be superseded by updated estimates.</t>
  </si>
  <si>
    <t>Source: U.S. Bureau of Economic Analysis</t>
  </si>
  <si>
    <t>Cumulative COVID</t>
  </si>
  <si>
    <t xml:space="preserve">UI </t>
  </si>
  <si>
    <t xml:space="preserve">                        Unemployment insurance</t>
  </si>
  <si>
    <r>
      <t xml:space="preserve">Of which: </t>
    </r>
    <r>
      <rPr>
        <i/>
        <vertAlign val="superscript"/>
        <sz val="11"/>
        <color theme="1"/>
        <rFont val="Calibri"/>
        <family val="2"/>
        <scheme val="minor"/>
      </rPr>
      <t>3</t>
    </r>
  </si>
  <si>
    <t>Pandemic Emergency Unemployment Compensation</t>
  </si>
  <si>
    <t>Pandemic Unemployment Assistance</t>
  </si>
  <si>
    <t>Pandemic Unemployment Compensation Payments</t>
  </si>
  <si>
    <t>UI withheld at 10%</t>
  </si>
  <si>
    <t>PUC payments only 1 month out of 3</t>
  </si>
  <si>
    <t>in q3</t>
  </si>
  <si>
    <t>** increased it late</t>
  </si>
  <si>
    <t>maybe some withholdings dlayed?</t>
  </si>
  <si>
    <t>UI Federal</t>
  </si>
  <si>
    <t>UI State</t>
  </si>
  <si>
    <t>Medicaid Federal</t>
  </si>
  <si>
    <t>Medicaid State</t>
  </si>
  <si>
    <t>SNAP Federal</t>
  </si>
  <si>
    <t>EITC Federal</t>
  </si>
  <si>
    <t>Total Fed + State UI</t>
  </si>
  <si>
    <t>Total State (fed medicad)</t>
  </si>
  <si>
    <t xml:space="preserve">Q! </t>
  </si>
  <si>
    <t>Total LEG</t>
  </si>
  <si>
    <t>Total AS</t>
  </si>
  <si>
    <t>Effects of Selected Federal Pandemic Response Programs on Personal Income, 2020Q2 Advance</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</si>
  <si>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</si>
  <si>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</si>
  <si>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</si>
  <si>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</si>
  <si>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</si>
  <si>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</si>
  <si>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</si>
  <si>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</si>
  <si>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</si>
  <si>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r>
      <t xml:space="preserve">                        Paycheck Protection Program loans to businesses </t>
    </r>
    <r>
      <rPr>
        <vertAlign val="superscript"/>
        <sz val="11"/>
        <color theme="1"/>
        <rFont val="Calibri"/>
        <family val="2"/>
        <scheme val="minor"/>
      </rPr>
      <t>1</t>
    </r>
  </si>
  <si>
    <t xml:space="preserve">                Nonfarm</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</si>
  <si>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</si>
  <si>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</si>
  <si>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</si>
  <si>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</si>
  <si>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</si>
  <si>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</si>
  <si>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</si>
  <si>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</si>
  <si>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</si>
  <si>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2</t>
    </r>
  </si>
  <si>
    <t xml:space="preserve">                        Medicaid</t>
  </si>
  <si>
    <t xml:space="preserve">                        Veterans' benefits</t>
  </si>
  <si>
    <t xml:space="preserve">                        Other</t>
  </si>
  <si>
    <t>Of which:</t>
  </si>
  <si>
    <r>
      <t xml:space="preserve">                                    Economic impact payments</t>
    </r>
    <r>
      <rPr>
        <vertAlign val="superscript"/>
        <sz val="11"/>
        <color theme="1"/>
        <rFont val="Calibri"/>
        <family val="2"/>
        <scheme val="minor"/>
      </rPr>
      <t xml:space="preserve"> 4</t>
    </r>
  </si>
  <si>
    <r>
      <t xml:space="preserve">                                    Paycheck Protection Program loans to NPISH </t>
    </r>
    <r>
      <rPr>
        <vertAlign val="superscript"/>
        <sz val="11"/>
        <color theme="1"/>
        <rFont val="Calibri"/>
        <family val="2"/>
        <scheme val="minor"/>
      </rPr>
      <t>1</t>
    </r>
  </si>
  <si>
    <t xml:space="preserve">                Other current transfer receipts, from business (net)</t>
  </si>
  <si>
    <t xml:space="preserve">        Less: Contributions for government social insurance</t>
  </si>
  <si>
    <t>Less: Personal current taxes</t>
  </si>
  <si>
    <t>Equals: Disposable personal income (DPI)</t>
  </si>
  <si>
    <t>prod taxes over pce</t>
  </si>
  <si>
    <t>Less: Personal outlays</t>
  </si>
  <si>
    <t xml:space="preserve">        Personal consumption expenditures</t>
  </si>
  <si>
    <t xml:space="preserve">        Personal interest payments </t>
  </si>
  <si>
    <r>
      <t>Student loan forbearance</t>
    </r>
    <r>
      <rPr>
        <vertAlign val="superscript"/>
        <sz val="11"/>
        <rFont val="Calibri"/>
        <family val="2"/>
      </rPr>
      <t xml:space="preserve"> 5</t>
    </r>
  </si>
  <si>
    <t xml:space="preserve">        Personal current transfer payments</t>
  </si>
  <si>
    <t xml:space="preserve">                To government</t>
  </si>
  <si>
    <t xml:space="preserve">                To the rest of the world (net)</t>
  </si>
  <si>
    <t>Equals: Personal saving</t>
  </si>
  <si>
    <t>CCAdj</t>
  </si>
  <si>
    <t>-Capital consumption adjustment</t>
  </si>
  <si>
    <t>IVA</t>
  </si>
  <si>
    <t>-Inventory valuation adjustment</t>
  </si>
  <si>
    <t xml:space="preserve">1. The Coronavirus Aid, Relief and Economic Security Act (CARES) provides forgivable loans to help small businesses and nonprofit institutions make payroll and cover other expenses. For more </t>
  </si>
  <si>
    <r>
      <t xml:space="preserve">     information, see </t>
    </r>
    <r>
      <rPr>
        <u/>
        <sz val="11"/>
        <color theme="4"/>
        <rFont val="Calibri"/>
        <family val="2"/>
        <scheme val="minor"/>
      </rPr>
      <t>"How does the Paycheck Protection Program of 2020 impact the national income and product accounts (NIPAs)?"</t>
    </r>
    <r>
      <rPr>
        <sz val="11"/>
        <rFont val="Calibri"/>
        <family val="2"/>
        <scheme val="minor"/>
      </rPr>
      <t>.</t>
    </r>
  </si>
  <si>
    <t xml:space="preserve">2. The Coronavirus Aid, Relief, and Economic Security (CARES) Act temporarily suspends a two percent reduction in reimbursements paid to Medicare service providers that went into effect in </t>
  </si>
  <si>
    <t xml:space="preserve">     2013. Increased reimbursement rates will be in effect from May 1, 2020 through December 31, 2020.</t>
  </si>
  <si>
    <t>3. The Coronavirus Aid, Relief and Economic Security Act (CARES) expanded unemployment insurance benefits provided through three programs. The Federal Pandemic Unemployment</t>
  </si>
  <si>
    <t>Compensation (PUC) program provides a temporary weekly supplemental payment of $600 for people receiving unemployment benefits. The Pandemic Unemployment Assistance (PUA)</t>
  </si>
  <si>
    <t>program provides temporary unemployment benefits to people who are not usually eligible for unemployment insurance benefits. The Pandemic Emergency Unemployment Compensation</t>
  </si>
  <si>
    <t>(PEUC) program provides a temporary extension of unemployment benefits for 13 weeks to people who exhausted all available regular and extended unemployment benefits. For more</t>
  </si>
  <si>
    <t>information, see "How will the expansion of unemployment benefits in response to the COVID-19 pandemic be recorded in the NIPAs?"</t>
  </si>
  <si>
    <t>4. The Coronavirus Aid, Relief and Economic Security Act (CARES) provides $300 billion in direct support economic impact payments to individuals. For more information, see "How are the economic</t>
  </si>
  <si>
    <t>impact payments for individuals authorized by the CARES Act of 2020 recorded in the NIPAs?".</t>
  </si>
  <si>
    <t>5. The Coronavirus Aid, Relief and Economic Security Act (CARES) provides for the temporary suspension of interest payments due on certain categories of federally held student loans. For more</t>
  </si>
  <si>
    <r>
      <rPr>
        <sz val="11"/>
        <rFont val="Calibri"/>
        <family val="2"/>
        <scheme val="minor"/>
      </rPr>
      <t>information, see</t>
    </r>
    <r>
      <rPr>
        <u/>
        <sz val="11"/>
        <color theme="10"/>
        <rFont val="Calibri"/>
        <family val="2"/>
        <scheme val="minor"/>
      </rPr>
      <t xml:space="preserve"> "How does the 2020 CARES Act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</si>
  <si>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</si>
  <si>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 consistent,</t>
  </si>
  <si>
    <r>
      <rPr>
        <sz val="11"/>
        <rFont val="Calibri"/>
        <family val="2"/>
        <scheme val="minor"/>
      </rPr>
      <t>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</si>
  <si>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STATE</t>
  </si>
  <si>
    <t>TOTAL</t>
  </si>
  <si>
    <t>AS</t>
  </si>
  <si>
    <t>LEG</t>
  </si>
  <si>
    <t>BEA TOTAL SOCIAL</t>
  </si>
  <si>
    <t>Table 3.12U. Government Social Benefits</t>
  </si>
  <si>
    <t>[Millions of dollars; quarters seasonally adjusted at annual rates]</t>
  </si>
  <si>
    <t>Bureau of Economic Analysis</t>
  </si>
  <si>
    <t>Last Revised on: July 30, 2020 - Next Release Date August 27, 2020</t>
  </si>
  <si>
    <t>2019</t>
  </si>
  <si>
    <t>2020</t>
  </si>
  <si>
    <t>cum</t>
  </si>
  <si>
    <t>1</t>
  </si>
  <si>
    <t xml:space="preserve">            Government social benefits</t>
  </si>
  <si>
    <t>To persons</t>
  </si>
  <si>
    <t xml:space="preserve">    Federal</t>
  </si>
  <si>
    <t xml:space="preserve">        Benefits from social insurance funds</t>
  </si>
  <si>
    <t>5</t>
  </si>
  <si>
    <t xml:space="preserve">            Social security1</t>
  </si>
  <si>
    <t>6</t>
  </si>
  <si>
    <t xml:space="preserve">            Medicare2</t>
  </si>
  <si>
    <t>7</t>
  </si>
  <si>
    <t xml:space="preserve">            Unemployment insurance</t>
  </si>
  <si>
    <t>8</t>
  </si>
  <si>
    <t xml:space="preserve">                State</t>
  </si>
  <si>
    <t>9</t>
  </si>
  <si>
    <t xml:space="preserve">                Railroad employees</t>
  </si>
  <si>
    <t>10</t>
  </si>
  <si>
    <t xml:space="preserve">                Federal employees</t>
  </si>
  <si>
    <t>11</t>
  </si>
  <si>
    <t xml:space="preserve">                Emergency unemployment compensation</t>
  </si>
  <si>
    <t>12</t>
  </si>
  <si>
    <t xml:space="preserve">            Railroad retirement</t>
  </si>
  <si>
    <t>13</t>
  </si>
  <si>
    <t xml:space="preserve">            Pension benefit guaranty</t>
  </si>
  <si>
    <t>14</t>
  </si>
  <si>
    <t xml:space="preserve">            Veterans' life insurance</t>
  </si>
  <si>
    <t>15</t>
  </si>
  <si>
    <t xml:space="preserve">            Workers' compensation</t>
  </si>
  <si>
    <t>16</t>
  </si>
  <si>
    <t xml:space="preserve">            Military medical insurance3</t>
  </si>
  <si>
    <t>17</t>
  </si>
  <si>
    <t xml:space="preserve">        Veterans' benefits</t>
  </si>
  <si>
    <t>18</t>
  </si>
  <si>
    <t xml:space="preserve">            Pension and disability</t>
  </si>
  <si>
    <t>19</t>
  </si>
  <si>
    <t xml:space="preserve">            Readjustment</t>
  </si>
  <si>
    <t>20</t>
  </si>
  <si>
    <t xml:space="preserve">            Other4</t>
  </si>
  <si>
    <t>21</t>
  </si>
  <si>
    <t xml:space="preserve">        Supplemental Nutrition Assistance Program (SNAP)5</t>
  </si>
  <si>
    <t>22</t>
  </si>
  <si>
    <t xml:space="preserve">        Black lung benefits</t>
  </si>
  <si>
    <t>23</t>
  </si>
  <si>
    <t xml:space="preserve">        Supplemental security income</t>
  </si>
  <si>
    <t>24</t>
  </si>
  <si>
    <t xml:space="preserve">        Direct relief</t>
  </si>
  <si>
    <t>---</t>
  </si>
  <si>
    <t>25</t>
  </si>
  <si>
    <t xml:space="preserve">        Refundable tax credits6</t>
  </si>
  <si>
    <t>26</t>
  </si>
  <si>
    <t xml:space="preserve">        Other7</t>
  </si>
  <si>
    <t>27</t>
  </si>
  <si>
    <t xml:space="preserve">    State and local</t>
  </si>
  <si>
    <t>28</t>
  </si>
  <si>
    <t>29</t>
  </si>
  <si>
    <t xml:space="preserve">            Temporary disability insurance</t>
  </si>
  <si>
    <t>30</t>
  </si>
  <si>
    <t>31</t>
  </si>
  <si>
    <t xml:space="preserve">        Public assistance</t>
  </si>
  <si>
    <t>32</t>
  </si>
  <si>
    <t xml:space="preserve">            Medical care</t>
  </si>
  <si>
    <t>33</t>
  </si>
  <si>
    <t xml:space="preserve">                Medicaid</t>
  </si>
  <si>
    <t>34</t>
  </si>
  <si>
    <t xml:space="preserve">                Other medical care8</t>
  </si>
  <si>
    <t>35</t>
  </si>
  <si>
    <t xml:space="preserve">            Family assistance9</t>
  </si>
  <si>
    <t>36</t>
  </si>
  <si>
    <t xml:space="preserve">            Supplemental security income10</t>
  </si>
  <si>
    <t>37</t>
  </si>
  <si>
    <t xml:space="preserve">            General assistance</t>
  </si>
  <si>
    <t>38</t>
  </si>
  <si>
    <t xml:space="preserve">            Energy assistance</t>
  </si>
  <si>
    <t>39</t>
  </si>
  <si>
    <t xml:space="preserve">            Other11</t>
  </si>
  <si>
    <t>40</t>
  </si>
  <si>
    <t xml:space="preserve">        Education</t>
  </si>
  <si>
    <t>41</t>
  </si>
  <si>
    <t xml:space="preserve">        Employment and training</t>
  </si>
  <si>
    <t>42</t>
  </si>
  <si>
    <t xml:space="preserve">        Other12</t>
  </si>
  <si>
    <t>43</t>
  </si>
  <si>
    <t>To the rest of the world13</t>
  </si>
  <si>
    <t>Legend / Footnotes:</t>
  </si>
  <si>
    <t>1. Social security benefits include old-age, survivors, and disability insurance benefits that are distributed from the federal old-age and survivors insurance trust fund and the disability insurance trust fund.</t>
  </si>
  <si>
    <t>2. Medicare benefits include hospital and supplementary medical insurance benefits that are distributed from the federal hospital insurance trust fund and the supplementary medical insurance trust fund.</t>
  </si>
  <si>
    <t>3. Consists of payments for medical services for dependents of active duty military personnel at nonmilitary facilities.</t>
  </si>
  <si>
    <t>4. Prior to 1965, consists of mustering out pay, terminal leave pay, and adjusted compensation benefits. For 2015 forward, includes reimbursements for health care services received at private facilities.</t>
  </si>
  <si>
    <t>5. Prior to October 2008, benefits for the Supplemental Nutrition Assistance Program were called Food Stamp benefits.</t>
  </si>
  <si>
    <t>6. Includes the amounts by which federal refundable tax credits reduce personal current tax liabilities and liabilities to pay contributions for government social insurance as well as the outlays that are distributed when the amount of federal refundable tax credits exceeds an individual's federal tax liabilities.</t>
  </si>
  <si>
    <t>7. Consists largely of payments to nonprofit institutions; aid to students; payments for medical services for retired military personnel and their dependents at nonmilitary facilities; disaster relief; workers' compensation benefits for federal employees (FECA); Payments from the September 11 Victims' Compensation Fund; additional unemployment benefits, COBRA premium subsidies, and one-time payments to recipients of Social Security, SSI, Veterans Pensions, and Railroad Retirement benefits established by the American Recovery and Reinvestment Act of 2009; and health insurance co-payment and cost-sharing benefits established by the Patient Protection and Affordable Care Act.</t>
  </si>
  <si>
    <t>8. Consists of general medical assistance and state child health care programs.</t>
  </si>
  <si>
    <t>9. Consists of aid to families with dependent children and, beginning with 1996, assistance programs operating under the Personal Responsibility and Work Opportunity Reconciliation Act of 1996.</t>
  </si>
  <si>
    <t>10. Prior to 1974, consists of old-age assistance, aid to the blind, and aid to the permanently and totally disabled, when the programs were partly federally funded.</t>
  </si>
  <si>
    <t>11. Consists of expenditures for food under the supplemental program for women, infants, and children; foster care; adoption assistance; and payments to nonprofit welfare institutions.</t>
  </si>
  <si>
    <t>12. Consists largely of veterans' benefits, Alaska dividends, and crime-victim payments.</t>
  </si>
  <si>
    <t>13. Consists of federal government social benefits to the rest of the world and includes benefits paid to individuals in the U.S. territories and the Commonwealths of Puerto Rico and Northern Mariana Islands.</t>
  </si>
  <si>
    <t>SNAP</t>
  </si>
  <si>
    <t>UI Regular</t>
  </si>
  <si>
    <t>Medicare</t>
  </si>
  <si>
    <t>TOTALS</t>
  </si>
  <si>
    <t>UI Legislation</t>
  </si>
  <si>
    <t>UI AS State</t>
  </si>
  <si>
    <t>UI AS Federal</t>
  </si>
  <si>
    <t xml:space="preserve">Put in actual Q2 </t>
  </si>
  <si>
    <t>Medicaidd</t>
  </si>
  <si>
    <t>** just matched</t>
  </si>
  <si>
    <t xml:space="preserve"> non leg but covid related</t>
  </si>
  <si>
    <t>Federal Other</t>
  </si>
  <si>
    <t>PPP</t>
  </si>
  <si>
    <t>BEA Assumes not all forgivabe</t>
  </si>
  <si>
    <t>Assumes loans over 6 months</t>
  </si>
  <si>
    <t>Call it April 15</t>
  </si>
  <si>
    <t>$188 disbursed more slowly starting April 26</t>
  </si>
  <si>
    <t>Assume Mid May</t>
  </si>
  <si>
    <t>April</t>
  </si>
  <si>
    <t>June</t>
  </si>
  <si>
    <t>July</t>
  </si>
  <si>
    <t>August</t>
  </si>
  <si>
    <t>September</t>
  </si>
  <si>
    <t>October</t>
  </si>
  <si>
    <t>November</t>
  </si>
  <si>
    <t>BEA Wrote Down</t>
  </si>
  <si>
    <t>subsidies</t>
  </si>
  <si>
    <t>%forgivable</t>
  </si>
  <si>
    <t>$ per month</t>
  </si>
  <si>
    <t>$330 disbursed between April 10 and 16</t>
  </si>
  <si>
    <t xml:space="preserve">Assume rest goes out in Q3 </t>
  </si>
  <si>
    <t>Total enacted</t>
  </si>
  <si>
    <t>first</t>
  </si>
  <si>
    <t>second</t>
  </si>
  <si>
    <t>left</t>
  </si>
  <si>
    <t>Subsidies</t>
  </si>
  <si>
    <t>q1</t>
  </si>
  <si>
    <t>Total of 3rd Tranche per month</t>
  </si>
  <si>
    <t>TOTAL PER MONTH</t>
  </si>
  <si>
    <t>NonProf</t>
  </si>
  <si>
    <t>FOR ADFACTORS</t>
  </si>
  <si>
    <t>Fed inc Tax</t>
  </si>
  <si>
    <t>State inc Tax</t>
  </si>
  <si>
    <t>Miss</t>
  </si>
  <si>
    <t>COVID</t>
  </si>
  <si>
    <t>-19 aviation tax holiday don't count</t>
  </si>
  <si>
    <t xml:space="preserve">Total Fed </t>
  </si>
  <si>
    <t>** made it match Q2</t>
  </si>
  <si>
    <t>in transfers</t>
  </si>
  <si>
    <t>IN NIPAS</t>
  </si>
  <si>
    <t>Profits, corporate,</t>
  </si>
  <si>
    <t>July economic forecast</t>
  </si>
  <si>
    <t>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</si>
</sst>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6" formatCode="&quot;$&quot;#,##0_);[Red]\(&quot;$&quot;#,##0\)"/>
    <numFmt numFmtId="8" formatCode="&quot;$&quot;#,##0.00_);[Red]\(&quot;$&quot;#,##0.00\)"/>
    <numFmt numFmtId="43" formatCode="_(* #,##0.00_);_(* \(#,##0.00\);_(* &quot;-&quot;??_);_(@_)"/>
    <numFmt numFmtId="164" formatCode="_(* #,##0_);_(* \(#,##0\);_(* &quot;-&quot;??_);_(@_)"/>
    <numFmt numFmtId="165" formatCode="0.0"/>
    <numFmt numFmtId="166" formatCode="0.0%"/>
    <numFmt numFmtId="167" formatCode="#,##0.0"/>
    <numFmt numFmtId="168" formatCode="[$-409]mmmm\ d\,\ yyyy;@"/>
    <numFmt numFmtId="169" formatCode="0.00000000000000%"/>
    <numFmt numFmtId="170" formatCode="_(* #,##0.0000_);_(* \(#,##0.0000\);_(* &quot;-&quot;??_);_(@_)"/>
  </numFmts>
  <fonts count="34">
    <font>
      <sz val="11"/>
      <color theme="1"/>
      <name val="Calibri"/>
      <family val="2"/>
      <scheme val="minor"/>
    </font>
    <font>
      <sz val="11"/>
      <color theme="1"/>
      <name val="Calibri"/>
      <family val="2"/>
      <scheme val="minor"/>
    </font>
    <font>
      <sz val="11"/>
      <name val="Arial"/>
      <family val="2"/>
    </font>
    <font>
      <sz val="10"/>
      <name val="Arial"/>
      <family val="2"/>
    </font>
    <font>
      <sz val="11"/>
      <name val="Calibri "/>
    </font>
    <font>
      <sz val="11"/>
      <color theme="1"/>
      <name val="Calibri "/>
    </font>
    <font>
      <sz val="10"/>
      <name val="Calibri "/>
    </font>
    <font>
      <sz val="10"/>
      <color theme="1"/>
      <name val="Calibri"/>
      <family val="2"/>
      <scheme val="minor"/>
    </font>
    <font>
      <sz val="11"/>
      <name val="Calibri"/>
      <family val="2"/>
      <scheme val="minor"/>
    </font>
    <font>
      <b/>
      <sz val="12"/>
      <color theme="1"/>
      <name val="Calibri"/>
      <family val="2"/>
      <scheme val="minor"/>
    </font>
    <font>
      <u/>
      <sz val="11"/>
      <color theme="10"/>
      <name val="Calibri"/>
      <family val="2"/>
      <scheme val="minor"/>
    </font>
    <font>
      <sz val="8"/>
      <color rgb="FF333333"/>
      <name val="Arial"/>
      <family val="2"/>
    </font>
    <font>
      <b/>
      <sz val="11"/>
      <color theme="1"/>
      <name val="Calibri"/>
      <family val="2"/>
      <scheme val="minor"/>
    </font>
    <font>
      <sz val="12"/>
      <name val="Arial"/>
      <family val="2"/>
    </font>
    <font>
      <sz val="12"/>
      <color theme="1"/>
      <name val="Calibri"/>
      <family val="2"/>
      <scheme val="minor"/>
    </font>
    <font>
      <u/>
      <sz val="10"/>
      <color theme="10"/>
      <name val="Arial"/>
      <family val="2"/>
    </font>
    <font>
      <sz val="11"/>
      <color theme="3"/>
      <name val="Arial"/>
      <family val="2"/>
    </font>
    <font>
      <b/>
      <sz val="11"/>
      <name val="Calibri"/>
      <family val="2"/>
      <scheme val="minor"/>
    </font>
    <font>
      <i/>
      <sz val="11"/>
      <color theme="1"/>
      <name val="Calibri"/>
      <family val="2"/>
      <scheme val="minor"/>
    </font>
    <font>
      <vertAlign val="superscript"/>
      <sz val="11"/>
      <color theme="1"/>
      <name val="Calibri"/>
      <family val="2"/>
      <scheme val="minor"/>
    </font>
    <font>
      <b/>
      <sz val="10"/>
      <name val="Arial"/>
      <family val="2"/>
    </font>
    <font>
      <u/>
      <sz val="11"/>
      <color rgb="FF0000FF"/>
      <name val="Calibri"/>
      <family val="2"/>
      <scheme val="minor"/>
    </font>
    <font>
      <i/>
      <vertAlign val="superscript"/>
      <sz val="11"/>
      <color theme="1"/>
      <name val="Calibri"/>
      <family val="2"/>
      <scheme val="minor"/>
    </font>
    <font>
      <b/>
      <sz val="11"/>
      <name val="Calibri"/>
      <family val="2"/>
    </font>
    <font>
      <i/>
      <sz val="11"/>
      <name val="Calibri"/>
      <family val="2"/>
    </font>
    <font>
      <sz val="11"/>
      <name val="Calibri"/>
      <family val="2"/>
    </font>
    <font>
      <vertAlign val="superscript"/>
      <sz val="11"/>
      <name val="Calibri"/>
      <family val="2"/>
    </font>
    <font>
      <u/>
      <sz val="11"/>
      <color theme="4"/>
      <name val="Calibri"/>
      <family val="2"/>
      <scheme val="minor"/>
    </font>
    <font>
      <b/>
      <sz val="14"/>
      <name val="Arial"/>
      <family val="2"/>
    </font>
    <font>
      <sz val="13"/>
      <name val="Arial"/>
      <family val="2"/>
    </font>
    <font>
      <b/>
      <sz val="10"/>
      <color indexed="9"/>
      <name val="Arial"/>
      <family val="2"/>
    </font>
    <font>
      <b/>
      <i/>
      <sz val="15"/>
      <name val="Arial"/>
      <family val="2"/>
    </font>
    <font>
      <i/>
      <sz val="10"/>
      <name val="Arial"/>
      <family val="2"/>
    </font>
    <font>
      <sz val="10"/>
      <name val="Arial"/>
      <family val="2"/>
    </font>
  </fonts>
  <fills count="10">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
      <patternFill patternType="solid">
        <fgColor indexed="56"/>
        <bgColor indexed="23"/>
      </patternFill>
    </fill>
    <fill>
      <patternFill patternType="solid">
        <fgColor rgb="FFD6E9FA"/>
        <bgColor indexed="64"/>
      </patternFill>
    </fill>
    <fill>
      <patternFill patternType="solid">
        <fgColor theme="3" tint="0.79998168889431442"/>
        <bgColor indexed="64"/>
      </patternFill>
    </fill>
  </fills>
  <borders count="55">
    <border>
      <left/>
      <right/>
      <top/>
      <bottom/>
      <diagonal/>
    </border>
    <border>
      <left/>
      <right/>
      <top/>
      <bottom style="thin">
        <color indexed="64"/>
      </bottom>
      <diagonal/>
    </border>
    <border>
      <left/>
      <right style="medium">
        <color rgb="FFAAAAAA"/>
      </right>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top style="thin">
        <color theme="0" tint="-0.499984740745262"/>
      </top>
      <bottom style="thin">
        <color theme="2" tint="-0.499984740745262"/>
      </bottom>
      <diagonal/>
    </border>
    <border>
      <left/>
      <right style="medium">
        <color theme="0" tint="-0.499984740745262"/>
      </right>
      <top style="thin">
        <color theme="0" tint="-0.499984740745262"/>
      </top>
      <bottom style="thin">
        <color theme="2"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diagonal/>
    </border>
    <border>
      <left/>
      <right style="medium">
        <color theme="2" tint="-0.499984740745262"/>
      </right>
      <top/>
      <bottom style="medium">
        <color theme="0" tint="-0.499984740745262"/>
      </bottom>
      <diagonal/>
    </border>
    <border>
      <left style="medium">
        <color theme="2" tint="-0.499984740745262"/>
      </left>
      <right style="medium">
        <color theme="2" tint="-0.499984740745262"/>
      </right>
      <top/>
      <bottom style="medium">
        <color theme="0" tint="-0.499984740745262"/>
      </bottom>
      <diagonal/>
    </border>
    <border>
      <left style="medium">
        <color theme="2" tint="-0.499984740745262"/>
      </left>
      <right/>
      <top style="thin">
        <color theme="2" tint="-0.499984740745262"/>
      </top>
      <bottom style="medium">
        <color theme="0" tint="-0.499984740745262"/>
      </bottom>
      <diagonal/>
    </border>
    <border>
      <left style="thin">
        <color theme="0" tint="-0.499984740745262"/>
      </left>
      <right style="thin">
        <color theme="0" tint="-0.499984740745262"/>
      </right>
      <top style="thin">
        <color theme="2" tint="-0.499984740745262"/>
      </top>
      <bottom style="medium">
        <color theme="0" tint="-0.499984740745262"/>
      </bottom>
      <diagonal/>
    </border>
    <border>
      <left/>
      <right/>
      <top style="thin">
        <color theme="2" tint="-0.499984740745262"/>
      </top>
      <bottom style="medium">
        <color theme="0" tint="-0.499984740745262"/>
      </bottom>
      <diagonal/>
    </border>
    <border>
      <left style="thin">
        <color theme="2" tint="-0.499984740745262"/>
      </left>
      <right style="medium">
        <color theme="0" tint="-0.499984740745262"/>
      </right>
      <top style="thin">
        <color theme="2" tint="-0.499984740745262"/>
      </top>
      <bottom style="medium">
        <color theme="0" tint="-0.499984740745262"/>
      </bottom>
      <diagonal/>
    </border>
    <border>
      <left style="medium">
        <color theme="0" tint="-0.499984740745262"/>
      </left>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right style="medium">
        <color theme="0" tint="-0.499984740745262"/>
      </right>
      <top style="thin">
        <color theme="0" tint="-0.499984740745262"/>
      </top>
      <bottom style="medium">
        <color theme="0" tint="-0.499984740745262"/>
      </bottom>
      <diagonal/>
    </border>
    <border>
      <left/>
      <right style="medium">
        <color theme="2" tint="-0.499984740745262"/>
      </right>
      <top/>
      <bottom/>
      <diagonal/>
    </border>
    <border>
      <left style="medium">
        <color theme="2" tint="-0.499984740745262"/>
      </left>
      <right/>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medium">
        <color theme="0" tint="-0.499984740745262"/>
      </right>
      <top style="medium">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medium">
        <color theme="2"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style="medium">
        <color theme="2" tint="-0.499984740745262"/>
      </left>
      <right style="medium">
        <color theme="2"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thin">
        <color indexed="9"/>
      </left>
      <right style="thin">
        <color indexed="9"/>
      </right>
      <top style="thin">
        <color indexed="9"/>
      </top>
      <bottom style="thin">
        <color indexed="9"/>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3" fillId="0" borderId="0"/>
    <xf numFmtId="0" fontId="10" fillId="0" borderId="0" applyNumberFormat="0" applyFill="0" applyBorder="0" applyAlignment="0" applyProtection="0"/>
    <xf numFmtId="0" fontId="1" fillId="0" borderId="0"/>
    <xf numFmtId="0" fontId="3" fillId="0" borderId="0"/>
    <xf numFmtId="0" fontId="13" fillId="0" borderId="0"/>
    <xf numFmtId="0" fontId="3" fillId="0" borderId="0"/>
    <xf numFmtId="43" fontId="3" fillId="0" borderId="0" applyFont="0" applyFill="0" applyBorder="0" applyAlignment="0" applyProtection="0"/>
    <xf numFmtId="0" fontId="3" fillId="0" borderId="0"/>
    <xf numFmtId="0" fontId="14" fillId="0" borderId="0"/>
    <xf numFmtId="0" fontId="13" fillId="0" borderId="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0" fontId="33" fillId="0" borderId="0"/>
    <xf numFmtId="0" fontId="16" fillId="0" borderId="0" applyNumberFormat="0" applyFill="0" applyBorder="0" applyAlignment="0" applyProtection="0">
      <alignment vertical="top"/>
      <protection locked="0"/>
    </xf>
  </cellStyleXfs>
  <cellXfs count="269">
    <xf numFmtId="0" fontId="0" fillId="0" borderId="0" xfId="0"/>
    <xf numFmtId="0" fontId="0" fillId="0" borderId="0" xfId="0" applyAlignment="1">
      <alignment horizontal="left" indent="1"/>
    </xf>
    <xf numFmtId="0" fontId="0" fillId="0" borderId="0" xfId="0" applyAlignment="1">
      <alignment wrapText="1"/>
    </xf>
    <xf numFmtId="0" fontId="2" fillId="0" borderId="1" xfId="0" applyFont="1" applyBorder="1"/>
    <xf numFmtId="0" fontId="2" fillId="0" borderId="0" xfId="0" applyFont="1"/>
    <xf numFmtId="0" fontId="2" fillId="0" borderId="1" xfId="0" applyFont="1" applyBorder="1" applyAlignment="1">
      <alignment horizontal="right"/>
    </xf>
    <xf numFmtId="0" fontId="4" fillId="0" borderId="1" xfId="0" applyFont="1" applyBorder="1" applyAlignment="1">
      <alignment horizontal="right"/>
    </xf>
    <xf numFmtId="0" fontId="5" fillId="0" borderId="0" xfId="0" applyFont="1"/>
    <xf numFmtId="0" fontId="4" fillId="0" borderId="0" xfId="0" applyFont="1"/>
    <xf numFmtId="1" fontId="4" fillId="2" borderId="0" xfId="3" applyNumberFormat="1" applyFont="1" applyFill="1"/>
    <xf numFmtId="164" fontId="2" fillId="0" borderId="0" xfId="1" applyNumberFormat="1" applyFont="1"/>
    <xf numFmtId="164" fontId="2" fillId="3" borderId="0" xfId="1" applyNumberFormat="1" applyFont="1" applyFill="1"/>
    <xf numFmtId="164" fontId="2" fillId="0" borderId="0" xfId="1" applyNumberFormat="1" applyFont="1" applyFill="1"/>
    <xf numFmtId="0" fontId="6" fillId="0" borderId="0" xfId="0" applyFont="1" applyAlignment="1">
      <alignment wrapText="1"/>
    </xf>
    <xf numFmtId="0" fontId="7" fillId="0" borderId="0" xfId="0" applyFont="1"/>
    <xf numFmtId="0" fontId="6" fillId="0" borderId="1" xfId="0" applyFont="1" applyBorder="1"/>
    <xf numFmtId="0" fontId="6" fillId="0" borderId="1" xfId="0" applyFont="1" applyBorder="1" applyAlignment="1">
      <alignment horizontal="right"/>
    </xf>
    <xf numFmtId="0" fontId="6" fillId="0" borderId="0" xfId="0" applyFont="1"/>
    <xf numFmtId="1" fontId="6" fillId="0" borderId="0" xfId="3" applyNumberFormat="1" applyFont="1"/>
    <xf numFmtId="1" fontId="6" fillId="2" borderId="0" xfId="3" applyNumberFormat="1" applyFont="1" applyFill="1"/>
    <xf numFmtId="0" fontId="3" fillId="0" borderId="1" xfId="0" applyFont="1" applyBorder="1" applyAlignment="1">
      <alignment horizontal="right"/>
    </xf>
    <xf numFmtId="164" fontId="3" fillId="0" borderId="0" xfId="1" applyNumberFormat="1" applyFont="1"/>
    <xf numFmtId="164" fontId="3" fillId="3" borderId="0" xfId="1" applyNumberFormat="1" applyFont="1" applyFill="1"/>
    <xf numFmtId="164" fontId="3" fillId="0" borderId="0" xfId="1" applyNumberFormat="1" applyFont="1" applyFill="1"/>
    <xf numFmtId="0" fontId="7" fillId="4" borderId="0" xfId="0" applyFont="1" applyFill="1"/>
    <xf numFmtId="0" fontId="6" fillId="4" borderId="1" xfId="0" applyFont="1" applyFill="1" applyBorder="1"/>
    <xf numFmtId="166" fontId="6" fillId="0" borderId="0" xfId="2" applyNumberFormat="1" applyFont="1" applyAlignment="1">
      <alignment horizontal="center"/>
    </xf>
    <xf numFmtId="1" fontId="6" fillId="0" borderId="0" xfId="3" applyNumberFormat="1" applyFont="1" applyAlignment="1"/>
    <xf numFmtId="1" fontId="0" fillId="0" borderId="0" xfId="0" applyNumberFormat="1"/>
    <xf numFmtId="1" fontId="0" fillId="0" borderId="0" xfId="0" applyNumberFormat="1" applyAlignment="1">
      <alignment horizontal="center"/>
    </xf>
    <xf numFmtId="9" fontId="0" fillId="0" borderId="0" xfId="2" applyFont="1"/>
    <xf numFmtId="9" fontId="0" fillId="0" borderId="0" xfId="2" applyFont="1" applyAlignment="1">
      <alignment horizontal="center"/>
    </xf>
    <xf numFmtId="0" fontId="0" fillId="0" borderId="0" xfId="2" applyNumberFormat="1" applyFont="1" applyAlignment="1">
      <alignment horizontal="center"/>
    </xf>
    <xf numFmtId="166" fontId="0" fillId="0" borderId="0" xfId="0" applyNumberFormat="1"/>
    <xf numFmtId="0" fontId="0" fillId="4" borderId="0" xfId="0" applyFill="1"/>
    <xf numFmtId="1" fontId="8" fillId="0" borderId="0" xfId="0" applyNumberFormat="1" applyFont="1" applyAlignment="1">
      <alignment horizontal="center"/>
    </xf>
    <xf numFmtId="1" fontId="8" fillId="0" borderId="2" xfId="0" applyNumberFormat="1" applyFont="1" applyFill="1" applyBorder="1" applyAlignment="1">
      <alignment horizontal="center" vertical="center"/>
    </xf>
    <xf numFmtId="1" fontId="8" fillId="0" borderId="0" xfId="0" applyNumberFormat="1" applyFont="1" applyFill="1" applyAlignment="1">
      <alignment horizontal="center"/>
    </xf>
    <xf numFmtId="0" fontId="0" fillId="0" borderId="0" xfId="0" applyAlignment="1">
      <alignment horizontal="left"/>
    </xf>
    <xf numFmtId="0" fontId="0" fillId="0" borderId="0" xfId="0" applyAlignment="1"/>
    <xf numFmtId="0" fontId="0" fillId="4" borderId="0" xfId="0" applyFill="1" applyAlignment="1">
      <alignment horizontal="left" indent="1"/>
    </xf>
    <xf numFmtId="1" fontId="0" fillId="0" borderId="0" xfId="2" applyNumberFormat="1" applyFont="1" applyAlignment="1">
      <alignment horizontal="center"/>
    </xf>
    <xf numFmtId="0" fontId="3" fillId="0" borderId="0" xfId="0" applyFont="1" applyBorder="1" applyAlignment="1">
      <alignment horizontal="right"/>
    </xf>
    <xf numFmtId="0" fontId="9" fillId="0" borderId="0" xfId="0" applyFont="1"/>
    <xf numFmtId="165" fontId="3" fillId="0" borderId="0" xfId="3" applyNumberFormat="1" applyFont="1"/>
    <xf numFmtId="3" fontId="3" fillId="2" borderId="0" xfId="3" applyNumberFormat="1" applyFont="1" applyFill="1"/>
    <xf numFmtId="167" fontId="3" fillId="2" borderId="0" xfId="3" applyNumberFormat="1" applyFont="1" applyFill="1"/>
    <xf numFmtId="0" fontId="3" fillId="0" borderId="0" xfId="0" applyFont="1" applyFill="1" applyBorder="1" applyAlignment="1">
      <alignment horizontal="right"/>
    </xf>
    <xf numFmtId="166" fontId="0" fillId="0" borderId="0" xfId="2" applyNumberFormat="1" applyFont="1"/>
    <xf numFmtId="3" fontId="11" fillId="5" borderId="2" xfId="0" applyNumberFormat="1" applyFont="1" applyFill="1" applyBorder="1" applyAlignment="1">
      <alignment horizontal="right" vertical="center"/>
    </xf>
    <xf numFmtId="0" fontId="6" fillId="0" borderId="0" xfId="0" applyFont="1" applyFill="1" applyBorder="1" applyAlignment="1"/>
    <xf numFmtId="9" fontId="0" fillId="0" borderId="0" xfId="0" applyNumberFormat="1"/>
    <xf numFmtId="165" fontId="0" fillId="0" borderId="0" xfId="0" applyNumberFormat="1"/>
    <xf numFmtId="165" fontId="0" fillId="0" borderId="0" xfId="0" applyNumberFormat="1" applyAlignment="1">
      <alignment horizontal="center"/>
    </xf>
    <xf numFmtId="3" fontId="0" fillId="0" borderId="0" xfId="0" applyNumberFormat="1"/>
    <xf numFmtId="6" fontId="0" fillId="0" borderId="0" xfId="0" applyNumberFormat="1"/>
    <xf numFmtId="8" fontId="0" fillId="0" borderId="0" xfId="0" applyNumberFormat="1"/>
    <xf numFmtId="8" fontId="9" fillId="0" borderId="0" xfId="0" applyNumberFormat="1" applyFont="1"/>
    <xf numFmtId="0" fontId="10" fillId="0" borderId="0" xfId="5" applyAlignment="1">
      <alignment horizontal="center"/>
    </xf>
    <xf numFmtId="165" fontId="7" fillId="0" borderId="0" xfId="0" applyNumberFormat="1" applyFont="1" applyAlignment="1">
      <alignment horizontal="center"/>
    </xf>
    <xf numFmtId="0" fontId="0" fillId="0" borderId="0" xfId="0" quotePrefix="1"/>
    <xf numFmtId="3" fontId="11" fillId="5" borderId="2" xfId="0" applyNumberFormat="1" applyFont="1" applyFill="1" applyBorder="1" applyAlignment="1">
      <alignment horizontal="left" vertical="center"/>
    </xf>
    <xf numFmtId="165" fontId="3" fillId="0" borderId="1" xfId="0" applyNumberFormat="1" applyFont="1" applyBorder="1" applyAlignment="1">
      <alignment horizontal="center"/>
    </xf>
    <xf numFmtId="0" fontId="6" fillId="0" borderId="0" xfId="0" applyFont="1" applyBorder="1" applyAlignment="1">
      <alignment horizontal="right"/>
    </xf>
    <xf numFmtId="0" fontId="12" fillId="0" borderId="0" xfId="0" applyFont="1" applyAlignment="1">
      <alignment horizontal="center" vertical="center"/>
    </xf>
    <xf numFmtId="0" fontId="0" fillId="0" borderId="0" xfId="0" applyFont="1"/>
    <xf numFmtId="0" fontId="12" fillId="0" borderId="0" xfId="0" applyFont="1"/>
    <xf numFmtId="0" fontId="0" fillId="0" borderId="0" xfId="0" applyFont="1" applyAlignment="1">
      <alignment horizontal="center" vertical="center"/>
    </xf>
    <xf numFmtId="1" fontId="0" fillId="0" borderId="0" xfId="0" applyNumberFormat="1" applyFont="1" applyAlignment="1">
      <alignment horizontal="center" vertical="center"/>
    </xf>
    <xf numFmtId="1" fontId="0" fillId="0" borderId="0" xfId="0" applyNumberFormat="1" applyFont="1"/>
    <xf numFmtId="0" fontId="10" fillId="0" borderId="0" xfId="5"/>
    <xf numFmtId="0" fontId="0" fillId="0" borderId="0" xfId="0" applyAlignment="1">
      <alignment horizontal="center"/>
    </xf>
    <xf numFmtId="0" fontId="0" fillId="0" borderId="0" xfId="0" applyFont="1" applyAlignment="1">
      <alignment horizontal="center" vertical="center"/>
    </xf>
    <xf numFmtId="3" fontId="8" fillId="0" borderId="0" xfId="8" applyNumberFormat="1" applyFont="1" applyAlignment="1">
      <alignment horizontal="center" vertical="center"/>
    </xf>
    <xf numFmtId="0" fontId="0" fillId="0" borderId="0" xfId="0" applyAlignment="1">
      <alignment horizontal="center"/>
    </xf>
    <xf numFmtId="0" fontId="0" fillId="0" borderId="0" xfId="0" applyFont="1" applyAlignment="1">
      <alignment horizontal="center" vertical="center"/>
    </xf>
    <xf numFmtId="43" fontId="0" fillId="0" borderId="0" xfId="0" applyNumberFormat="1"/>
    <xf numFmtId="1" fontId="2" fillId="0" borderId="0" xfId="0" applyNumberFormat="1" applyFont="1"/>
    <xf numFmtId="164" fontId="2" fillId="0" borderId="0" xfId="0" applyNumberFormat="1" applyFont="1"/>
    <xf numFmtId="43" fontId="2" fillId="0" borderId="0" xfId="0" applyNumberFormat="1" applyFont="1"/>
    <xf numFmtId="168" fontId="0" fillId="0" borderId="0" xfId="0" applyNumberFormat="1"/>
    <xf numFmtId="0" fontId="12" fillId="0" borderId="3" xfId="0" applyFont="1" applyBorder="1"/>
    <xf numFmtId="0" fontId="0" fillId="0" borderId="4" xfId="0" applyBorder="1"/>
    <xf numFmtId="0" fontId="0" fillId="0" borderId="8" xfId="0" applyBorder="1"/>
    <xf numFmtId="0" fontId="0" fillId="0" borderId="17" xfId="0" applyBorder="1"/>
    <xf numFmtId="0" fontId="0" fillId="0" borderId="18" xfId="0" applyBorder="1"/>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12" fillId="6" borderId="27" xfId="0" applyFont="1" applyFill="1" applyBorder="1"/>
    <xf numFmtId="0" fontId="12" fillId="6" borderId="28" xfId="0" applyFont="1" applyFill="1" applyBorder="1"/>
    <xf numFmtId="0" fontId="12" fillId="0" borderId="0" xfId="0" applyFont="1" applyAlignment="1">
      <alignment horizontal="right"/>
    </xf>
    <xf numFmtId="0" fontId="12" fillId="0" borderId="32" xfId="0" applyFont="1" applyBorder="1"/>
    <xf numFmtId="0" fontId="0" fillId="6" borderId="0" xfId="0" applyFill="1" applyAlignment="1">
      <alignment horizontal="right"/>
    </xf>
    <xf numFmtId="0" fontId="0" fillId="6" borderId="32" xfId="0" applyFill="1" applyBorder="1"/>
    <xf numFmtId="167" fontId="0" fillId="0" borderId="0" xfId="0" applyNumberFormat="1"/>
    <xf numFmtId="0" fontId="0" fillId="0" borderId="0" xfId="0" applyAlignment="1">
      <alignment horizontal="right"/>
    </xf>
    <xf numFmtId="0" fontId="0" fillId="0" borderId="32" xfId="0" applyBorder="1"/>
    <xf numFmtId="0" fontId="18" fillId="6" borderId="32" xfId="0" applyFont="1" applyFill="1" applyBorder="1"/>
    <xf numFmtId="0" fontId="12" fillId="6" borderId="0" xfId="0" applyFont="1" applyFill="1" applyAlignment="1">
      <alignment horizontal="right"/>
    </xf>
    <xf numFmtId="0" fontId="12" fillId="6" borderId="32" xfId="0" applyFont="1" applyFill="1" applyBorder="1"/>
    <xf numFmtId="0" fontId="12" fillId="6" borderId="27" xfId="0" applyFont="1" applyFill="1" applyBorder="1" applyAlignment="1">
      <alignment horizontal="right"/>
    </xf>
    <xf numFmtId="0" fontId="17" fillId="6" borderId="28" xfId="0" applyFont="1" applyFill="1" applyBorder="1"/>
    <xf numFmtId="0" fontId="12" fillId="0" borderId="27" xfId="0" applyFont="1" applyBorder="1" applyAlignment="1">
      <alignment horizontal="right"/>
    </xf>
    <xf numFmtId="0" fontId="12" fillId="0" borderId="28" xfId="0" applyFont="1" applyBorder="1"/>
    <xf numFmtId="0" fontId="18" fillId="6" borderId="28" xfId="0" applyFont="1" applyFill="1" applyBorder="1"/>
    <xf numFmtId="0" fontId="0" fillId="6" borderId="27" xfId="0" applyFill="1" applyBorder="1" applyAlignment="1">
      <alignment horizontal="right"/>
    </xf>
    <xf numFmtId="0" fontId="0" fillId="6" borderId="28" xfId="0" applyFill="1" applyBorder="1"/>
    <xf numFmtId="0" fontId="0" fillId="0" borderId="27" xfId="0" applyBorder="1" applyAlignment="1">
      <alignment horizontal="right"/>
    </xf>
    <xf numFmtId="0" fontId="0" fillId="0" borderId="28" xfId="0" applyBorder="1"/>
    <xf numFmtId="167" fontId="0" fillId="6" borderId="0" xfId="0" quotePrefix="1" applyNumberFormat="1" applyFill="1" applyAlignment="1">
      <alignment horizontal="right"/>
    </xf>
    <xf numFmtId="167" fontId="0" fillId="6" borderId="34" xfId="0" quotePrefix="1" applyNumberFormat="1" applyFill="1" applyBorder="1" applyAlignment="1">
      <alignment horizontal="right"/>
    </xf>
    <xf numFmtId="167" fontId="0" fillId="6" borderId="35" xfId="0" quotePrefix="1" applyNumberFormat="1" applyFill="1" applyBorder="1" applyAlignment="1">
      <alignment horizontal="right"/>
    </xf>
    <xf numFmtId="167" fontId="12" fillId="6" borderId="0" xfId="0" quotePrefix="1" applyNumberFormat="1" applyFont="1" applyFill="1" applyAlignment="1">
      <alignment horizontal="right"/>
    </xf>
    <xf numFmtId="167" fontId="12" fillId="6" borderId="34" xfId="0" quotePrefix="1" applyNumberFormat="1" applyFont="1" applyFill="1" applyBorder="1" applyAlignment="1">
      <alignment horizontal="right"/>
    </xf>
    <xf numFmtId="167" fontId="12" fillId="6" borderId="35" xfId="0" quotePrefix="1" applyNumberFormat="1" applyFont="1" applyFill="1" applyBorder="1" applyAlignment="1">
      <alignment horizontal="right"/>
    </xf>
    <xf numFmtId="0" fontId="12" fillId="0" borderId="17" xfId="0" applyFont="1" applyBorder="1" applyAlignment="1">
      <alignment horizontal="right"/>
    </xf>
    <xf numFmtId="0" fontId="17" fillId="0" borderId="36" xfId="0" applyFont="1" applyBorder="1"/>
    <xf numFmtId="0" fontId="20" fillId="0" borderId="0" xfId="0" applyFont="1"/>
    <xf numFmtId="0" fontId="8" fillId="0" borderId="0" xfId="0" quotePrefix="1" applyFont="1"/>
    <xf numFmtId="0" fontId="0" fillId="0" borderId="0" xfId="0" applyAlignment="1">
      <alignment horizontal="left" vertical="center"/>
    </xf>
    <xf numFmtId="0" fontId="10" fillId="0" borderId="0" xfId="5" applyAlignment="1">
      <alignment horizontal="left" vertical="center"/>
    </xf>
    <xf numFmtId="0" fontId="8" fillId="0" borderId="0" xfId="5" applyFont="1" applyAlignment="1">
      <alignment horizontal="left" vertical="center"/>
    </xf>
    <xf numFmtId="0" fontId="10" fillId="0" borderId="0" xfId="5" applyAlignment="1">
      <alignment horizontal="left" vertical="center" indent="2"/>
    </xf>
    <xf numFmtId="0" fontId="0" fillId="0" borderId="0" xfId="0" applyAlignment="1">
      <alignment horizontal="left" vertical="center" indent="2"/>
    </xf>
    <xf numFmtId="0" fontId="8" fillId="0" borderId="0" xfId="5" applyFont="1" applyFill="1" applyAlignment="1">
      <alignment horizontal="left" vertical="center"/>
    </xf>
    <xf numFmtId="0" fontId="10" fillId="0" borderId="0" xfId="5" applyFill="1"/>
    <xf numFmtId="168" fontId="0" fillId="0" borderId="0" xfId="0" applyNumberFormat="1" applyAlignment="1">
      <alignment horizontal="center"/>
    </xf>
    <xf numFmtId="167" fontId="12" fillId="6" borderId="29" xfId="0" applyNumberFormat="1" applyFont="1" applyFill="1" applyBorder="1" applyAlignment="1">
      <alignment horizontal="center"/>
    </xf>
    <xf numFmtId="167" fontId="12" fillId="6" borderId="3" xfId="0" applyNumberFormat="1" applyFont="1" applyFill="1" applyBorder="1" applyAlignment="1">
      <alignment horizontal="center"/>
    </xf>
    <xf numFmtId="167" fontId="12" fillId="6" borderId="30" xfId="0" applyNumberFormat="1" applyFont="1" applyFill="1" applyBorder="1" applyAlignment="1">
      <alignment horizontal="center"/>
    </xf>
    <xf numFmtId="167" fontId="12" fillId="6" borderId="31" xfId="0" applyNumberFormat="1" applyFont="1" applyFill="1" applyBorder="1" applyAlignment="1">
      <alignment horizontal="center"/>
    </xf>
    <xf numFmtId="167" fontId="12" fillId="0" borderId="33" xfId="0" applyNumberFormat="1" applyFont="1" applyBorder="1" applyAlignment="1">
      <alignment horizontal="center"/>
    </xf>
    <xf numFmtId="167" fontId="12" fillId="0" borderId="0" xfId="0" applyNumberFormat="1" applyFont="1" applyAlignment="1">
      <alignment horizontal="center"/>
    </xf>
    <xf numFmtId="167" fontId="12" fillId="0" borderId="34" xfId="0" applyNumberFormat="1" applyFont="1" applyBorder="1" applyAlignment="1">
      <alignment horizontal="center"/>
    </xf>
    <xf numFmtId="167" fontId="12" fillId="0" borderId="35" xfId="0" applyNumberFormat="1" applyFont="1" applyBorder="1" applyAlignment="1">
      <alignment horizontal="center"/>
    </xf>
    <xf numFmtId="167" fontId="0" fillId="6" borderId="33" xfId="0" applyNumberFormat="1" applyFill="1" applyBorder="1" applyAlignment="1">
      <alignment horizontal="center"/>
    </xf>
    <xf numFmtId="167" fontId="0" fillId="6" borderId="0" xfId="0" applyNumberFormat="1" applyFill="1" applyAlignment="1">
      <alignment horizontal="center"/>
    </xf>
    <xf numFmtId="167" fontId="0" fillId="6" borderId="34" xfId="0" applyNumberFormat="1" applyFill="1" applyBorder="1" applyAlignment="1">
      <alignment horizontal="center"/>
    </xf>
    <xf numFmtId="167" fontId="0" fillId="6" borderId="35" xfId="0" applyNumberFormat="1" applyFill="1" applyBorder="1" applyAlignment="1">
      <alignment horizontal="center"/>
    </xf>
    <xf numFmtId="167" fontId="0" fillId="0" borderId="33" xfId="0" applyNumberFormat="1" applyBorder="1" applyAlignment="1">
      <alignment horizontal="center"/>
    </xf>
    <xf numFmtId="167" fontId="0" fillId="0" borderId="0" xfId="0" applyNumberFormat="1" applyAlignment="1">
      <alignment horizontal="center"/>
    </xf>
    <xf numFmtId="167" fontId="0" fillId="0" borderId="34" xfId="0" applyNumberFormat="1" applyBorder="1" applyAlignment="1">
      <alignment horizontal="center"/>
    </xf>
    <xf numFmtId="167" fontId="0" fillId="0" borderId="35" xfId="0" applyNumberFormat="1" applyBorder="1" applyAlignment="1">
      <alignment horizontal="center"/>
    </xf>
    <xf numFmtId="167" fontId="12" fillId="6" borderId="33" xfId="0" applyNumberFormat="1" applyFont="1" applyFill="1" applyBorder="1" applyAlignment="1">
      <alignment horizontal="center"/>
    </xf>
    <xf numFmtId="167" fontId="12" fillId="6" borderId="0" xfId="0" applyNumberFormat="1" applyFont="1" applyFill="1" applyAlignment="1">
      <alignment horizontal="center"/>
    </xf>
    <xf numFmtId="167" fontId="12" fillId="6" borderId="34" xfId="0" applyNumberFormat="1" applyFont="1" applyFill="1" applyBorder="1" applyAlignment="1">
      <alignment horizontal="center"/>
    </xf>
    <xf numFmtId="167" fontId="12" fillId="6" borderId="35" xfId="0" applyNumberFormat="1" applyFont="1" applyFill="1" applyBorder="1" applyAlignment="1">
      <alignment horizontal="center"/>
    </xf>
    <xf numFmtId="167" fontId="0" fillId="6" borderId="33" xfId="0" quotePrefix="1" applyNumberFormat="1" applyFill="1" applyBorder="1" applyAlignment="1">
      <alignment horizontal="center"/>
    </xf>
    <xf numFmtId="167" fontId="0" fillId="6" borderId="0" xfId="0" quotePrefix="1" applyNumberFormat="1" applyFill="1" applyAlignment="1">
      <alignment horizontal="center"/>
    </xf>
    <xf numFmtId="167" fontId="0" fillId="6" borderId="34" xfId="0" quotePrefix="1" applyNumberFormat="1" applyFill="1" applyBorder="1" applyAlignment="1">
      <alignment horizontal="center"/>
    </xf>
    <xf numFmtId="167" fontId="0" fillId="6" borderId="35" xfId="0" quotePrefix="1" applyNumberFormat="1" applyFill="1" applyBorder="1" applyAlignment="1">
      <alignment horizontal="center"/>
    </xf>
    <xf numFmtId="167" fontId="12" fillId="6" borderId="33" xfId="0" quotePrefix="1" applyNumberFormat="1" applyFont="1" applyFill="1" applyBorder="1" applyAlignment="1">
      <alignment horizontal="center"/>
    </xf>
    <xf numFmtId="167" fontId="12" fillId="6" borderId="0" xfId="0" quotePrefix="1" applyNumberFormat="1" applyFont="1" applyFill="1" applyAlignment="1">
      <alignment horizontal="center"/>
    </xf>
    <xf numFmtId="167" fontId="12" fillId="6" borderId="34" xfId="0" quotePrefix="1" applyNumberFormat="1" applyFont="1" applyFill="1" applyBorder="1" applyAlignment="1">
      <alignment horizontal="center"/>
    </xf>
    <xf numFmtId="167" fontId="12" fillId="6" borderId="35" xfId="0" quotePrefix="1" applyNumberFormat="1" applyFont="1" applyFill="1" applyBorder="1" applyAlignment="1">
      <alignment horizontal="center"/>
    </xf>
    <xf numFmtId="167" fontId="12" fillId="0" borderId="37" xfId="1" applyNumberFormat="1" applyFont="1" applyBorder="1" applyAlignment="1">
      <alignment horizontal="center"/>
    </xf>
    <xf numFmtId="167" fontId="12" fillId="0" borderId="38" xfId="1" applyNumberFormat="1" applyFont="1" applyBorder="1" applyAlignment="1">
      <alignment horizontal="center"/>
    </xf>
    <xf numFmtId="167" fontId="12" fillId="0" borderId="39" xfId="1" applyNumberFormat="1" applyFont="1" applyBorder="1" applyAlignment="1">
      <alignment horizontal="center"/>
    </xf>
    <xf numFmtId="167" fontId="12" fillId="0" borderId="38" xfId="0" applyNumberFormat="1" applyFont="1" applyBorder="1" applyAlignment="1">
      <alignment horizontal="center"/>
    </xf>
    <xf numFmtId="167" fontId="12" fillId="0" borderId="37" xfId="0" applyNumberFormat="1" applyFont="1" applyBorder="1" applyAlignment="1">
      <alignment horizontal="center"/>
    </xf>
    <xf numFmtId="167" fontId="12" fillId="0" borderId="39" xfId="0" applyNumberFormat="1" applyFont="1" applyBorder="1" applyAlignment="1">
      <alignment horizontal="center"/>
    </xf>
    <xf numFmtId="167" fontId="12" fillId="0" borderId="40" xfId="0" applyNumberFormat="1" applyFont="1" applyBorder="1" applyAlignment="1">
      <alignment horizontal="center"/>
    </xf>
    <xf numFmtId="0" fontId="0" fillId="0" borderId="0" xfId="0" applyFont="1" applyAlignment="1">
      <alignment horizontal="center"/>
    </xf>
    <xf numFmtId="169" fontId="0" fillId="0" borderId="0" xfId="0" applyNumberFormat="1"/>
    <xf numFmtId="167" fontId="0" fillId="6" borderId="0" xfId="0" applyNumberFormat="1" applyFill="1" applyBorder="1" applyAlignment="1">
      <alignment horizontal="center"/>
    </xf>
    <xf numFmtId="0" fontId="0" fillId="6" borderId="0" xfId="0" applyFill="1"/>
    <xf numFmtId="0" fontId="0" fillId="6" borderId="8" xfId="0" applyFill="1" applyBorder="1"/>
    <xf numFmtId="167" fontId="0" fillId="6" borderId="32" xfId="0" quotePrefix="1" applyNumberFormat="1" applyFill="1" applyBorder="1" applyAlignment="1">
      <alignment horizontal="right"/>
    </xf>
    <xf numFmtId="0" fontId="18" fillId="0" borderId="8" xfId="0" applyFont="1" applyBorder="1" applyAlignment="1">
      <alignment horizontal="left" indent="9"/>
    </xf>
    <xf numFmtId="167" fontId="0" fillId="0" borderId="32" xfId="0" quotePrefix="1" applyNumberFormat="1" applyBorder="1" applyAlignment="1">
      <alignment horizontal="right"/>
    </xf>
    <xf numFmtId="167" fontId="0" fillId="0" borderId="34" xfId="0" quotePrefix="1" applyNumberFormat="1" applyBorder="1" applyAlignment="1">
      <alignment horizontal="right"/>
    </xf>
    <xf numFmtId="167" fontId="0" fillId="0" borderId="0" xfId="0" quotePrefix="1" applyNumberFormat="1" applyAlignment="1">
      <alignment horizontal="right"/>
    </xf>
    <xf numFmtId="167" fontId="0" fillId="0" borderId="35" xfId="0" quotePrefix="1" applyNumberFormat="1" applyBorder="1" applyAlignment="1">
      <alignment horizontal="right"/>
    </xf>
    <xf numFmtId="0" fontId="8" fillId="0" borderId="8" xfId="16" quotePrefix="1" applyFont="1" applyBorder="1" applyAlignment="1">
      <alignment horizontal="left" indent="10"/>
    </xf>
    <xf numFmtId="9" fontId="0" fillId="0" borderId="0" xfId="0" applyNumberFormat="1" applyAlignment="1">
      <alignment horizontal="center"/>
    </xf>
    <xf numFmtId="0" fontId="0" fillId="0" borderId="42" xfId="0" applyBorder="1"/>
    <xf numFmtId="0" fontId="0" fillId="0" borderId="43" xfId="0" applyBorder="1"/>
    <xf numFmtId="0" fontId="0" fillId="0" borderId="44" xfId="0" applyBorder="1" applyAlignment="1">
      <alignment horizontal="center"/>
    </xf>
    <xf numFmtId="0" fontId="0" fillId="0" borderId="15"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12" fillId="6" borderId="0" xfId="0" applyFont="1" applyFill="1"/>
    <xf numFmtId="0" fontId="23" fillId="6" borderId="48" xfId="0" applyFont="1" applyFill="1" applyBorder="1"/>
    <xf numFmtId="167" fontId="12" fillId="6" borderId="9" xfId="0" quotePrefix="1" applyNumberFormat="1" applyFont="1" applyFill="1" applyBorder="1" applyAlignment="1">
      <alignment horizontal="right"/>
    </xf>
    <xf numFmtId="167" fontId="12" fillId="6" borderId="49" xfId="0" quotePrefix="1" applyNumberFormat="1" applyFont="1" applyFill="1" applyBorder="1" applyAlignment="1">
      <alignment horizontal="right"/>
    </xf>
    <xf numFmtId="167" fontId="12" fillId="6" borderId="10" xfId="0" quotePrefix="1" applyNumberFormat="1" applyFont="1" applyFill="1" applyBorder="1" applyAlignment="1">
      <alignment horizontal="right"/>
    </xf>
    <xf numFmtId="167" fontId="12" fillId="6" borderId="50" xfId="0" quotePrefix="1" applyNumberFormat="1" applyFont="1" applyFill="1" applyBorder="1" applyAlignment="1">
      <alignment horizontal="right"/>
    </xf>
    <xf numFmtId="0" fontId="23" fillId="0" borderId="8" xfId="0" applyFont="1" applyBorder="1"/>
    <xf numFmtId="167" fontId="12" fillId="0" borderId="32" xfId="0" quotePrefix="1" applyNumberFormat="1" applyFont="1" applyBorder="1" applyAlignment="1">
      <alignment horizontal="right"/>
    </xf>
    <xf numFmtId="167" fontId="12" fillId="0" borderId="34" xfId="0" quotePrefix="1" applyNumberFormat="1" applyFont="1" applyBorder="1" applyAlignment="1">
      <alignment horizontal="right"/>
    </xf>
    <xf numFmtId="167" fontId="12" fillId="0" borderId="0" xfId="0" quotePrefix="1" applyNumberFormat="1" applyFont="1" applyAlignment="1">
      <alignment horizontal="right"/>
    </xf>
    <xf numFmtId="167" fontId="12" fillId="0" borderId="35" xfId="0" quotePrefix="1" applyNumberFormat="1" applyFont="1" applyBorder="1" applyAlignment="1">
      <alignment horizontal="right"/>
    </xf>
    <xf numFmtId="0" fontId="23" fillId="6" borderId="8" xfId="0" applyFont="1" applyFill="1" applyBorder="1"/>
    <xf numFmtId="167" fontId="12" fillId="6" borderId="32" xfId="0" quotePrefix="1" applyNumberFormat="1" applyFont="1" applyFill="1" applyBorder="1" applyAlignment="1">
      <alignment horizontal="right"/>
    </xf>
    <xf numFmtId="0" fontId="18" fillId="6" borderId="8" xfId="0" applyFont="1" applyFill="1" applyBorder="1"/>
    <xf numFmtId="0" fontId="0" fillId="6" borderId="51" xfId="0" applyFill="1" applyBorder="1"/>
    <xf numFmtId="0" fontId="18" fillId="6" borderId="8" xfId="0" applyFont="1" applyFill="1" applyBorder="1" applyAlignment="1">
      <alignment horizontal="left" indent="9"/>
    </xf>
    <xf numFmtId="0" fontId="0" fillId="6" borderId="8" xfId="0" applyFill="1" applyBorder="1" applyAlignment="1">
      <alignment horizontal="left"/>
    </xf>
    <xf numFmtId="4" fontId="12" fillId="6" borderId="32" xfId="0" quotePrefix="1" applyNumberFormat="1" applyFont="1" applyFill="1" applyBorder="1" applyAlignment="1">
      <alignment horizontal="right"/>
    </xf>
    <xf numFmtId="0" fontId="24" fillId="6" borderId="8" xfId="0" applyFont="1" applyFill="1" applyBorder="1" applyAlignment="1">
      <alignment horizontal="left" indent="3"/>
    </xf>
    <xf numFmtId="0" fontId="25" fillId="6" borderId="8" xfId="0" applyFont="1" applyFill="1" applyBorder="1" applyAlignment="1">
      <alignment horizontal="left" indent="4"/>
    </xf>
    <xf numFmtId="0" fontId="12" fillId="6" borderId="38" xfId="0" applyFont="1" applyFill="1" applyBorder="1"/>
    <xf numFmtId="0" fontId="23" fillId="6" borderId="52" xfId="0" applyFont="1" applyFill="1" applyBorder="1"/>
    <xf numFmtId="167" fontId="12" fillId="6" borderId="53" xfId="0" quotePrefix="1" applyNumberFormat="1" applyFont="1" applyFill="1" applyBorder="1" applyAlignment="1">
      <alignment horizontal="right"/>
    </xf>
    <xf numFmtId="167" fontId="12" fillId="6" borderId="39" xfId="0" quotePrefix="1" applyNumberFormat="1" applyFont="1" applyFill="1" applyBorder="1" applyAlignment="1">
      <alignment horizontal="right"/>
    </xf>
    <xf numFmtId="167" fontId="12" fillId="6" borderId="38" xfId="0" quotePrefix="1" applyNumberFormat="1" applyFont="1" applyFill="1" applyBorder="1" applyAlignment="1">
      <alignment horizontal="right"/>
    </xf>
    <xf numFmtId="167" fontId="12" fillId="6" borderId="40" xfId="0" quotePrefix="1" applyNumberFormat="1" applyFont="1" applyFill="1" applyBorder="1" applyAlignment="1">
      <alignment horizontal="right"/>
    </xf>
    <xf numFmtId="0" fontId="12" fillId="0" borderId="0" xfId="0" applyFont="1" applyBorder="1" applyAlignment="1">
      <alignment horizontal="right"/>
    </xf>
    <xf numFmtId="0" fontId="17" fillId="0" borderId="0" xfId="0" applyFont="1" applyBorder="1"/>
    <xf numFmtId="167" fontId="12" fillId="0" borderId="32" xfId="1" applyNumberFormat="1" applyFont="1" applyBorder="1" applyAlignment="1">
      <alignment horizontal="center"/>
    </xf>
    <xf numFmtId="167" fontId="12" fillId="0" borderId="0" xfId="1" applyNumberFormat="1" applyFont="1" applyBorder="1" applyAlignment="1">
      <alignment horizontal="center"/>
    </xf>
    <xf numFmtId="167" fontId="12" fillId="0" borderId="0" xfId="0" applyNumberFormat="1" applyFont="1" applyBorder="1" applyAlignment="1">
      <alignment horizontal="center"/>
    </xf>
    <xf numFmtId="167" fontId="12" fillId="0" borderId="32" xfId="0" applyNumberFormat="1" applyFont="1" applyBorder="1" applyAlignment="1">
      <alignment horizontal="center"/>
    </xf>
    <xf numFmtId="167" fontId="0" fillId="0" borderId="0" xfId="0" applyNumberFormat="1" applyFont="1"/>
    <xf numFmtId="0" fontId="30" fillId="7" borderId="54" xfId="0" applyFont="1" applyFill="1" applyBorder="1" applyAlignment="1">
      <alignment horizontal="center"/>
    </xf>
    <xf numFmtId="0" fontId="12" fillId="0" borderId="0" xfId="0" applyFont="1" applyAlignment="1">
      <alignment horizontal="center"/>
    </xf>
    <xf numFmtId="0" fontId="0" fillId="0" borderId="0" xfId="0" applyBorder="1" applyAlignment="1">
      <alignment horizontal="center"/>
    </xf>
    <xf numFmtId="167" fontId="12" fillId="6" borderId="0" xfId="0" applyNumberFormat="1" applyFont="1" applyFill="1" applyBorder="1" applyAlignment="1">
      <alignment horizontal="center"/>
    </xf>
    <xf numFmtId="167" fontId="0" fillId="0" borderId="0" xfId="0" applyNumberFormat="1" applyBorder="1" applyAlignment="1">
      <alignment horizontal="center"/>
    </xf>
    <xf numFmtId="167" fontId="0" fillId="0" borderId="0" xfId="0" quotePrefix="1" applyNumberFormat="1" applyBorder="1" applyAlignment="1">
      <alignment horizontal="right"/>
    </xf>
    <xf numFmtId="0" fontId="0" fillId="8" borderId="0" xfId="0" applyFill="1"/>
    <xf numFmtId="0" fontId="0" fillId="8" borderId="0" xfId="0" applyFill="1" applyAlignment="1">
      <alignment horizontal="center"/>
    </xf>
    <xf numFmtId="1" fontId="0" fillId="8" borderId="0" xfId="0" applyNumberFormat="1" applyFill="1" applyAlignment="1">
      <alignment horizontal="center"/>
    </xf>
    <xf numFmtId="0" fontId="0" fillId="0" borderId="0" xfId="0"/>
    <xf numFmtId="9" fontId="0" fillId="6" borderId="0" xfId="2" applyFont="1" applyFill="1" applyBorder="1" applyAlignment="1">
      <alignment horizontal="center"/>
    </xf>
    <xf numFmtId="165" fontId="2" fillId="9" borderId="0" xfId="3" applyNumberFormat="1" applyFont="1" applyFill="1"/>
    <xf numFmtId="170" fontId="2" fillId="0" borderId="0" xfId="0" applyNumberFormat="1" applyFont="1"/>
    <xf numFmtId="1" fontId="2" fillId="9" borderId="0" xfId="3" applyNumberFormat="1" applyFont="1" applyFill="1"/>
    <xf numFmtId="1" fontId="2" fillId="0" borderId="0" xfId="3" applyNumberFormat="1" applyFont="1" applyFill="1"/>
    <xf numFmtId="1" fontId="2" fillId="9" borderId="0" xfId="3" applyNumberFormat="1" applyFont="1" applyFill="1"/>
    <xf numFmtId="1" fontId="2" fillId="0" borderId="0" xfId="3" applyNumberFormat="1" applyFont="1" applyFill="1"/>
    <xf numFmtId="1" fontId="2" fillId="9" borderId="0" xfId="3" applyNumberFormat="1" applyFont="1" applyFill="1"/>
    <xf numFmtId="1" fontId="2" fillId="0" borderId="0" xfId="3" applyNumberFormat="1" applyFont="1" applyFill="1"/>
    <xf numFmtId="165" fontId="2" fillId="0" borderId="0" xfId="3" applyNumberFormat="1" applyFont="1" applyFill="1"/>
    <xf numFmtId="1" fontId="2" fillId="9" borderId="0" xfId="3" applyNumberFormat="1" applyFont="1" applyFill="1"/>
    <xf numFmtId="1" fontId="2" fillId="0" borderId="0" xfId="3" applyNumberFormat="1" applyFont="1" applyFill="1"/>
    <xf numFmtId="0" fontId="6" fillId="4" borderId="1" xfId="0" applyFont="1" applyFill="1" applyBorder="1" applyAlignment="1">
      <alignment horizontal="left"/>
    </xf>
    <xf numFmtId="0" fontId="0" fillId="0" borderId="0" xfId="0" applyAlignment="1">
      <alignment horizontal="center"/>
    </xf>
    <xf numFmtId="3" fontId="8" fillId="0" borderId="0" xfId="8" applyNumberFormat="1" applyFont="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12" fillId="0" borderId="0" xfId="0" applyFont="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32" fillId="0" borderId="0" xfId="0" applyFont="1" applyAlignment="1">
      <alignment wrapText="1"/>
    </xf>
    <xf numFmtId="0" fontId="0" fillId="0" borderId="0" xfId="0"/>
    <xf numFmtId="0" fontId="28" fillId="0" borderId="0" xfId="0" applyFont="1"/>
    <xf numFmtId="0" fontId="29" fillId="0" borderId="0" xfId="0" applyFont="1"/>
    <xf numFmtId="0" fontId="30" fillId="7" borderId="54" xfId="0" applyFont="1" applyFill="1" applyBorder="1" applyAlignment="1">
      <alignment horizontal="center"/>
    </xf>
    <xf numFmtId="0" fontId="31" fillId="0" borderId="0" xfId="0" applyFont="1" applyAlignment="1">
      <alignment wrapText="1"/>
    </xf>
    <xf numFmtId="0" fontId="0" fillId="0" borderId="41" xfId="0" applyBorder="1" applyAlignment="1">
      <alignment horizontal="center"/>
    </xf>
    <xf numFmtId="168" fontId="0" fillId="0" borderId="0" xfId="0" applyNumberFormat="1" applyAlignment="1">
      <alignment horizontal="right"/>
    </xf>
  </cellXfs>
  <cellStyles count="19">
    <cellStyle name="Comma" xfId="1" builtinId="3"/>
    <cellStyle name="Comma 2" xfId="10" xr:uid="{F916521D-1B82-468F-8DEA-CEF8402E34E6}"/>
    <cellStyle name="Hyperlink" xfId="5" builtinId="8"/>
    <cellStyle name="Hyperlink 2" xfId="14" xr:uid="{0D308E19-F675-4467-8A1D-3201183C0CE2}"/>
    <cellStyle name="Hyperlink 6" xfId="18" xr:uid="{00000000-0005-0000-0000-000001000000}"/>
    <cellStyle name="Hyperlink 7" xfId="15" xr:uid="{81B6A505-93A0-4ED7-A5F9-B9EAB9179360}"/>
    <cellStyle name="Normal" xfId="0" builtinId="0"/>
    <cellStyle name="Normal 14" xfId="16" xr:uid="{8BA78EAE-4DDB-4201-B4E0-9ABBDF40EF5D}"/>
    <cellStyle name="Normal 2" xfId="12" xr:uid="{A67C3A8C-B9CA-4ABA-BAC2-8A9E124B5B9B}"/>
    <cellStyle name="Normal 2 2" xfId="9" xr:uid="{541DFFAC-32EE-4B94-892F-B6BDCC33CF3F}"/>
    <cellStyle name="Normal 2 3" xfId="3" xr:uid="{6D4E0F38-2F7A-4F8B-8F8B-A70051A5D1F4}"/>
    <cellStyle name="Normal 2 3 2" xfId="4" xr:uid="{22A73B71-725B-40D9-A72F-118B64EC6C00}"/>
    <cellStyle name="Normal 2 3 3" xfId="8" xr:uid="{6883977F-27A9-45E8-9D7C-6000DE790951}"/>
    <cellStyle name="Normal 3" xfId="13" xr:uid="{C3F68033-0CAD-4AB8-8B0D-AF2381C10459}"/>
    <cellStyle name="Normal 3 2" xfId="11" xr:uid="{DCE39885-ADFD-4CD9-A727-B7478E10A651}"/>
    <cellStyle name="Normal 4" xfId="17" xr:uid="{00000000-0005-0000-0000-00003F000000}"/>
    <cellStyle name="Normal 5" xfId="7" xr:uid="{E30052A7-5DF0-44E3-9CD5-6A635D47D040}"/>
    <cellStyle name="Normal 6" xfId="6" xr:uid="{D6D9E645-FB8E-4C46-8ACF-25E24EED0F18}"/>
    <cellStyle name="Percent" xfId="2" builtinId="5"/>
  </cellStyles>
  <dxfs count="0"/>
  <tableStyles count="1" defaultTableStyle="TableStyleMedium2" defaultPivotStyle="PivotStyleLight16">
    <tableStyle name="Table Style 1" pivot="0" count="1" xr9:uid="{B0B9A7A7-DE2A-40E7-8E2A-1DE250D5CA92}">
      <tableStyleElement type="firstColumnStripe" size="4"/>
    </tableStyle>
  </tableStyles>
  <colors>
    <mruColors>
      <color rgb="FFD6E9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248354</xdr:colOff>
      <xdr:row>3</xdr:row>
      <xdr:rowOff>57150</xdr:rowOff>
    </xdr:from>
    <xdr:to>
      <xdr:col>22</xdr:col>
      <xdr:colOff>284489</xdr:colOff>
      <xdr:row>15</xdr:row>
      <xdr:rowOff>151907</xdr:rowOff>
    </xdr:to>
    <xdr:pic>
      <xdr:nvPicPr>
        <xdr:cNvPr id="2" name="Picture 1">
          <a:extLst>
            <a:ext uri="{FF2B5EF4-FFF2-40B4-BE49-F238E27FC236}">
              <a16:creationId xmlns:a16="http://schemas.microsoft.com/office/drawing/2014/main" id="{B8077DD4-8CAF-4DEE-A14D-419A10BDC7FB}"/>
            </a:ext>
          </a:extLst>
        </xdr:cNvPr>
        <xdr:cNvPicPr>
          <a:picLocks noChangeAspect="1"/>
        </xdr:cNvPicPr>
      </xdr:nvPicPr>
      <xdr:blipFill>
        <a:blip xmlns:r="http://schemas.openxmlformats.org/officeDocument/2006/relationships" r:embed="rId1"/>
        <a:stretch>
          <a:fillRect/>
        </a:stretch>
      </xdr:blipFill>
      <xdr:spPr>
        <a:xfrm>
          <a:off x="7963604" y="609600"/>
          <a:ext cx="6900485" cy="267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bea.gov/help/faq/1409" TargetMode="External"/><Relationship Id="rId7" Type="http://schemas.openxmlformats.org/officeDocument/2006/relationships/hyperlink" Target="mailto:Q@" TargetMode="External"/><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mailto:Q@"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15"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bea.gov/help/faq/1407" TargetMode="External"/><Relationship Id="rId2" Type="http://schemas.openxmlformats.org/officeDocument/2006/relationships/hyperlink" Target="https://www.bea.gov/help/faq/1409" TargetMode="External"/><Relationship Id="rId1" Type="http://schemas.openxmlformats.org/officeDocument/2006/relationships/hyperlink" Target="https://www.bea.gov/help/faq/1415" TargetMode="External"/><Relationship Id="rId4" Type="http://schemas.openxmlformats.org/officeDocument/2006/relationships/hyperlink" Target="https://www.bea.gov/help/faq/121"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B7F8-DA8A-4CED-B40F-97B887A0F791}">
  <dimension ref="A1:AU60"/>
  <sheetViews>
    <sheetView tabSelected="1" workbookViewId="0">
      <selection activeCell="K9" sqref="K9"/>
    </sheetView>
  </sheetViews>
  <sheetFormatPr defaultColWidth="8.81640625" defaultRowHeight="14.5"/>
  <cols>
    <col min="1" max="1" width="24.453125" customWidth="1"/>
    <col min="2" max="9" width="8.54296875" customWidth="1"/>
    <col min="13" max="13" width="10.08984375" bestFit="1" customWidth="1"/>
  </cols>
  <sheetData>
    <row r="1" spans="1:11">
      <c r="A1" t="s">
        <v>0</v>
      </c>
    </row>
    <row r="2" spans="1:11">
      <c r="A2" t="s">
        <v>1</v>
      </c>
      <c r="K2" t="s">
        <v>2</v>
      </c>
    </row>
    <row r="3" spans="1:11">
      <c r="A3" t="s">
        <v>3</v>
      </c>
    </row>
    <row r="5" spans="1:11" ht="43.5">
      <c r="B5" s="2" t="s">
        <v>4</v>
      </c>
      <c r="C5" s="2" t="s">
        <v>5</v>
      </c>
      <c r="D5" s="2" t="s">
        <v>6</v>
      </c>
      <c r="E5" s="2" t="s">
        <v>7</v>
      </c>
      <c r="F5" s="2" t="s">
        <v>8</v>
      </c>
      <c r="H5" s="2" t="s">
        <v>9</v>
      </c>
      <c r="I5" s="2" t="s">
        <v>10</v>
      </c>
    </row>
    <row r="6" spans="1:11">
      <c r="A6" s="1" t="s">
        <v>11</v>
      </c>
      <c r="B6">
        <v>1.61</v>
      </c>
      <c r="C6">
        <v>1.1299999999999999</v>
      </c>
      <c r="D6">
        <v>1.22</v>
      </c>
      <c r="E6">
        <f>D6*C6*B6</f>
        <v>2.2195459999999998</v>
      </c>
      <c r="F6">
        <f>C6*B6</f>
        <v>1.8192999999999999</v>
      </c>
      <c r="H6">
        <v>1.61</v>
      </c>
    </row>
    <row r="7" spans="1:11">
      <c r="A7" s="1" t="s">
        <v>12</v>
      </c>
      <c r="B7">
        <v>1</v>
      </c>
      <c r="C7">
        <v>0.75</v>
      </c>
      <c r="D7">
        <v>1.55</v>
      </c>
      <c r="E7">
        <f t="shared" ref="E7:E9" si="0">D7*C7*B7</f>
        <v>1.1625000000000001</v>
      </c>
      <c r="F7">
        <f t="shared" ref="F7:F9" si="1">C7*B7</f>
        <v>0.75</v>
      </c>
      <c r="H7">
        <v>0.82</v>
      </c>
    </row>
    <row r="8" spans="1:11">
      <c r="A8" s="1" t="s">
        <v>13</v>
      </c>
      <c r="B8">
        <v>1</v>
      </c>
      <c r="C8">
        <v>0.88</v>
      </c>
      <c r="D8">
        <v>1.18</v>
      </c>
      <c r="E8">
        <f t="shared" si="0"/>
        <v>1.0384</v>
      </c>
      <c r="F8">
        <f t="shared" si="1"/>
        <v>0.88</v>
      </c>
      <c r="H8">
        <v>0.84</v>
      </c>
    </row>
    <row r="9" spans="1:11">
      <c r="A9" s="1" t="s">
        <v>14</v>
      </c>
      <c r="B9">
        <v>1</v>
      </c>
      <c r="C9">
        <v>0.81</v>
      </c>
      <c r="D9">
        <v>1.54</v>
      </c>
      <c r="E9">
        <f t="shared" si="0"/>
        <v>1.2474000000000001</v>
      </c>
      <c r="F9">
        <f t="shared" si="1"/>
        <v>0.81</v>
      </c>
      <c r="H9">
        <v>0.87</v>
      </c>
    </row>
    <row r="11" spans="1:11">
      <c r="A11" s="1" t="s">
        <v>15</v>
      </c>
      <c r="C11" t="s">
        <v>16</v>
      </c>
    </row>
    <row r="12" spans="1:11">
      <c r="A12" s="1" t="s">
        <v>17</v>
      </c>
      <c r="B12" t="s">
        <v>18</v>
      </c>
      <c r="C12">
        <v>1.06</v>
      </c>
      <c r="D12">
        <v>1.28</v>
      </c>
      <c r="E12">
        <f>D12*C12</f>
        <v>1.3568</v>
      </c>
    </row>
    <row r="13" spans="1:11">
      <c r="B13" t="s">
        <v>19</v>
      </c>
      <c r="C13">
        <v>0.82</v>
      </c>
      <c r="D13">
        <v>1</v>
      </c>
      <c r="E13">
        <f t="shared" ref="E13:E14" si="2">D13*C13</f>
        <v>0.82</v>
      </c>
    </row>
    <row r="14" spans="1:11">
      <c r="B14" t="s">
        <v>20</v>
      </c>
      <c r="C14">
        <v>1</v>
      </c>
      <c r="D14">
        <v>1</v>
      </c>
      <c r="E14">
        <f t="shared" si="2"/>
        <v>1</v>
      </c>
      <c r="F14" t="s">
        <v>21</v>
      </c>
    </row>
    <row r="15" spans="1:11">
      <c r="A15" t="s">
        <v>22</v>
      </c>
    </row>
    <row r="16" spans="1:11">
      <c r="A16" s="25" t="s">
        <v>23</v>
      </c>
      <c r="B16" s="16" t="s">
        <v>24</v>
      </c>
      <c r="C16" s="16" t="s">
        <v>25</v>
      </c>
      <c r="D16" s="16" t="s">
        <v>26</v>
      </c>
      <c r="E16" s="16" t="s">
        <v>27</v>
      </c>
      <c r="F16" s="16" t="s">
        <v>28</v>
      </c>
      <c r="G16" s="16" t="s">
        <v>29</v>
      </c>
      <c r="H16" s="16" t="s">
        <v>30</v>
      </c>
      <c r="I16" s="16" t="s">
        <v>31</v>
      </c>
    </row>
    <row r="17" spans="1:15">
      <c r="A17" s="13" t="s">
        <v>32</v>
      </c>
      <c r="B17" s="26">
        <f>B33/B25-1</f>
        <v>-1.9620325110833226E-2</v>
      </c>
      <c r="C17" s="26">
        <f t="shared" ref="C17:I17" si="3">C33/C25-1</f>
        <v>-0.12644081680416586</v>
      </c>
      <c r="D17" s="26">
        <f t="shared" si="3"/>
        <v>-0.10567215757527171</v>
      </c>
      <c r="E17" s="26">
        <f t="shared" si="3"/>
        <v>-9.7164386278009163E-2</v>
      </c>
      <c r="F17" s="26">
        <f t="shared" si="3"/>
        <v>-9.1316411737503045E-2</v>
      </c>
      <c r="G17" s="26">
        <f t="shared" si="3"/>
        <v>-8.5658851083321053E-2</v>
      </c>
      <c r="H17" s="26">
        <f t="shared" si="3"/>
        <v>-7.9009893360617478E-2</v>
      </c>
      <c r="I17" s="26">
        <f t="shared" si="3"/>
        <v>-7.7711770617343801E-2</v>
      </c>
      <c r="J17" s="33">
        <f>AVERAGE(C17:I17)</f>
        <v>-9.4710612493747445E-2</v>
      </c>
    </row>
    <row r="18" spans="1:15">
      <c r="A18" s="13" t="s">
        <v>33</v>
      </c>
      <c r="B18" s="26">
        <f t="shared" ref="B18:I22" si="4">B34/B26-1</f>
        <v>-7.6439790575916211E-3</v>
      </c>
      <c r="C18" s="26">
        <f>(C34-270*4)/C26-1</f>
        <v>5.6626024073858083E-4</v>
      </c>
      <c r="D18" s="26">
        <f t="shared" si="4"/>
        <v>-1.5175365494819792E-2</v>
      </c>
      <c r="E18" s="26">
        <f t="shared" si="4"/>
        <v>-4.864504098757394E-2</v>
      </c>
      <c r="F18" s="26">
        <f t="shared" si="4"/>
        <v>-6.7069367883152986E-2</v>
      </c>
      <c r="G18" s="26">
        <f t="shared" si="4"/>
        <v>-7.1981508971536212E-2</v>
      </c>
      <c r="H18" s="26">
        <f t="shared" si="4"/>
        <v>-7.6263281793640503E-2</v>
      </c>
      <c r="I18" s="26">
        <f t="shared" si="4"/>
        <v>-7.6742207969965892E-2</v>
      </c>
      <c r="J18" s="33">
        <f t="shared" ref="J18:J22" si="5">AVERAGE(C18:I18)</f>
        <v>-5.0758644694278675E-2</v>
      </c>
      <c r="K18" s="26" t="s">
        <v>34</v>
      </c>
    </row>
    <row r="19" spans="1:15">
      <c r="A19" s="13" t="s">
        <v>35</v>
      </c>
      <c r="B19" s="26">
        <f t="shared" si="4"/>
        <v>-5.6038486021685596E-3</v>
      </c>
      <c r="C19" s="26">
        <f t="shared" si="4"/>
        <v>-8.6904037225426278E-2</v>
      </c>
      <c r="D19" s="26">
        <f t="shared" si="4"/>
        <v>-7.8341256207770993E-2</v>
      </c>
      <c r="E19" s="26">
        <f t="shared" si="4"/>
        <v>-7.454538946201994E-2</v>
      </c>
      <c r="F19" s="26">
        <f t="shared" si="4"/>
        <v>-7.4208700268838745E-2</v>
      </c>
      <c r="G19" s="26">
        <f t="shared" si="4"/>
        <v>-7.1213903201334916E-2</v>
      </c>
      <c r="H19" s="26">
        <f t="shared" si="4"/>
        <v>-6.8570709121311468E-2</v>
      </c>
      <c r="I19" s="26">
        <f t="shared" si="4"/>
        <v>-6.8239837926998281E-2</v>
      </c>
      <c r="J19" s="33">
        <f t="shared" si="5"/>
        <v>-7.4574833344814379E-2</v>
      </c>
      <c r="K19" s="26">
        <f>1.88*J18</f>
        <v>-9.5426252025243907E-2</v>
      </c>
    </row>
    <row r="20" spans="1:15">
      <c r="A20" s="13" t="s">
        <v>36</v>
      </c>
      <c r="B20" s="26">
        <f t="shared" si="4"/>
        <v>-4.5512895320340974E-3</v>
      </c>
      <c r="C20" s="26">
        <f t="shared" si="4"/>
        <v>-0.13483211678832119</v>
      </c>
      <c r="D20" s="26">
        <f t="shared" si="4"/>
        <v>-8.9211527092535658E-2</v>
      </c>
      <c r="E20" s="26">
        <f t="shared" si="4"/>
        <v>-9.6251882611471107E-2</v>
      </c>
      <c r="F20" s="26">
        <f t="shared" si="4"/>
        <v>-0.12970150743590503</v>
      </c>
      <c r="G20" s="26">
        <f t="shared" si="4"/>
        <v>-0.12710010385681703</v>
      </c>
      <c r="H20" s="26">
        <f t="shared" si="4"/>
        <v>-0.14181869593553487</v>
      </c>
      <c r="I20" s="26">
        <f t="shared" si="4"/>
        <v>-0.1395800915543064</v>
      </c>
      <c r="J20" s="33">
        <f t="shared" si="5"/>
        <v>-0.12264227503927018</v>
      </c>
      <c r="O20" t="s">
        <v>149</v>
      </c>
    </row>
    <row r="21" spans="1:15" ht="26">
      <c r="A21" s="13" t="s">
        <v>37</v>
      </c>
      <c r="B21" s="26">
        <f t="shared" si="4"/>
        <v>-0.11810515644440345</v>
      </c>
      <c r="C21" s="26">
        <f t="shared" si="4"/>
        <v>-0.32675891814179181</v>
      </c>
      <c r="D21" s="26">
        <f t="shared" si="4"/>
        <v>-3.2881581870695453E-2</v>
      </c>
      <c r="E21" s="26">
        <f t="shared" si="4"/>
        <v>-3.4036641486498209E-2</v>
      </c>
      <c r="F21" s="26">
        <f t="shared" si="4"/>
        <v>-0.1395628979521597</v>
      </c>
      <c r="G21" s="26">
        <f t="shared" si="4"/>
        <v>-0.14807684079921279</v>
      </c>
      <c r="H21" s="26">
        <f t="shared" si="4"/>
        <v>-7.7627320729007021E-2</v>
      </c>
      <c r="I21" s="26">
        <f t="shared" si="4"/>
        <v>-7.4989438107308848E-2</v>
      </c>
      <c r="J21" s="33">
        <f t="shared" si="5"/>
        <v>-0.11913337701238198</v>
      </c>
      <c r="O21" t="s">
        <v>150</v>
      </c>
    </row>
    <row r="22" spans="1:15">
      <c r="A22" s="13" t="s">
        <v>38</v>
      </c>
      <c r="B22" s="26">
        <f t="shared" si="4"/>
        <v>-3.0856670731138514E-2</v>
      </c>
      <c r="C22" s="26">
        <f t="shared" si="4"/>
        <v>-0.14045374111929854</v>
      </c>
      <c r="D22" s="26">
        <f t="shared" si="4"/>
        <v>-7.9660165671611161E-2</v>
      </c>
      <c r="E22" s="26">
        <f t="shared" si="4"/>
        <v>-6.4138127653008081E-2</v>
      </c>
      <c r="F22" s="26">
        <f t="shared" si="4"/>
        <v>-6.5856909757426196E-2</v>
      </c>
      <c r="G22" s="26">
        <f t="shared" si="4"/>
        <v>-6.8259053964981553E-2</v>
      </c>
      <c r="H22" s="26">
        <f t="shared" si="4"/>
        <v>-7.4068023428938035E-2</v>
      </c>
      <c r="I22" s="26">
        <f t="shared" si="4"/>
        <v>-7.7155218892473232E-2</v>
      </c>
      <c r="J22" s="33">
        <f t="shared" si="5"/>
        <v>-8.1370177212533826E-2</v>
      </c>
      <c r="O22" t="s">
        <v>151</v>
      </c>
    </row>
    <row r="23" spans="1:15">
      <c r="A23" s="24" t="s">
        <v>39</v>
      </c>
      <c r="B23" s="14"/>
      <c r="C23" s="14"/>
      <c r="D23" s="14"/>
      <c r="E23" s="14"/>
      <c r="F23" s="14"/>
      <c r="G23" s="14"/>
      <c r="H23" s="14"/>
      <c r="I23" s="14"/>
    </row>
    <row r="24" spans="1:15">
      <c r="A24" s="15"/>
      <c r="B24" s="16" t="s">
        <v>24</v>
      </c>
      <c r="C24" s="16" t="s">
        <v>25</v>
      </c>
      <c r="D24" s="16" t="s">
        <v>26</v>
      </c>
      <c r="E24" s="16" t="s">
        <v>27</v>
      </c>
      <c r="F24" s="16" t="s">
        <v>28</v>
      </c>
      <c r="G24" s="16" t="s">
        <v>29</v>
      </c>
      <c r="H24" s="16" t="s">
        <v>30</v>
      </c>
      <c r="I24" s="16" t="s">
        <v>31</v>
      </c>
      <c r="J24" s="6"/>
      <c r="K24" s="6"/>
    </row>
    <row r="25" spans="1:15">
      <c r="A25" s="21" t="s">
        <v>40</v>
      </c>
      <c r="B25" s="22">
        <v>21992.5</v>
      </c>
      <c r="C25" s="22">
        <v>22218.3</v>
      </c>
      <c r="D25" s="22">
        <v>22455.3</v>
      </c>
      <c r="E25" s="22">
        <v>22693.5</v>
      </c>
      <c r="F25" s="22">
        <v>22921.4</v>
      </c>
      <c r="G25" s="22">
        <v>23141.8</v>
      </c>
      <c r="H25" s="22">
        <v>23359.1</v>
      </c>
      <c r="I25" s="22">
        <v>23583.3</v>
      </c>
      <c r="J25" s="7"/>
      <c r="K25" s="7"/>
    </row>
    <row r="26" spans="1:15">
      <c r="A26" s="21" t="s">
        <v>41</v>
      </c>
      <c r="B26" s="22">
        <v>19100</v>
      </c>
      <c r="C26" s="22">
        <v>19249.099999999999</v>
      </c>
      <c r="D26" s="22">
        <v>19439.400000000001</v>
      </c>
      <c r="E26" s="22">
        <v>19627.900000000001</v>
      </c>
      <c r="F26" s="22">
        <v>19882.400000000001</v>
      </c>
      <c r="G26" s="22">
        <v>20074.599999999999</v>
      </c>
      <c r="H26" s="22">
        <v>20262.7</v>
      </c>
      <c r="I26" s="22">
        <v>20456.8</v>
      </c>
      <c r="J26" s="7"/>
      <c r="K26" s="7"/>
      <c r="M26" s="76"/>
    </row>
    <row r="27" spans="1:15">
      <c r="A27" s="21" t="s">
        <v>35</v>
      </c>
      <c r="B27" s="22">
        <v>9582.7000000000007</v>
      </c>
      <c r="C27" s="22">
        <v>9692.2999999999993</v>
      </c>
      <c r="D27" s="22">
        <v>9810.7000000000007</v>
      </c>
      <c r="E27" s="22">
        <v>9924.7000000000007</v>
      </c>
      <c r="F27" s="22">
        <v>10035</v>
      </c>
      <c r="G27" s="22">
        <v>10142</v>
      </c>
      <c r="H27" s="22">
        <v>10245.200000000001</v>
      </c>
      <c r="I27" s="22">
        <v>10347</v>
      </c>
      <c r="J27" s="7"/>
      <c r="K27" s="7"/>
    </row>
    <row r="28" spans="1:15">
      <c r="A28" s="21" t="s">
        <v>36</v>
      </c>
      <c r="B28" s="22">
        <v>1713.8</v>
      </c>
      <c r="C28" s="22">
        <v>1712.5</v>
      </c>
      <c r="D28" s="22">
        <v>1728.1</v>
      </c>
      <c r="E28" s="22">
        <v>1745.1</v>
      </c>
      <c r="F28" s="22">
        <v>1763.3</v>
      </c>
      <c r="G28" s="22">
        <v>1779.8</v>
      </c>
      <c r="H28" s="22">
        <v>1796.1</v>
      </c>
      <c r="I28" s="22">
        <v>1816.2</v>
      </c>
      <c r="J28" s="7"/>
      <c r="K28" s="7"/>
    </row>
    <row r="29" spans="1:15">
      <c r="A29" s="21" t="s">
        <v>42</v>
      </c>
      <c r="B29" s="22">
        <v>2170.1</v>
      </c>
      <c r="C29" s="22">
        <v>2225.8000000000002</v>
      </c>
      <c r="D29" s="22">
        <v>2250.5</v>
      </c>
      <c r="E29" s="22">
        <v>2303.4</v>
      </c>
      <c r="F29" s="22">
        <v>2324.4</v>
      </c>
      <c r="G29" s="22">
        <v>2337.3000000000002</v>
      </c>
      <c r="H29" s="22">
        <v>2348.4</v>
      </c>
      <c r="I29" s="22">
        <v>2367</v>
      </c>
      <c r="J29" s="7"/>
      <c r="K29" s="7"/>
    </row>
    <row r="30" spans="1:15" s="4" customFormat="1" ht="15" customHeight="1">
      <c r="A30" s="23" t="s">
        <v>43</v>
      </c>
      <c r="B30" s="22">
        <v>15008.1</v>
      </c>
      <c r="C30" s="22">
        <v>15145.2</v>
      </c>
      <c r="D30" s="22">
        <v>15321.2</v>
      </c>
      <c r="E30" s="22">
        <v>15492.7</v>
      </c>
      <c r="F30" s="22">
        <v>15659.5</v>
      </c>
      <c r="G30" s="22">
        <v>15818.7</v>
      </c>
      <c r="H30" s="22">
        <v>15975.7</v>
      </c>
      <c r="I30" s="22">
        <v>16139</v>
      </c>
      <c r="J30" s="7"/>
      <c r="K30" s="7"/>
      <c r="L30" s="3"/>
    </row>
    <row r="31" spans="1:15" s="4" customFormat="1" ht="15" customHeight="1">
      <c r="A31" s="243" t="s">
        <v>145</v>
      </c>
      <c r="B31" s="243"/>
      <c r="C31" s="243"/>
      <c r="D31" s="243"/>
      <c r="E31" s="17"/>
      <c r="F31" s="17"/>
      <c r="G31" s="17"/>
      <c r="H31" s="17"/>
      <c r="I31" s="17"/>
      <c r="J31" s="8"/>
      <c r="K31" s="8"/>
    </row>
    <row r="32" spans="1:15" s="4" customFormat="1" ht="15" customHeight="1">
      <c r="A32" s="15"/>
      <c r="B32" s="16" t="s">
        <v>24</v>
      </c>
      <c r="C32" s="16" t="s">
        <v>25</v>
      </c>
      <c r="D32" s="16" t="s">
        <v>26</v>
      </c>
      <c r="E32" s="16" t="s">
        <v>27</v>
      </c>
      <c r="F32" s="16" t="s">
        <v>28</v>
      </c>
      <c r="G32" s="16" t="s">
        <v>29</v>
      </c>
      <c r="H32" s="16" t="s">
        <v>30</v>
      </c>
      <c r="I32" s="16" t="s">
        <v>31</v>
      </c>
      <c r="J32" s="6"/>
      <c r="K32" s="6"/>
    </row>
    <row r="33" spans="1:47" s="4" customFormat="1" ht="15" customHeight="1">
      <c r="A33" s="13" t="s">
        <v>40</v>
      </c>
      <c r="B33" s="18">
        <v>21561</v>
      </c>
      <c r="C33" s="19">
        <v>19409</v>
      </c>
      <c r="D33" s="19">
        <f>D42</f>
        <v>20082.400000000001</v>
      </c>
      <c r="E33" s="19">
        <f t="shared" ref="E33:I38" si="6">E42/D42*D33</f>
        <v>20488.5</v>
      </c>
      <c r="F33" s="19">
        <f t="shared" si="6"/>
        <v>20828.3</v>
      </c>
      <c r="G33" s="19">
        <f t="shared" si="6"/>
        <v>21159.5</v>
      </c>
      <c r="H33" s="19">
        <f t="shared" si="6"/>
        <v>21513.5</v>
      </c>
      <c r="I33" s="19">
        <f t="shared" si="6"/>
        <v>21750.599999999995</v>
      </c>
      <c r="J33" s="9"/>
      <c r="K33" s="9"/>
      <c r="M33" s="233">
        <f>L34/C26</f>
        <v>1.0005662602407386</v>
      </c>
    </row>
    <row r="34" spans="1:47" s="4" customFormat="1" ht="15" customHeight="1">
      <c r="A34" s="13" t="s">
        <v>41</v>
      </c>
      <c r="B34" s="18">
        <v>18954</v>
      </c>
      <c r="C34" s="19">
        <v>20340</v>
      </c>
      <c r="D34" s="19">
        <f>D43</f>
        <v>19144.400000000001</v>
      </c>
      <c r="E34" s="19">
        <f>E43/D43*D34</f>
        <v>18673.099999999999</v>
      </c>
      <c r="F34" s="19">
        <f t="shared" si="6"/>
        <v>18548.900000000001</v>
      </c>
      <c r="G34" s="19">
        <f t="shared" si="6"/>
        <v>18629.599999999999</v>
      </c>
      <c r="H34" s="19">
        <f t="shared" si="6"/>
        <v>18717.400000000001</v>
      </c>
      <c r="I34" s="19">
        <f t="shared" si="6"/>
        <v>18886.900000000001</v>
      </c>
      <c r="J34" s="9"/>
      <c r="K34" s="9"/>
      <c r="L34" s="77">
        <f>C34-1080</f>
        <v>19260</v>
      </c>
      <c r="M34" s="79">
        <f>D34/D26</f>
        <v>0.98482463450518021</v>
      </c>
    </row>
    <row r="35" spans="1:47" s="4" customFormat="1" ht="15" customHeight="1">
      <c r="A35" s="13" t="s">
        <v>35</v>
      </c>
      <c r="B35" s="18">
        <v>9529</v>
      </c>
      <c r="C35" s="19">
        <v>8850</v>
      </c>
      <c r="D35" s="19">
        <f>D44/C44*C35</f>
        <v>9042.1174377224215</v>
      </c>
      <c r="E35" s="19">
        <f t="shared" si="6"/>
        <v>9184.8593732062909</v>
      </c>
      <c r="F35" s="19">
        <f t="shared" si="6"/>
        <v>9290.3156928022036</v>
      </c>
      <c r="G35" s="19">
        <f t="shared" si="6"/>
        <v>9419.7485937320616</v>
      </c>
      <c r="H35" s="19">
        <f t="shared" si="6"/>
        <v>9542.6793709103404</v>
      </c>
      <c r="I35" s="19">
        <f t="shared" si="6"/>
        <v>9640.9223969693485</v>
      </c>
      <c r="J35" s="9"/>
      <c r="K35" s="9"/>
      <c r="L35" s="4">
        <f>L34/B34-1</f>
        <v>1.6144349477682729E-2</v>
      </c>
      <c r="N35" s="78"/>
    </row>
    <row r="36" spans="1:47">
      <c r="A36" s="13" t="s">
        <v>36</v>
      </c>
      <c r="B36" s="27">
        <v>1706</v>
      </c>
      <c r="C36" s="27">
        <v>1481.6</v>
      </c>
      <c r="D36" s="19">
        <f>D45/C45*C36</f>
        <v>1573.9335600313891</v>
      </c>
      <c r="E36" s="19">
        <f t="shared" ref="E36:I36" si="7">E45/D45*D36</f>
        <v>1577.1308396547217</v>
      </c>
      <c r="F36" s="19">
        <f t="shared" si="7"/>
        <v>1534.5973319382686</v>
      </c>
      <c r="G36" s="19">
        <f t="shared" si="7"/>
        <v>1553.587235155637</v>
      </c>
      <c r="H36" s="19">
        <f t="shared" si="7"/>
        <v>1541.3794402301858</v>
      </c>
      <c r="I36" s="19">
        <f t="shared" si="7"/>
        <v>1562.6946377190689</v>
      </c>
      <c r="J36" s="7"/>
      <c r="K36" s="7"/>
    </row>
    <row r="37" spans="1:47" s="4" customFormat="1" ht="26.15" customHeight="1">
      <c r="A37" s="13" t="s">
        <v>44</v>
      </c>
      <c r="B37" s="18">
        <v>1913.8</v>
      </c>
      <c r="C37" s="19">
        <v>1498.5</v>
      </c>
      <c r="D37" s="19">
        <f>D46</f>
        <v>2176.5</v>
      </c>
      <c r="E37" s="19">
        <f t="shared" ref="E37:K37" si="8">E46</f>
        <v>2225</v>
      </c>
      <c r="F37" s="19">
        <f t="shared" si="8"/>
        <v>2000</v>
      </c>
      <c r="G37" s="19">
        <f t="shared" si="8"/>
        <v>1991.2</v>
      </c>
      <c r="H37" s="19">
        <f t="shared" si="8"/>
        <v>2166.1</v>
      </c>
      <c r="I37" s="19">
        <f t="shared" si="8"/>
        <v>2189.5</v>
      </c>
      <c r="J37" s="19">
        <f t="shared" si="8"/>
        <v>0</v>
      </c>
      <c r="K37" s="19">
        <f t="shared" si="8"/>
        <v>0</v>
      </c>
      <c r="M37" s="4" t="s">
        <v>146</v>
      </c>
    </row>
    <row r="38" spans="1:47" s="4" customFormat="1" ht="15" customHeight="1">
      <c r="A38" s="13" t="s">
        <v>43</v>
      </c>
      <c r="B38" s="18">
        <v>14545</v>
      </c>
      <c r="C38" s="19">
        <v>13018</v>
      </c>
      <c r="D38" s="19">
        <f>D47/C47*C38</f>
        <v>14100.710669712113</v>
      </c>
      <c r="E38" s="19">
        <f t="shared" si="6"/>
        <v>14499.027229710242</v>
      </c>
      <c r="F38" s="19">
        <f t="shared" si="6"/>
        <v>14628.213721653585</v>
      </c>
      <c r="G38" s="19">
        <f t="shared" si="6"/>
        <v>14738.930503044146</v>
      </c>
      <c r="H38" s="19">
        <f t="shared" si="6"/>
        <v>14792.411478106314</v>
      </c>
      <c r="I38" s="19">
        <f t="shared" si="6"/>
        <v>14893.791922294375</v>
      </c>
      <c r="J38" s="9"/>
      <c r="K38" s="9"/>
    </row>
    <row r="39" spans="1:47">
      <c r="A39" s="14"/>
      <c r="B39" s="14"/>
      <c r="C39" s="14"/>
      <c r="D39" s="14"/>
      <c r="E39" s="14"/>
      <c r="F39" s="14"/>
      <c r="G39" s="14"/>
      <c r="H39" s="14"/>
      <c r="I39" s="14"/>
    </row>
    <row r="40" spans="1:47">
      <c r="A40" s="243" t="s">
        <v>486</v>
      </c>
      <c r="B40" s="243"/>
      <c r="C40" s="243"/>
      <c r="D40" s="243"/>
      <c r="E40" s="17"/>
      <c r="F40" s="17"/>
      <c r="G40" s="17"/>
      <c r="H40" s="17"/>
      <c r="I40" s="17"/>
      <c r="J40" s="8"/>
      <c r="K40" s="8"/>
    </row>
    <row r="41" spans="1:47">
      <c r="A41" s="15"/>
      <c r="B41" s="16" t="s">
        <v>24</v>
      </c>
      <c r="C41" s="16" t="s">
        <v>25</v>
      </c>
      <c r="D41" s="16" t="s">
        <v>26</v>
      </c>
      <c r="E41" s="16" t="s">
        <v>27</v>
      </c>
      <c r="F41" s="16" t="s">
        <v>28</v>
      </c>
      <c r="G41" s="16" t="s">
        <v>29</v>
      </c>
      <c r="H41" s="16" t="s">
        <v>30</v>
      </c>
      <c r="I41" s="16" t="s">
        <v>31</v>
      </c>
      <c r="J41" s="6"/>
      <c r="K41" s="6"/>
    </row>
    <row r="42" spans="1:47" s="4" customFormat="1" ht="15" customHeight="1">
      <c r="A42" s="13" t="s">
        <v>40</v>
      </c>
      <c r="B42" s="235">
        <v>21539.7</v>
      </c>
      <c r="C42" s="234">
        <v>19245.8</v>
      </c>
      <c r="D42" s="234">
        <v>20082.400000000001</v>
      </c>
      <c r="E42" s="234">
        <v>20488.5</v>
      </c>
      <c r="F42" s="234">
        <v>20828.3</v>
      </c>
      <c r="G42" s="234">
        <v>21159.5</v>
      </c>
      <c r="H42" s="234">
        <v>21513.5</v>
      </c>
      <c r="I42" s="234">
        <v>21750.6</v>
      </c>
      <c r="J42" s="9"/>
      <c r="K42" s="9"/>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row>
    <row r="43" spans="1:47" s="4" customFormat="1" ht="15" customHeight="1">
      <c r="A43" s="13" t="s">
        <v>41</v>
      </c>
      <c r="B43" s="237">
        <v>18942.2</v>
      </c>
      <c r="C43" s="236">
        <v>20073.599999999999</v>
      </c>
      <c r="D43" s="236">
        <v>19144.400000000001</v>
      </c>
      <c r="E43" s="236">
        <v>18673.099999999999</v>
      </c>
      <c r="F43" s="236">
        <v>18548.900000000001</v>
      </c>
      <c r="G43" s="236">
        <v>18629.599999999999</v>
      </c>
      <c r="H43" s="236">
        <v>18717.400000000001</v>
      </c>
      <c r="I43" s="236">
        <v>18886.900000000001</v>
      </c>
      <c r="J43" s="9"/>
      <c r="K43" s="9"/>
      <c r="O43" s="77">
        <f>C43-1300</f>
        <v>18773.599999999999</v>
      </c>
      <c r="P43" s="4">
        <f>O43*1.05</f>
        <v>19712.28</v>
      </c>
    </row>
    <row r="44" spans="1:47" s="10" customFormat="1" ht="15" customHeight="1">
      <c r="A44" s="13" t="s">
        <v>35</v>
      </c>
      <c r="B44" s="239">
        <v>9421</v>
      </c>
      <c r="C44" s="238">
        <v>8711</v>
      </c>
      <c r="D44" s="238">
        <v>8900.1</v>
      </c>
      <c r="E44" s="238">
        <v>9040.6</v>
      </c>
      <c r="F44" s="238">
        <v>9144.4</v>
      </c>
      <c r="G44" s="238">
        <v>9271.7999999999993</v>
      </c>
      <c r="H44" s="238">
        <v>9392.7999999999993</v>
      </c>
      <c r="I44" s="238">
        <v>9489.5</v>
      </c>
      <c r="J44" s="9"/>
      <c r="K44" s="9"/>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row>
    <row r="45" spans="1:47" s="10" customFormat="1" ht="15" customHeight="1">
      <c r="A45" s="13" t="s">
        <v>36</v>
      </c>
      <c r="B45" s="240">
        <v>1699.6</v>
      </c>
      <c r="C45" s="240">
        <v>1529.1999999999998</v>
      </c>
      <c r="D45" s="240">
        <v>1624.5</v>
      </c>
      <c r="E45" s="240">
        <v>1627.8000000000002</v>
      </c>
      <c r="F45" s="240">
        <v>1583.9</v>
      </c>
      <c r="G45" s="240">
        <v>1603.5</v>
      </c>
      <c r="H45" s="240">
        <v>1590.9</v>
      </c>
      <c r="I45" s="240">
        <v>1612.9</v>
      </c>
      <c r="J45" s="7"/>
      <c r="K45" s="7"/>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row>
    <row r="46" spans="1:47" s="10" customFormat="1" ht="15" customHeight="1">
      <c r="A46" s="13" t="s">
        <v>485</v>
      </c>
      <c r="B46" s="242">
        <v>1868.2</v>
      </c>
      <c r="C46" s="241">
        <v>1751.9</v>
      </c>
      <c r="D46" s="241">
        <v>2176.5</v>
      </c>
      <c r="E46" s="241">
        <v>2225</v>
      </c>
      <c r="F46" s="241">
        <v>2000</v>
      </c>
      <c r="G46" s="241">
        <v>1991.2</v>
      </c>
      <c r="H46" s="241">
        <v>2166.1</v>
      </c>
      <c r="I46" s="241">
        <v>2189.5</v>
      </c>
      <c r="J46" s="9"/>
      <c r="K46" s="9"/>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row>
    <row r="47" spans="1:47" s="10" customFormat="1" ht="15" customHeight="1">
      <c r="A47" s="13" t="s">
        <v>43</v>
      </c>
      <c r="B47" s="18">
        <v>14555.8</v>
      </c>
      <c r="C47" s="19">
        <v>12827.9</v>
      </c>
      <c r="D47" s="19">
        <v>13894.8</v>
      </c>
      <c r="E47" s="19">
        <v>14287.3</v>
      </c>
      <c r="F47" s="19">
        <v>14414.6</v>
      </c>
      <c r="G47" s="19">
        <v>14523.7</v>
      </c>
      <c r="H47" s="19">
        <v>14576.4</v>
      </c>
      <c r="I47" s="19">
        <v>14676.3</v>
      </c>
      <c r="J47" s="9"/>
      <c r="K47" s="9"/>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row>
    <row r="48" spans="1:47" s="10" customFormat="1" ht="15" customHeight="1">
      <c r="A48" s="2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row>
    <row r="49" spans="1:47" s="12" customFormat="1" ht="15" customHeight="1">
      <c r="A49" s="23"/>
      <c r="B49" s="22"/>
      <c r="C49" s="22"/>
      <c r="D49" s="22"/>
      <c r="E49" s="22"/>
      <c r="F49" s="22"/>
      <c r="G49" s="22"/>
      <c r="H49" s="22"/>
      <c r="I49" s="22"/>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row>
    <row r="50" spans="1:47">
      <c r="C50" s="30">
        <f>(C42/B42)^4-1</f>
        <v>-0.36263931284052275</v>
      </c>
      <c r="D50" s="30">
        <f t="shared" ref="D50:I50" si="9">(D42/C42)^4-1</f>
        <v>0.18554646232643179</v>
      </c>
      <c r="E50" s="30">
        <f t="shared" si="9"/>
        <v>8.337348941715006E-2</v>
      </c>
      <c r="F50" s="30">
        <f t="shared" si="9"/>
        <v>6.8008333084757178E-2</v>
      </c>
      <c r="G50" s="30">
        <f t="shared" si="9"/>
        <v>6.5139049285491302E-2</v>
      </c>
      <c r="H50" s="30">
        <f t="shared" si="9"/>
        <v>6.8618477119561927E-2</v>
      </c>
      <c r="I50" s="30">
        <f t="shared" si="9"/>
        <v>4.4818089476220901E-2</v>
      </c>
    </row>
    <row r="51" spans="1:47">
      <c r="C51" s="30">
        <f t="shared" ref="C51:I54" si="10">(C43/B43)^4-1</f>
        <v>0.26118672948521438</v>
      </c>
      <c r="D51" s="30">
        <f t="shared" si="10"/>
        <v>-0.17269437785205211</v>
      </c>
      <c r="E51" s="30">
        <f t="shared" si="10"/>
        <v>-9.4895648547622335E-2</v>
      </c>
      <c r="F51" s="30">
        <f t="shared" si="10"/>
        <v>-2.634085440820666E-2</v>
      </c>
      <c r="G51" s="30">
        <f t="shared" si="10"/>
        <v>1.751654854876139E-2</v>
      </c>
      <c r="H51" s="30">
        <f t="shared" si="10"/>
        <v>1.8985409318861501E-2</v>
      </c>
      <c r="I51" s="30">
        <f t="shared" si="10"/>
        <v>3.671799602932091E-2</v>
      </c>
    </row>
    <row r="52" spans="1:47">
      <c r="C52" s="30">
        <f t="shared" si="10"/>
        <v>-0.26905611063940882</v>
      </c>
      <c r="D52" s="30">
        <f t="shared" si="10"/>
        <v>8.9701353596090883E-2</v>
      </c>
      <c r="E52" s="30">
        <f t="shared" si="10"/>
        <v>6.4656407467972743E-2</v>
      </c>
      <c r="F52" s="30">
        <f t="shared" si="10"/>
        <v>4.6723181375080136E-2</v>
      </c>
      <c r="G52" s="30">
        <f t="shared" si="10"/>
        <v>5.6903558206102156E-2</v>
      </c>
      <c r="H52" s="30">
        <f t="shared" si="10"/>
        <v>5.3232083860321522E-2</v>
      </c>
      <c r="I52" s="30">
        <f t="shared" si="10"/>
        <v>4.1820791529808554E-2</v>
      </c>
    </row>
    <row r="53" spans="1:47">
      <c r="C53" s="30">
        <f t="shared" si="10"/>
        <v>-0.34465458137659466</v>
      </c>
      <c r="D53" s="30">
        <f t="shared" si="10"/>
        <v>0.27356673023219935</v>
      </c>
      <c r="E53" s="30">
        <f t="shared" si="10"/>
        <v>8.1503700245857402E-3</v>
      </c>
      <c r="F53" s="30">
        <f t="shared" si="10"/>
        <v>-0.10358965749487181</v>
      </c>
      <c r="G53" s="30">
        <f t="shared" si="10"/>
        <v>5.0424449660583237E-2</v>
      </c>
      <c r="H53" s="30">
        <f t="shared" si="10"/>
        <v>-3.1062709903336372E-2</v>
      </c>
      <c r="I53" s="30">
        <f t="shared" si="10"/>
        <v>5.6472605705080392E-2</v>
      </c>
    </row>
    <row r="54" spans="1:47">
      <c r="C54" s="30">
        <f t="shared" si="10"/>
        <v>-0.22670753300396773</v>
      </c>
      <c r="D54" s="30">
        <f t="shared" si="10"/>
        <v>1.3823054016692722</v>
      </c>
      <c r="E54" s="30">
        <f t="shared" si="10"/>
        <v>9.2157758557688263E-2</v>
      </c>
      <c r="F54" s="30">
        <f t="shared" si="10"/>
        <v>-0.34717027401045508</v>
      </c>
      <c r="G54" s="30">
        <f t="shared" si="10"/>
        <v>-1.7484180361190149E-2</v>
      </c>
      <c r="H54" s="30">
        <f t="shared" si="10"/>
        <v>0.40040765163261138</v>
      </c>
      <c r="I54" s="30">
        <f t="shared" si="10"/>
        <v>4.3916564053868568E-2</v>
      </c>
    </row>
    <row r="60" spans="1:47">
      <c r="L60">
        <f>2.1/11.6</f>
        <v>0.18103448275862069</v>
      </c>
    </row>
  </sheetData>
  <mergeCells count="2">
    <mergeCell ref="A31:D31"/>
    <mergeCell ref="A40:D4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63760-5634-4946-A079-DCDDEB160E1F}">
  <dimension ref="A1:T67"/>
  <sheetViews>
    <sheetView topLeftCell="A21" workbookViewId="0">
      <selection activeCell="G51" sqref="G51"/>
    </sheetView>
  </sheetViews>
  <sheetFormatPr defaultColWidth="8.81640625" defaultRowHeight="14.5"/>
  <cols>
    <col min="1" max="1" width="10.453125" customWidth="1"/>
    <col min="3" max="10" width="9.453125" bestFit="1" customWidth="1"/>
    <col min="11" max="11" width="9.453125" customWidth="1"/>
  </cols>
  <sheetData>
    <row r="1" spans="1:14">
      <c r="A1" s="34" t="s">
        <v>46</v>
      </c>
      <c r="B1" t="s">
        <v>47</v>
      </c>
      <c r="M1" t="s">
        <v>484</v>
      </c>
    </row>
    <row r="2" spans="1:14">
      <c r="C2" s="16" t="s">
        <v>24</v>
      </c>
      <c r="D2" s="16" t="s">
        <v>25</v>
      </c>
      <c r="E2" s="16" t="s">
        <v>26</v>
      </c>
      <c r="F2" s="16" t="s">
        <v>27</v>
      </c>
      <c r="G2" s="16" t="s">
        <v>28</v>
      </c>
      <c r="H2" s="16" t="s">
        <v>29</v>
      </c>
      <c r="I2" s="16" t="s">
        <v>30</v>
      </c>
      <c r="J2" s="16" t="s">
        <v>31</v>
      </c>
      <c r="K2" s="63"/>
      <c r="M2" s="50" t="s">
        <v>48</v>
      </c>
    </row>
    <row r="3" spans="1:14">
      <c r="A3" t="s">
        <v>49</v>
      </c>
      <c r="M3" s="49">
        <v>161185</v>
      </c>
      <c r="N3" s="49">
        <v>177291</v>
      </c>
    </row>
    <row r="4" spans="1:14">
      <c r="A4" s="1" t="s">
        <v>50</v>
      </c>
      <c r="C4" s="29">
        <v>3354.0414840202702</v>
      </c>
      <c r="D4" s="29">
        <v>3396.6829680405399</v>
      </c>
      <c r="E4" s="29">
        <v>3439.32445206081</v>
      </c>
      <c r="F4" s="29">
        <v>3478.8436223346598</v>
      </c>
      <c r="G4" s="29">
        <v>3518.3627926085101</v>
      </c>
      <c r="H4" s="29">
        <v>3557.8819628823699</v>
      </c>
      <c r="I4" s="29">
        <v>3597.4011331562201</v>
      </c>
      <c r="J4" s="29">
        <v>3636.21038762539</v>
      </c>
      <c r="K4" s="29"/>
      <c r="M4" t="s">
        <v>51</v>
      </c>
    </row>
    <row r="5" spans="1:14">
      <c r="A5" s="1" t="s">
        <v>52</v>
      </c>
      <c r="C5" s="29">
        <v>148.882553191489</v>
      </c>
      <c r="D5" s="29">
        <v>157.065106382979</v>
      </c>
      <c r="E5" s="29">
        <v>165.247659574468</v>
      </c>
      <c r="F5" s="29">
        <v>167.317350016451</v>
      </c>
      <c r="G5" s="29">
        <v>169.387040458434</v>
      </c>
      <c r="H5" s="29">
        <v>171.456730900417</v>
      </c>
      <c r="I5" s="29">
        <v>173.5264213424</v>
      </c>
      <c r="J5" s="29">
        <v>179.12250596424701</v>
      </c>
      <c r="K5" s="29"/>
    </row>
    <row r="6" spans="1:14">
      <c r="A6" s="1" t="s">
        <v>53</v>
      </c>
      <c r="C6" s="29">
        <f>0.1*C13</f>
        <v>172.34000000000003</v>
      </c>
      <c r="D6" s="29">
        <f t="shared" ref="D6:J6" si="0">0.1*D13</f>
        <v>174.53103830142402</v>
      </c>
      <c r="E6" s="29">
        <f t="shared" si="0"/>
        <v>176.72207660284801</v>
      </c>
      <c r="F6" s="29">
        <f t="shared" si="0"/>
        <v>178.75268172131291</v>
      </c>
      <c r="G6" s="29">
        <f t="shared" si="0"/>
        <v>180.78328683977787</v>
      </c>
      <c r="H6" s="29">
        <f t="shared" si="0"/>
        <v>182.81389195824332</v>
      </c>
      <c r="I6" s="29">
        <f t="shared" si="0"/>
        <v>184.84449707670828</v>
      </c>
      <c r="J6" s="29">
        <f t="shared" si="0"/>
        <v>186.83862474241616</v>
      </c>
      <c r="K6" s="29"/>
    </row>
    <row r="7" spans="1:14">
      <c r="A7" t="s">
        <v>54</v>
      </c>
      <c r="C7" s="29"/>
      <c r="D7" s="29"/>
      <c r="E7" s="29"/>
      <c r="F7" s="29"/>
      <c r="G7" s="29"/>
      <c r="H7" s="29"/>
      <c r="I7" s="29"/>
      <c r="J7" s="29"/>
      <c r="K7" s="29"/>
      <c r="M7">
        <f>M3/C13/1000</f>
        <v>9.3527329697110362E-2</v>
      </c>
    </row>
    <row r="8" spans="1:14">
      <c r="A8" s="1" t="s">
        <v>50</v>
      </c>
      <c r="C8" s="29">
        <v>1861.0343485687499</v>
      </c>
      <c r="D8" s="29">
        <v>1880.14184230102</v>
      </c>
      <c r="E8" s="29">
        <v>1900.1970948012199</v>
      </c>
      <c r="F8" s="29">
        <v>1920.3538928837099</v>
      </c>
      <c r="G8" s="29">
        <v>1939.63909138496</v>
      </c>
      <c r="H8" s="29">
        <v>1958.28962999697</v>
      </c>
      <c r="I8" s="29">
        <v>1976.67784252142</v>
      </c>
      <c r="J8" s="29">
        <v>1995.6499421439801</v>
      </c>
      <c r="K8" s="29"/>
      <c r="M8" s="51">
        <v>0.1</v>
      </c>
    </row>
    <row r="9" spans="1:14">
      <c r="A9" s="1" t="s">
        <v>52</v>
      </c>
      <c r="C9" s="29">
        <v>70.183888016456805</v>
      </c>
      <c r="D9" s="29">
        <v>70.904475576493894</v>
      </c>
      <c r="E9" s="29">
        <v>71.660805300713506</v>
      </c>
      <c r="F9" s="29">
        <v>72.420964542524203</v>
      </c>
      <c r="G9" s="29">
        <v>73.148253758345504</v>
      </c>
      <c r="H9" s="29">
        <v>73.851608489223096</v>
      </c>
      <c r="I9" s="29">
        <v>74.545070299657397</v>
      </c>
      <c r="J9" s="29">
        <v>75.260551836239898</v>
      </c>
      <c r="K9" s="29"/>
    </row>
    <row r="10" spans="1:14">
      <c r="A10" s="1" t="s">
        <v>55</v>
      </c>
      <c r="E10" t="s">
        <v>56</v>
      </c>
    </row>
    <row r="11" spans="1:14">
      <c r="A11" t="s">
        <v>57</v>
      </c>
    </row>
    <row r="12" spans="1:14">
      <c r="A12" t="s">
        <v>49</v>
      </c>
    </row>
    <row r="13" spans="1:14">
      <c r="A13" s="1" t="s">
        <v>58</v>
      </c>
      <c r="C13" s="29">
        <v>1723.4</v>
      </c>
      <c r="D13" s="29">
        <f t="shared" ref="D13:J13" si="1">$C13/$C4*D4</f>
        <v>1745.31038301424</v>
      </c>
      <c r="E13" s="29">
        <f t="shared" si="1"/>
        <v>1767.2207660284798</v>
      </c>
      <c r="F13" s="29">
        <f t="shared" si="1"/>
        <v>1787.5268172131291</v>
      </c>
      <c r="G13" s="29">
        <f t="shared" si="1"/>
        <v>1807.8328683977786</v>
      </c>
      <c r="H13" s="29">
        <f t="shared" si="1"/>
        <v>1828.1389195824331</v>
      </c>
      <c r="I13" s="29">
        <f t="shared" si="1"/>
        <v>1848.4449707670826</v>
      </c>
      <c r="J13" s="29">
        <f t="shared" si="1"/>
        <v>1868.3862474241614</v>
      </c>
      <c r="K13" s="29"/>
    </row>
    <row r="14" spans="1:14">
      <c r="A14" s="1" t="s">
        <v>59</v>
      </c>
      <c r="C14" s="29">
        <v>1431.5</v>
      </c>
      <c r="D14" s="29">
        <f t="shared" ref="D14:J14" si="2">$C14/$C4*D4</f>
        <v>1449.6993230154833</v>
      </c>
      <c r="E14" s="29">
        <f t="shared" si="2"/>
        <v>1467.8986460309668</v>
      </c>
      <c r="F14" s="29">
        <f t="shared" si="2"/>
        <v>1484.7653701059496</v>
      </c>
      <c r="G14" s="29">
        <f t="shared" si="2"/>
        <v>1501.6320941809329</v>
      </c>
      <c r="H14" s="29">
        <f t="shared" si="2"/>
        <v>1518.49881825592</v>
      </c>
      <c r="I14" s="29">
        <f t="shared" si="2"/>
        <v>1535.3655423309031</v>
      </c>
      <c r="J14" s="29">
        <f t="shared" si="2"/>
        <v>1551.9292753787204</v>
      </c>
      <c r="K14" s="29"/>
      <c r="L14" s="31"/>
    </row>
    <row r="15" spans="1:14">
      <c r="A15" s="1" t="s">
        <v>52</v>
      </c>
      <c r="C15" s="35">
        <f>C5</f>
        <v>148.882553191489</v>
      </c>
      <c r="D15" s="29">
        <f>D5</f>
        <v>157.065106382979</v>
      </c>
      <c r="E15" s="29">
        <f t="shared" ref="E15:J15" si="3">E5</f>
        <v>165.247659574468</v>
      </c>
      <c r="F15" s="29">
        <f t="shared" si="3"/>
        <v>167.317350016451</v>
      </c>
      <c r="G15" s="29">
        <f t="shared" si="3"/>
        <v>169.387040458434</v>
      </c>
      <c r="H15" s="29">
        <f t="shared" si="3"/>
        <v>171.456730900417</v>
      </c>
      <c r="I15" s="29">
        <f t="shared" si="3"/>
        <v>173.5264213424</v>
      </c>
      <c r="J15" s="29">
        <f t="shared" si="3"/>
        <v>179.12250596424701</v>
      </c>
      <c r="K15" s="29"/>
    </row>
    <row r="16" spans="1:14" ht="14.15" customHeight="1">
      <c r="A16" s="1" t="s">
        <v>60</v>
      </c>
      <c r="C16" s="29">
        <v>181.5</v>
      </c>
      <c r="D16" s="29">
        <f t="shared" ref="D16:J16" si="4">$C16/$C4*D4</f>
        <v>183.80749362718143</v>
      </c>
      <c r="E16" s="29">
        <f t="shared" si="4"/>
        <v>186.11498725436289</v>
      </c>
      <c r="F16" s="29">
        <f t="shared" si="4"/>
        <v>188.25352055482352</v>
      </c>
      <c r="G16" s="29">
        <f t="shared" si="4"/>
        <v>190.39205385528419</v>
      </c>
      <c r="H16" s="29">
        <f t="shared" si="4"/>
        <v>192.53058715574537</v>
      </c>
      <c r="I16" s="29">
        <f t="shared" si="4"/>
        <v>194.669120456206</v>
      </c>
      <c r="J16" s="29">
        <f t="shared" si="4"/>
        <v>196.76923749999145</v>
      </c>
      <c r="K16" s="29"/>
    </row>
    <row r="17" spans="1:20">
      <c r="A17" s="1" t="s">
        <v>53</v>
      </c>
      <c r="C17" s="29">
        <f>C6</f>
        <v>172.34000000000003</v>
      </c>
      <c r="D17" s="29">
        <f t="shared" ref="D17:J17" si="5">D6</f>
        <v>174.53103830142402</v>
      </c>
      <c r="E17" s="29">
        <f t="shared" si="5"/>
        <v>176.72207660284801</v>
      </c>
      <c r="F17" s="29">
        <f t="shared" si="5"/>
        <v>178.75268172131291</v>
      </c>
      <c r="G17" s="29">
        <f t="shared" si="5"/>
        <v>180.78328683977787</v>
      </c>
      <c r="H17" s="29">
        <f t="shared" si="5"/>
        <v>182.81389195824332</v>
      </c>
      <c r="I17" s="29">
        <f t="shared" si="5"/>
        <v>184.84449707670828</v>
      </c>
      <c r="J17" s="29">
        <f t="shared" si="5"/>
        <v>186.83862474241616</v>
      </c>
      <c r="K17" s="29"/>
      <c r="L17" s="29">
        <f>0.8*0.3</f>
        <v>0.24</v>
      </c>
    </row>
    <row r="18" spans="1:20">
      <c r="A18" s="38" t="s">
        <v>61</v>
      </c>
      <c r="B18" s="71"/>
      <c r="C18" s="29">
        <f>SUM(C13:C16)</f>
        <v>3485.2825531914891</v>
      </c>
      <c r="D18" s="29">
        <f t="shared" ref="D18:J18" si="6">SUM(D13:D16)</f>
        <v>3535.8823060398836</v>
      </c>
      <c r="E18" s="29">
        <f t="shared" si="6"/>
        <v>3586.4820588882772</v>
      </c>
      <c r="F18" s="29">
        <f t="shared" si="6"/>
        <v>3627.8630578903535</v>
      </c>
      <c r="G18" s="29">
        <f t="shared" si="6"/>
        <v>3669.2440568924299</v>
      </c>
      <c r="H18" s="29">
        <f t="shared" si="6"/>
        <v>3710.6250558945153</v>
      </c>
      <c r="I18" s="29">
        <f t="shared" si="6"/>
        <v>3752.0060548965916</v>
      </c>
      <c r="J18" s="29">
        <f t="shared" si="6"/>
        <v>3796.2072662671203</v>
      </c>
      <c r="K18" s="29"/>
      <c r="L18" s="28">
        <f>1-L17</f>
        <v>0.76</v>
      </c>
    </row>
    <row r="19" spans="1:20">
      <c r="A19" s="38"/>
      <c r="B19" s="71"/>
      <c r="C19" s="29"/>
      <c r="D19" s="29"/>
      <c r="E19" s="29"/>
      <c r="F19" s="29"/>
      <c r="G19" s="29"/>
      <c r="H19" s="29"/>
      <c r="I19" s="29"/>
      <c r="J19" s="29"/>
      <c r="K19" s="29"/>
      <c r="L19">
        <f>L18*D5</f>
        <v>119.36948085106404</v>
      </c>
    </row>
    <row r="20" spans="1:20">
      <c r="A20" t="s">
        <v>62</v>
      </c>
      <c r="C20" s="29"/>
      <c r="D20" s="29"/>
      <c r="E20" s="29"/>
      <c r="F20" s="29"/>
      <c r="G20" s="29"/>
      <c r="H20" s="29"/>
      <c r="I20" s="29"/>
      <c r="J20" s="29"/>
      <c r="K20" s="29"/>
    </row>
    <row r="21" spans="1:20">
      <c r="A21" s="1" t="s">
        <v>58</v>
      </c>
      <c r="C21" s="36">
        <v>490.7</v>
      </c>
      <c r="D21" s="35">
        <f>$C21/$C8*D8</f>
        <v>495.73808389223751</v>
      </c>
      <c r="E21" s="35">
        <f t="shared" ref="E21:J21" si="7">$C21/$C8*E8</f>
        <v>501.02606388541523</v>
      </c>
      <c r="F21" s="35">
        <f t="shared" si="7"/>
        <v>506.34081846083973</v>
      </c>
      <c r="G21" s="35">
        <f t="shared" si="7"/>
        <v>511.42575787200167</v>
      </c>
      <c r="H21" s="35">
        <f t="shared" si="7"/>
        <v>516.3433561441409</v>
      </c>
      <c r="I21" s="35">
        <f t="shared" si="7"/>
        <v>521.19178674548198</v>
      </c>
      <c r="J21" s="35">
        <f t="shared" si="7"/>
        <v>526.19417119472644</v>
      </c>
      <c r="K21" s="35"/>
    </row>
    <row r="22" spans="1:20">
      <c r="A22" s="1" t="s">
        <v>59</v>
      </c>
      <c r="C22" s="36">
        <v>23.4</v>
      </c>
      <c r="D22" s="35">
        <f>$C22/$C8*D8</f>
        <v>23.64025099465734</v>
      </c>
      <c r="E22" s="35">
        <f t="shared" ref="E22:J22" si="8">$C22/$C8*E8</f>
        <v>23.892418779129233</v>
      </c>
      <c r="F22" s="35">
        <f t="shared" si="8"/>
        <v>24.145863362509981</v>
      </c>
      <c r="G22" s="35">
        <f t="shared" si="8"/>
        <v>24.388348755257464</v>
      </c>
      <c r="H22" s="35">
        <f t="shared" si="8"/>
        <v>24.622854154825546</v>
      </c>
      <c r="I22" s="35">
        <f t="shared" si="8"/>
        <v>24.854061157212708</v>
      </c>
      <c r="J22" s="35">
        <f t="shared" si="8"/>
        <v>25.092609753325043</v>
      </c>
      <c r="K22" s="35"/>
    </row>
    <row r="23" spans="1:20">
      <c r="A23" s="1" t="s">
        <v>52</v>
      </c>
      <c r="C23" s="37">
        <v>65.2</v>
      </c>
      <c r="D23" s="35">
        <f>D9</f>
        <v>70.904475576493894</v>
      </c>
      <c r="E23" s="35">
        <f t="shared" ref="E23:J23" si="9">E9</f>
        <v>71.660805300713506</v>
      </c>
      <c r="F23" s="35">
        <f t="shared" si="9"/>
        <v>72.420964542524203</v>
      </c>
      <c r="G23" s="35">
        <f t="shared" si="9"/>
        <v>73.148253758345504</v>
      </c>
      <c r="H23" s="35">
        <f t="shared" si="9"/>
        <v>73.851608489223096</v>
      </c>
      <c r="I23" s="35">
        <f t="shared" si="9"/>
        <v>74.545070299657397</v>
      </c>
      <c r="J23" s="35">
        <f t="shared" si="9"/>
        <v>75.260551836239898</v>
      </c>
      <c r="K23" s="35"/>
    </row>
    <row r="24" spans="1:20">
      <c r="A24" s="1" t="s">
        <v>60</v>
      </c>
      <c r="C24" s="36">
        <v>1355.3</v>
      </c>
      <c r="D24" s="35">
        <f>$C24/$C8*D8</f>
        <v>1369.2150501307306</v>
      </c>
      <c r="E24" s="35">
        <f t="shared" ref="E24:J24" si="10">$C24/$C8*E8</f>
        <v>1383.8203064681134</v>
      </c>
      <c r="F24" s="35">
        <f t="shared" si="10"/>
        <v>1398.4995134705034</v>
      </c>
      <c r="G24" s="35">
        <f t="shared" si="10"/>
        <v>1412.5439772649763</v>
      </c>
      <c r="H24" s="35">
        <f t="shared" si="10"/>
        <v>1426.1262494032078</v>
      </c>
      <c r="I24" s="35">
        <f t="shared" si="10"/>
        <v>1439.5174823235207</v>
      </c>
      <c r="J24" s="35">
        <f t="shared" si="10"/>
        <v>1453.3339315675826</v>
      </c>
      <c r="K24" s="35"/>
    </row>
    <row r="25" spans="1:20">
      <c r="A25" t="s">
        <v>63</v>
      </c>
      <c r="C25" s="37">
        <f t="shared" ref="C25:J25" si="11">SUM(C21:C24)</f>
        <v>1934.6</v>
      </c>
      <c r="D25" s="35">
        <f t="shared" si="11"/>
        <v>1959.4978605941194</v>
      </c>
      <c r="E25" s="35">
        <f t="shared" si="11"/>
        <v>1980.3995944333715</v>
      </c>
      <c r="F25" s="35">
        <f t="shared" si="11"/>
        <v>2001.4071598363773</v>
      </c>
      <c r="G25" s="35">
        <f t="shared" si="11"/>
        <v>2021.5063376505809</v>
      </c>
      <c r="H25" s="35">
        <f t="shared" si="11"/>
        <v>2040.9440681913973</v>
      </c>
      <c r="I25" s="35">
        <f t="shared" si="11"/>
        <v>2060.1084005258726</v>
      </c>
      <c r="J25" s="35">
        <f t="shared" si="11"/>
        <v>2079.8812643518741</v>
      </c>
      <c r="K25" s="35"/>
    </row>
    <row r="26" spans="1:20" s="34" customFormat="1">
      <c r="A26" s="40" t="s">
        <v>64</v>
      </c>
    </row>
    <row r="27" spans="1:20">
      <c r="C27" s="16" t="s">
        <v>24</v>
      </c>
      <c r="D27" s="16" t="s">
        <v>25</v>
      </c>
      <c r="E27" s="16" t="s">
        <v>26</v>
      </c>
      <c r="F27" s="16" t="s">
        <v>27</v>
      </c>
      <c r="G27" s="16" t="s">
        <v>28</v>
      </c>
      <c r="H27" s="16" t="s">
        <v>29</v>
      </c>
      <c r="I27" s="16" t="s">
        <v>30</v>
      </c>
      <c r="J27" s="16" t="s">
        <v>31</v>
      </c>
      <c r="K27" s="63"/>
    </row>
    <row r="28" spans="1:20">
      <c r="A28" t="s">
        <v>49</v>
      </c>
      <c r="C28" s="28">
        <f>C29+C30+C32</f>
        <v>3325.6678728664706</v>
      </c>
      <c r="D28" s="28">
        <f t="shared" ref="D28:J28" si="12">D29+D30+D32</f>
        <v>3079.0347392838257</v>
      </c>
      <c r="E28" s="28">
        <f t="shared" si="12"/>
        <v>3146.7175597100418</v>
      </c>
      <c r="F28" s="28">
        <f t="shared" si="12"/>
        <v>3195.7314535566793</v>
      </c>
      <c r="G28" s="28">
        <f t="shared" si="12"/>
        <v>3248.8432781773508</v>
      </c>
      <c r="H28" s="28">
        <f t="shared" si="12"/>
        <v>3300.9852445755173</v>
      </c>
      <c r="I28" s="28">
        <f t="shared" si="12"/>
        <v>3346.6380421314266</v>
      </c>
      <c r="J28" s="28">
        <f t="shared" si="12"/>
        <v>3402.9317766585223</v>
      </c>
      <c r="M28" s="16" t="s">
        <v>24</v>
      </c>
      <c r="N28" s="16" t="s">
        <v>25</v>
      </c>
      <c r="O28" s="16" t="s">
        <v>26</v>
      </c>
      <c r="P28" s="16" t="s">
        <v>27</v>
      </c>
      <c r="Q28" s="16" t="s">
        <v>28</v>
      </c>
      <c r="R28" s="16" t="s">
        <v>29</v>
      </c>
      <c r="S28" s="16" t="s">
        <v>30</v>
      </c>
      <c r="T28" s="16" t="s">
        <v>31</v>
      </c>
    </row>
    <row r="29" spans="1:20">
      <c r="A29" s="1" t="s">
        <v>58</v>
      </c>
      <c r="C29" s="41">
        <f>C13+C43</f>
        <v>1723.4</v>
      </c>
      <c r="D29" s="41">
        <f>D13+D43</f>
        <v>1586.81038301424</v>
      </c>
      <c r="E29" s="41">
        <f>E13+E43</f>
        <v>1622.1374326951466</v>
      </c>
      <c r="F29" s="41">
        <f t="shared" ref="F29:J29" si="13">F13+F43</f>
        <v>1647.1393172131291</v>
      </c>
      <c r="G29" s="41">
        <f t="shared" si="13"/>
        <v>1682.8879933977787</v>
      </c>
      <c r="H29" s="41">
        <f t="shared" si="13"/>
        <v>1711.9401858324331</v>
      </c>
      <c r="I29" s="41">
        <f t="shared" si="13"/>
        <v>1735.7321990295827</v>
      </c>
      <c r="J29" s="41">
        <f t="shared" si="13"/>
        <v>1773.7075191646613</v>
      </c>
      <c r="K29" s="41"/>
      <c r="M29" t="s">
        <v>65</v>
      </c>
    </row>
    <row r="30" spans="1:20">
      <c r="A30" s="1" t="s">
        <v>59</v>
      </c>
      <c r="C30" s="41">
        <f t="shared" ref="C30" si="14">(1+0.88*M30)*C14</f>
        <v>1424.5070163244677</v>
      </c>
      <c r="D30" s="41">
        <f>(1+0.84*N30)*D14</f>
        <v>1340.9539401229306</v>
      </c>
      <c r="E30" s="41">
        <f>(1+0.88*O30)*E14</f>
        <v>1365.9991809249004</v>
      </c>
      <c r="F30" s="41">
        <f t="shared" ref="F30:J30" si="15">(1+0.88*P30)*F14</f>
        <v>1385.9467686938647</v>
      </c>
      <c r="G30" s="41">
        <f t="shared" si="15"/>
        <v>1399.903517778245</v>
      </c>
      <c r="H30" s="41">
        <f t="shared" si="15"/>
        <v>1419.6032000391606</v>
      </c>
      <c r="I30" s="41">
        <f t="shared" si="15"/>
        <v>1437.7698236726276</v>
      </c>
      <c r="J30" s="41">
        <f t="shared" si="15"/>
        <v>1453.8628201826784</v>
      </c>
      <c r="K30" s="41" t="s">
        <v>253</v>
      </c>
      <c r="M30" s="48">
        <f>0.95*'GDP Changes'!B19+0.05*'GDP Changes'!B20</f>
        <v>-5.551220648661836E-3</v>
      </c>
      <c r="N30" s="48">
        <f>0.95*'GDP Changes'!C19+0.05*'GDP Changes'!C20</f>
        <v>-8.9300441203571029E-2</v>
      </c>
      <c r="O30" s="48">
        <f>0.95*'GDP Changes'!D19+0.05*'GDP Changes'!D20</f>
        <v>-7.8884769752009226E-2</v>
      </c>
      <c r="P30" s="48">
        <f>0.95*'GDP Changes'!E19+0.05*'GDP Changes'!E20</f>
        <v>-7.5630714119492501E-2</v>
      </c>
      <c r="Q30" s="48">
        <f>0.95*'GDP Changes'!F19+0.05*'GDP Changes'!F20</f>
        <v>-7.698334062719206E-2</v>
      </c>
      <c r="R30" s="48">
        <f>0.95*'GDP Changes'!G19+0.05*'GDP Changes'!G20</f>
        <v>-7.4008213234109013E-2</v>
      </c>
      <c r="S30" s="48">
        <f>0.95*'GDP Changes'!H19+0.05*'GDP Changes'!H20</f>
        <v>-7.2233108462022647E-2</v>
      </c>
      <c r="T30" s="48">
        <f>0.95*'GDP Changes'!I19+0.05*'GDP Changes'!I20</f>
        <v>-7.1806850608363684E-2</v>
      </c>
    </row>
    <row r="31" spans="1:20">
      <c r="A31" s="1" t="s">
        <v>52</v>
      </c>
      <c r="C31" s="41">
        <f>(1+0.82*'GDP Changes'!B21)*C15</f>
        <v>134.4638394575401</v>
      </c>
      <c r="D31" s="41">
        <f>(1+0.82*'GDP Changes'!C21)*D15</f>
        <v>114.98071850656632</v>
      </c>
      <c r="E31" s="41">
        <f>(1+0.82*'GDP Changes'!D21)*E15</f>
        <v>160.79210392773228</v>
      </c>
      <c r="F31" s="41">
        <f>(1+0.82*'GDP Changes'!E21)*F15</f>
        <v>162.64751507772667</v>
      </c>
      <c r="G31" s="41">
        <f>(1+0.82*'GDP Changes'!F21)*G15</f>
        <v>150.00212054006062</v>
      </c>
      <c r="H31" s="41">
        <f>(1+0.82*'GDP Changes'!G21)*H15</f>
        <v>150.63793864311151</v>
      </c>
      <c r="I31" s="41">
        <f>(1+0.82*'GDP Changes'!H21)*I15</f>
        <v>162.4807005875073</v>
      </c>
      <c r="J31" s="41">
        <f>(1+0.82*'GDP Changes'!I21)*J15</f>
        <v>168.1080231830488</v>
      </c>
      <c r="K31" s="41" t="s">
        <v>254</v>
      </c>
      <c r="M31" t="s">
        <v>66</v>
      </c>
      <c r="N31">
        <f>0.05*'GDP Changes'!F9+0.95*'GDP Changes'!F8</f>
        <v>0.87649999999999995</v>
      </c>
    </row>
    <row r="32" spans="1:20">
      <c r="A32" s="1" t="s">
        <v>60</v>
      </c>
      <c r="C32" s="41">
        <f>(1+1.05*'GDP Changes'!B17)*C16</f>
        <v>177.76085654200295</v>
      </c>
      <c r="D32" s="41">
        <f>(1+1.4*'GDP Changes'!C17)*D16</f>
        <v>151.27041614665518</v>
      </c>
      <c r="E32" s="41">
        <f>(1+1.4*'GDP Changes'!D17)*E16</f>
        <v>158.58094608999508</v>
      </c>
      <c r="F32" s="41">
        <f>(1+1.4*'GDP Changes'!E17)*F16</f>
        <v>162.64536764968591</v>
      </c>
      <c r="G32" s="41">
        <f>(1+1.4*'GDP Changes'!F17)*G16</f>
        <v>166.05176700132702</v>
      </c>
      <c r="H32" s="41">
        <f>(1+1.4*'GDP Changes'!G17)*H16</f>
        <v>169.44185870392369</v>
      </c>
      <c r="I32" s="41">
        <f>(1+1.4*'GDP Changes'!H17)*I16</f>
        <v>173.13601942921596</v>
      </c>
      <c r="J32" s="41">
        <f>(1+1.4*'GDP Changes'!I17)*J16</f>
        <v>175.36143731118287</v>
      </c>
      <c r="K32" s="41"/>
      <c r="L32" t="s">
        <v>482</v>
      </c>
    </row>
    <row r="33" spans="1:16">
      <c r="A33" s="1" t="s">
        <v>53</v>
      </c>
      <c r="C33" s="41">
        <f>(1-2*'GDP Changes'!B18)*C17</f>
        <v>174.97472670157072</v>
      </c>
      <c r="D33" s="41">
        <f>(1-2*'GDP Changes'!C18)*D17</f>
        <v>174.33337832589419</v>
      </c>
      <c r="E33" s="41">
        <f>(1-2*'GDP Changes'!D18)*E17</f>
        <v>182.08572080975154</v>
      </c>
      <c r="F33" s="41">
        <f>(1-2*'GDP Changes'!E18)*F17</f>
        <v>196.14354477925696</v>
      </c>
      <c r="G33" s="41">
        <f>(1-2*'GDP Changes'!F18)*G17</f>
        <v>205.03332838414315</v>
      </c>
      <c r="H33" s="41">
        <f>(1-2*'GDP Changes'!G18)*H17</f>
        <v>209.13233156647081</v>
      </c>
      <c r="I33" s="41">
        <f>(1-2*'GDP Changes'!H18)*I17</f>
        <v>213.0381930138378</v>
      </c>
      <c r="J33" s="41">
        <f>(1-2*'GDP Changes'!I18)*J17</f>
        <v>215.51544193602598</v>
      </c>
      <c r="K33" s="41" t="s">
        <v>483</v>
      </c>
      <c r="M33" t="s">
        <v>67</v>
      </c>
    </row>
    <row r="34" spans="1:16">
      <c r="A34" s="39" t="s">
        <v>68</v>
      </c>
      <c r="C34" s="29"/>
      <c r="D34" s="29"/>
      <c r="E34" s="29"/>
      <c r="F34" s="29"/>
      <c r="G34" s="29"/>
      <c r="H34" s="29"/>
      <c r="I34" s="29"/>
      <c r="J34" s="29"/>
      <c r="K34" s="29"/>
    </row>
    <row r="35" spans="1:16">
      <c r="A35" t="s">
        <v>62</v>
      </c>
      <c r="C35" s="41"/>
      <c r="D35" s="41">
        <f>(1-0.038*'outlays and deficit check'!D6)*E21-10</f>
        <v>300.50288667596391</v>
      </c>
      <c r="E35" s="41">
        <f>(1-0.038*'outlays and deficit check'!E6)*F21-10</f>
        <v>490.51081027708159</v>
      </c>
      <c r="F35" s="41">
        <f>(1-0.038*'outlays and deficit check'!F6)*G21-10</f>
        <v>572.03012944926309</v>
      </c>
      <c r="G35" s="41">
        <f>(1-0.038*'outlays and deficit check'!G6)*H21-10</f>
        <v>528.51513985697034</v>
      </c>
      <c r="H35" s="41">
        <f>(1-0.038*'outlays and deficit check'!H6)*I21-10</f>
        <v>526.67952188041079</v>
      </c>
      <c r="I35" s="41">
        <f>(1-0.038*'outlays and deficit check'!I6)*J21-10</f>
        <v>527.531550807288</v>
      </c>
      <c r="J35" s="41"/>
      <c r="K35" s="41"/>
    </row>
    <row r="36" spans="1:16">
      <c r="A36" s="1" t="s">
        <v>58</v>
      </c>
      <c r="C36" s="41">
        <f>(1+1.36*'outlays and deficit check'!B4)*D21-10</f>
        <v>485.73808389223751</v>
      </c>
      <c r="D36" s="41">
        <f>(1+1.36*'GDP Changes'!C18)*D21-10</f>
        <v>486.11985869498778</v>
      </c>
      <c r="E36" s="41">
        <f>(1+1.36*'GDP Changes'!D18)*E21-10</f>
        <v>480.68563893244192</v>
      </c>
      <c r="F36" s="41">
        <f>(1+1.36*'GDP Changes'!E18)*F21-10</f>
        <v>462.8426994407551</v>
      </c>
      <c r="G36" s="41">
        <f>(1+1.36*'GDP Changes'!F18)*G21-10</f>
        <v>454.7763947444945</v>
      </c>
      <c r="H36" s="41">
        <f>(1+1.36*'GDP Changes'!G18)*H21-10</f>
        <v>455.79599960929255</v>
      </c>
      <c r="I36" s="41">
        <f>(1+1.36*'GDP Changes'!H18)*I21-10</f>
        <v>457.13478404798371</v>
      </c>
      <c r="J36" s="41">
        <f>(1+1.36*'GDP Changes'!I18)*J21-10</f>
        <v>461.27559976968945</v>
      </c>
      <c r="K36" s="41"/>
    </row>
    <row r="37" spans="1:16">
      <c r="A37" s="1" t="s">
        <v>69</v>
      </c>
      <c r="C37" s="41">
        <f>(1+'GDP Changes'!B19)*C22</f>
        <v>23.268869942709255</v>
      </c>
      <c r="D37" s="41">
        <f>(1+'GDP Changes'!C19)*D22</f>
        <v>21.585817742199218</v>
      </c>
      <c r="E37" s="41">
        <f>(1+'GDP Changes'!D19)*E22</f>
        <v>22.020656678130113</v>
      </c>
      <c r="F37" s="41">
        <f>(1+'GDP Changes'!E19)*F22</f>
        <v>22.345900574254955</v>
      </c>
      <c r="G37" s="41">
        <f>(1+'GDP Changes'!F19)*G22</f>
        <v>22.578521092426655</v>
      </c>
      <c r="H37" s="41">
        <f>(1+'GDP Changes'!G19)*H22</f>
        <v>22.869364602503214</v>
      </c>
      <c r="I37" s="41">
        <f>(1+'GDP Changes'!H19)*I22</f>
        <v>23.149800559118191</v>
      </c>
      <c r="J37" s="41">
        <f>(1+'GDP Changes'!I19)*J22</f>
        <v>23.380294130592727</v>
      </c>
      <c r="K37" s="41"/>
    </row>
    <row r="38" spans="1:16">
      <c r="A38" s="1" t="s">
        <v>52</v>
      </c>
      <c r="C38" s="41">
        <f>(1+0.82*'GDP Changes'!B21)*C23</f>
        <v>58.885625915856416</v>
      </c>
      <c r="D38" s="41">
        <f>(1+0.82*'GDP Changes'!C21)*D23</f>
        <v>51.906166397249173</v>
      </c>
      <c r="E38" s="41">
        <f>(1+0.82*'GDP Changes'!D21)*E23</f>
        <v>69.72862237885289</v>
      </c>
      <c r="F38" s="41">
        <f>(1+0.82*'GDP Changes'!E21)*F23</f>
        <v>70.399692089407154</v>
      </c>
      <c r="G38" s="41">
        <f>(1+0.82*'GDP Changes'!F21)*G23</f>
        <v>64.777052293128691</v>
      </c>
      <c r="H38" s="41">
        <f>(1+0.82*'GDP Changes'!G21)*H23</f>
        <v>64.884323933343026</v>
      </c>
      <c r="I38" s="41">
        <f>(1+0.82*'GDP Changes'!H21)*I23</f>
        <v>69.799948353304728</v>
      </c>
      <c r="J38" s="41">
        <f>(1+0.82*'GDP Changes'!I21)*J23</f>
        <v>70.632679711286485</v>
      </c>
      <c r="K38" s="41"/>
    </row>
    <row r="39" spans="1:16">
      <c r="A39" s="1" t="s">
        <v>60</v>
      </c>
      <c r="C39" s="41">
        <f>(1+0.9*'GDP Changes'!B22)*C24</f>
        <v>1317.6619587422792</v>
      </c>
      <c r="D39" s="41">
        <f>(1+0.41*1*'GDP Changes'!C22)*D24</f>
        <v>1290.36738589377</v>
      </c>
      <c r="E39" s="41">
        <f>(1+0.41*1*'GDP Changes'!D22)*E24</f>
        <v>1338.6238109701876</v>
      </c>
      <c r="F39" s="41">
        <f>(1+0.41*1*'GDP Changes'!E22)*F24</f>
        <v>1361.7236859402708</v>
      </c>
      <c r="G39" s="41">
        <f>(1+0.41*1*'GDP Changes'!F22)*G24</f>
        <v>1374.4034069569309</v>
      </c>
      <c r="H39" s="41">
        <f>(1+0.41*1*'GDP Changes'!G22)*H24</f>
        <v>1386.2143776694627</v>
      </c>
      <c r="I39" s="41">
        <f>(1+0.41*1*'GDP Changes'!H22)*I24</f>
        <v>1395.802374334608</v>
      </c>
      <c r="J39" s="41">
        <f>(1+0.41*1*'GDP Changes'!I22)*J24</f>
        <v>1407.3596895458609</v>
      </c>
      <c r="K39" s="41"/>
      <c r="M39" t="s">
        <v>147</v>
      </c>
    </row>
    <row r="40" spans="1:16">
      <c r="A40" s="39" t="s">
        <v>63</v>
      </c>
      <c r="C40" s="41">
        <f t="shared" ref="C40:J40" si="16">SUM(C36:C39)</f>
        <v>1885.5545384930824</v>
      </c>
      <c r="D40" s="41">
        <f>SUM(D35:D39)</f>
        <v>2150.4821154041701</v>
      </c>
      <c r="E40" s="41">
        <f t="shared" si="16"/>
        <v>1911.0587289596126</v>
      </c>
      <c r="F40" s="41">
        <f t="shared" si="16"/>
        <v>1917.311978044688</v>
      </c>
      <c r="G40" s="41">
        <f t="shared" si="16"/>
        <v>1916.5353750869808</v>
      </c>
      <c r="H40" s="41">
        <f t="shared" si="16"/>
        <v>1929.7640658146015</v>
      </c>
      <c r="I40" s="41">
        <f t="shared" si="16"/>
        <v>1945.8869072950147</v>
      </c>
      <c r="J40" s="41">
        <f t="shared" si="16"/>
        <v>1962.6482631574295</v>
      </c>
      <c r="K40" s="41"/>
      <c r="M40" t="s">
        <v>148</v>
      </c>
    </row>
    <row r="41" spans="1:16">
      <c r="A41" s="40" t="s">
        <v>70</v>
      </c>
      <c r="C41" s="41">
        <f>SUM(C36:C39)-C38</f>
        <v>1826.6689125772259</v>
      </c>
      <c r="D41" s="41">
        <f>SUM(D35:D39)-D38</f>
        <v>2098.5759490069208</v>
      </c>
      <c r="E41" s="41">
        <f t="shared" ref="E41:J41" si="17">SUM(E36:E39)-E38</f>
        <v>1841.3301065807598</v>
      </c>
      <c r="F41" s="41">
        <f t="shared" si="17"/>
        <v>1846.9122859552808</v>
      </c>
      <c r="G41" s="41">
        <f t="shared" si="17"/>
        <v>1851.7583227938521</v>
      </c>
      <c r="H41" s="41">
        <f t="shared" si="17"/>
        <v>1864.8797418812585</v>
      </c>
      <c r="I41" s="41">
        <f t="shared" si="17"/>
        <v>1876.08695894171</v>
      </c>
      <c r="J41" s="41">
        <f t="shared" si="17"/>
        <v>1892.015583446143</v>
      </c>
      <c r="K41" s="32"/>
    </row>
    <row r="42" spans="1:16">
      <c r="A42" t="s">
        <v>49</v>
      </c>
      <c r="D42" s="28">
        <f>D43+D44+D46</f>
        <v>-299.78246037307895</v>
      </c>
      <c r="E42" s="28">
        <f t="shared" ref="E42:J42" si="18">E43+E44+E46</f>
        <v>-274.51683960376749</v>
      </c>
      <c r="F42" s="28">
        <f t="shared" si="18"/>
        <v>-264.81425431722255</v>
      </c>
      <c r="G42" s="28">
        <f t="shared" si="18"/>
        <v>-251.01373825664501</v>
      </c>
      <c r="H42" s="28">
        <f t="shared" si="18"/>
        <v>-238.18308041858111</v>
      </c>
      <c r="I42" s="28">
        <f t="shared" si="18"/>
        <v>-231.84159142276553</v>
      </c>
      <c r="J42" s="28">
        <f t="shared" si="18"/>
        <v>-214.15298364435054</v>
      </c>
      <c r="L42" t="s">
        <v>71</v>
      </c>
      <c r="M42" t="s">
        <v>72</v>
      </c>
    </row>
    <row r="43" spans="1:16">
      <c r="A43" s="1" t="s">
        <v>58</v>
      </c>
      <c r="C43" s="28">
        <f>'eff on fed budge'!R10</f>
        <v>0</v>
      </c>
      <c r="D43" s="28">
        <f>'eff on fed budge'!S10</f>
        <v>-158.5</v>
      </c>
      <c r="E43" s="28">
        <f>'eff on fed budge'!T10</f>
        <v>-145.08333333333331</v>
      </c>
      <c r="F43" s="28">
        <f>'eff on fed budge'!U10</f>
        <v>-140.38749999999999</v>
      </c>
      <c r="G43" s="28">
        <f>'eff on fed budge'!V10</f>
        <v>-124.944875</v>
      </c>
      <c r="H43" s="28">
        <f>'eff on fed budge'!W10</f>
        <v>-116.19873375</v>
      </c>
      <c r="I43" s="28">
        <f>'eff on fed budge'!X10</f>
        <v>-112.71277173750001</v>
      </c>
      <c r="J43" s="28">
        <f>'eff on fed budge'!Y10</f>
        <v>-94.678728259500005</v>
      </c>
      <c r="K43" s="28"/>
      <c r="L43" s="28">
        <f>SUM(C43:E43)/4</f>
        <v>-75.895833333333329</v>
      </c>
      <c r="M43" s="28">
        <f>AVERAGE(F43:I43)</f>
        <v>-123.56097012187499</v>
      </c>
      <c r="N43">
        <f>M43/SUM(F13:I13)</f>
        <v>-1.6991464363164559E-2</v>
      </c>
      <c r="P43" t="s">
        <v>152</v>
      </c>
    </row>
    <row r="44" spans="1:16">
      <c r="A44" s="1" t="s">
        <v>59</v>
      </c>
      <c r="C44" s="28">
        <f t="shared" ref="C44:J47" si="19">C30-C14</f>
        <v>-6.9929836755322867</v>
      </c>
      <c r="D44" s="28">
        <f t="shared" si="19"/>
        <v>-108.7453828925527</v>
      </c>
      <c r="E44" s="28">
        <f t="shared" si="19"/>
        <v>-101.89946510606637</v>
      </c>
      <c r="F44" s="28">
        <f t="shared" si="19"/>
        <v>-98.818601412084945</v>
      </c>
      <c r="G44" s="28">
        <f t="shared" si="19"/>
        <v>-101.72857640268785</v>
      </c>
      <c r="H44" s="28">
        <f t="shared" si="19"/>
        <v>-98.895618216759431</v>
      </c>
      <c r="I44" s="28">
        <f t="shared" si="19"/>
        <v>-97.595718658275473</v>
      </c>
      <c r="J44" s="28">
        <f t="shared" si="19"/>
        <v>-98.066455196041943</v>
      </c>
      <c r="K44" s="28"/>
      <c r="L44" s="28">
        <f t="shared" ref="L44:L48" si="20">SUM(C44:E44)/4</f>
        <v>-54.409457918537839</v>
      </c>
      <c r="M44" s="28">
        <f t="shared" ref="M44:M48" si="21">AVERAGE(F44:I44)</f>
        <v>-99.259628672451925</v>
      </c>
      <c r="N44">
        <f>M44/SUM(F14:I14)</f>
        <v>-1.6433001010602272E-2</v>
      </c>
      <c r="P44" t="s">
        <v>153</v>
      </c>
    </row>
    <row r="45" spans="1:16">
      <c r="A45" s="1" t="s">
        <v>52</v>
      </c>
      <c r="C45" s="28">
        <f t="shared" si="19"/>
        <v>-14.418713733948891</v>
      </c>
      <c r="D45" s="28">
        <f t="shared" si="19"/>
        <v>-42.084387876412677</v>
      </c>
      <c r="E45" s="28">
        <f t="shared" si="19"/>
        <v>-4.4555556467357178</v>
      </c>
      <c r="F45" s="28">
        <f t="shared" si="19"/>
        <v>-4.6698349387243354</v>
      </c>
      <c r="G45" s="28">
        <f t="shared" si="19"/>
        <v>-19.384919918373384</v>
      </c>
      <c r="H45" s="28">
        <f t="shared" si="19"/>
        <v>-20.818792257305489</v>
      </c>
      <c r="I45" s="28">
        <f t="shared" si="19"/>
        <v>-11.045720754892699</v>
      </c>
      <c r="J45" s="28">
        <f t="shared" si="19"/>
        <v>-11.014482781198211</v>
      </c>
      <c r="K45" s="28"/>
      <c r="L45" s="28">
        <f t="shared" si="20"/>
        <v>-15.239664314274322</v>
      </c>
      <c r="M45" s="28">
        <f t="shared" si="21"/>
        <v>-13.979816967323977</v>
      </c>
      <c r="N45">
        <f>M45/SUM(F15:I15)</f>
        <v>-2.050766090222254E-2</v>
      </c>
    </row>
    <row r="46" spans="1:16">
      <c r="A46" s="1" t="s">
        <v>60</v>
      </c>
      <c r="C46" s="28">
        <f t="shared" si="19"/>
        <v>-3.7391434579970451</v>
      </c>
      <c r="D46" s="28">
        <f t="shared" si="19"/>
        <v>-32.53707748052625</v>
      </c>
      <c r="E46" s="28">
        <f t="shared" si="19"/>
        <v>-27.534041164367807</v>
      </c>
      <c r="F46" s="28">
        <f t="shared" si="19"/>
        <v>-25.608152905137615</v>
      </c>
      <c r="G46" s="28">
        <f t="shared" si="19"/>
        <v>-24.340286853957167</v>
      </c>
      <c r="H46" s="28">
        <f t="shared" si="19"/>
        <v>-23.08872845182168</v>
      </c>
      <c r="I46" s="28">
        <f t="shared" si="19"/>
        <v>-21.533101026990039</v>
      </c>
      <c r="J46" s="28">
        <f t="shared" si="19"/>
        <v>-21.407800188808579</v>
      </c>
      <c r="K46" s="28"/>
      <c r="L46" s="28">
        <f t="shared" si="20"/>
        <v>-15.952565525722775</v>
      </c>
      <c r="M46" s="28">
        <f t="shared" si="21"/>
        <v>-23.642567309476625</v>
      </c>
      <c r="N46">
        <f>M46/SUM(F16:I16)</f>
        <v>-3.0871205796362971E-2</v>
      </c>
    </row>
    <row r="47" spans="1:16">
      <c r="A47" s="1" t="s">
        <v>53</v>
      </c>
      <c r="C47" s="28">
        <f t="shared" si="19"/>
        <v>2.6347267015706848</v>
      </c>
      <c r="D47" s="28">
        <f t="shared" si="19"/>
        <v>-0.19765997552983094</v>
      </c>
      <c r="E47" s="28">
        <f t="shared" si="19"/>
        <v>5.3636442069035297</v>
      </c>
      <c r="F47" s="28">
        <f t="shared" si="19"/>
        <v>17.390863057944046</v>
      </c>
      <c r="G47" s="28">
        <f t="shared" si="19"/>
        <v>24.250041544365274</v>
      </c>
      <c r="H47" s="28">
        <f t="shared" si="19"/>
        <v>26.318439608227493</v>
      </c>
      <c r="I47" s="28">
        <f t="shared" si="19"/>
        <v>28.193695937129519</v>
      </c>
      <c r="J47" s="28">
        <f t="shared" si="19"/>
        <v>28.676817193609821</v>
      </c>
      <c r="K47" s="28"/>
      <c r="L47" s="28">
        <f t="shared" ref="L47" si="22">SUM(C47:E47)/4</f>
        <v>1.9501777332360959</v>
      </c>
      <c r="M47" s="28">
        <f t="shared" ref="M47" si="23">AVERAGE(F47:I47)</f>
        <v>24.038260036916583</v>
      </c>
    </row>
    <row r="48" spans="1:16">
      <c r="A48" s="39" t="s">
        <v>481</v>
      </c>
      <c r="C48" s="29">
        <f>SUM(C43:C46)</f>
        <v>-25.150840867478223</v>
      </c>
      <c r="D48" s="29">
        <f t="shared" ref="D48:J48" si="24">SUM(D43:D46)</f>
        <v>-341.86684824949162</v>
      </c>
      <c r="E48" s="29">
        <f t="shared" si="24"/>
        <v>-278.97239525050321</v>
      </c>
      <c r="F48" s="29">
        <f t="shared" si="24"/>
        <v>-269.48408925594686</v>
      </c>
      <c r="G48" s="29">
        <f t="shared" si="24"/>
        <v>-270.3986581750184</v>
      </c>
      <c r="H48" s="29">
        <f t="shared" si="24"/>
        <v>-259.0018726758866</v>
      </c>
      <c r="I48" s="29">
        <f t="shared" si="24"/>
        <v>-242.88731217765823</v>
      </c>
      <c r="J48" s="29">
        <f t="shared" si="24"/>
        <v>-225.16746642554875</v>
      </c>
      <c r="K48" s="29"/>
      <c r="L48" s="28">
        <f t="shared" si="20"/>
        <v>-161.49752109186826</v>
      </c>
      <c r="M48" s="28">
        <f t="shared" si="21"/>
        <v>-260.44298307112751</v>
      </c>
      <c r="N48">
        <f>M48/SUM(F18:I18)</f>
        <v>-1.7645501504888712E-2</v>
      </c>
    </row>
    <row r="49" spans="1:16">
      <c r="A49" t="s">
        <v>62</v>
      </c>
      <c r="C49" s="28"/>
      <c r="D49" s="28"/>
      <c r="E49" s="28"/>
      <c r="F49" s="28"/>
      <c r="G49" s="28"/>
      <c r="H49" s="28"/>
      <c r="I49" s="28"/>
      <c r="J49" s="28"/>
      <c r="K49" s="28"/>
      <c r="N49" t="s">
        <v>73</v>
      </c>
      <c r="O49">
        <v>-0.11742494747749593</v>
      </c>
      <c r="P49">
        <v>-0.15973006301877465</v>
      </c>
    </row>
    <row r="50" spans="1:16">
      <c r="A50" s="1" t="s">
        <v>58</v>
      </c>
      <c r="C50" s="28">
        <v>0</v>
      </c>
      <c r="D50" s="28">
        <f>D35-D21</f>
        <v>-195.2351972162736</v>
      </c>
      <c r="E50" s="28">
        <f>E36-E21</f>
        <v>-20.340424952973308</v>
      </c>
      <c r="F50" s="28">
        <f t="shared" ref="F50:J50" si="25">F36-F21</f>
        <v>-43.49811902008463</v>
      </c>
      <c r="G50" s="28">
        <f t="shared" si="25"/>
        <v>-56.649363127507172</v>
      </c>
      <c r="H50" s="28">
        <f t="shared" si="25"/>
        <v>-60.547356534848348</v>
      </c>
      <c r="I50" s="28">
        <f t="shared" si="25"/>
        <v>-64.057002697498262</v>
      </c>
      <c r="J50" s="28">
        <f t="shared" si="25"/>
        <v>-64.918571425036987</v>
      </c>
      <c r="K50" s="28"/>
      <c r="L50" s="28">
        <f>SUM(C50:E50)/4</f>
        <v>-53.893905542311728</v>
      </c>
      <c r="M50" s="28">
        <f>AVERAGE(F50:I50)</f>
        <v>-56.187960344984603</v>
      </c>
      <c r="N50" t="s">
        <v>74</v>
      </c>
      <c r="O50">
        <v>-6.7823353385216889E-2</v>
      </c>
      <c r="P50">
        <v>-9.1817786445113042E-2</v>
      </c>
    </row>
    <row r="51" spans="1:16">
      <c r="A51" s="1" t="s">
        <v>69</v>
      </c>
      <c r="C51" s="28">
        <f t="shared" ref="C51:J54" si="26">C37-C22</f>
        <v>-0.13113005729074345</v>
      </c>
      <c r="D51" s="28">
        <f t="shared" si="26"/>
        <v>-2.0544332524581215</v>
      </c>
      <c r="E51" s="28">
        <f t="shared" si="26"/>
        <v>-1.8717621009991205</v>
      </c>
      <c r="F51" s="28">
        <f t="shared" si="26"/>
        <v>-1.7999627882550264</v>
      </c>
      <c r="G51" s="28">
        <f t="shared" si="26"/>
        <v>-1.8098276628308092</v>
      </c>
      <c r="H51" s="28">
        <f t="shared" si="26"/>
        <v>-1.7534895523223319</v>
      </c>
      <c r="I51" s="28">
        <f t="shared" si="26"/>
        <v>-1.7042605980945176</v>
      </c>
      <c r="J51" s="28">
        <f t="shared" si="26"/>
        <v>-1.7123156227323157</v>
      </c>
      <c r="K51" s="28"/>
      <c r="L51" s="28">
        <f t="shared" ref="L51:L54" si="27">SUM(C51:E51)/4</f>
        <v>-1.0143313526869964</v>
      </c>
      <c r="M51" s="28">
        <f t="shared" ref="M51:M54" si="28">AVERAGE(F51:I51)</f>
        <v>-1.7668851503756713</v>
      </c>
      <c r="N51" t="s">
        <v>75</v>
      </c>
      <c r="O51">
        <v>-6.1329786745719511E-2</v>
      </c>
      <c r="P51">
        <v>-8.2973402756846254E-2</v>
      </c>
    </row>
    <row r="52" spans="1:16">
      <c r="A52" s="1" t="s">
        <v>52</v>
      </c>
      <c r="C52" s="28">
        <f t="shared" si="26"/>
        <v>-6.3143740841435871</v>
      </c>
      <c r="D52" s="28">
        <f t="shared" si="26"/>
        <v>-18.998309179244721</v>
      </c>
      <c r="E52" s="28">
        <f t="shared" si="26"/>
        <v>-1.9321829218606155</v>
      </c>
      <c r="F52" s="28">
        <f t="shared" si="26"/>
        <v>-2.0212724531170494</v>
      </c>
      <c r="G52" s="28">
        <f t="shared" si="26"/>
        <v>-8.3712014652168136</v>
      </c>
      <c r="H52" s="28">
        <f t="shared" si="26"/>
        <v>-8.9672845558800702</v>
      </c>
      <c r="I52" s="28">
        <f t="shared" si="26"/>
        <v>-4.7451219463526684</v>
      </c>
      <c r="J52" s="28">
        <f t="shared" si="26"/>
        <v>-4.6278721249534129</v>
      </c>
      <c r="K52" s="28"/>
      <c r="L52" s="28">
        <f t="shared" si="27"/>
        <v>-6.8112165463122309</v>
      </c>
      <c r="M52" s="28">
        <f t="shared" si="28"/>
        <v>-6.0262201051416504</v>
      </c>
      <c r="N52" t="s">
        <v>76</v>
      </c>
      <c r="O52">
        <v>-7.2176407785954466E-2</v>
      </c>
      <c r="P52">
        <v>-9.7752908244013392E-2</v>
      </c>
    </row>
    <row r="53" spans="1:16">
      <c r="A53" s="1" t="s">
        <v>60</v>
      </c>
      <c r="C53" s="28">
        <f t="shared" si="26"/>
        <v>-37.638041257720715</v>
      </c>
      <c r="D53" s="28">
        <f t="shared" si="26"/>
        <v>-78.847664236960554</v>
      </c>
      <c r="E53" s="28">
        <f t="shared" si="26"/>
        <v>-45.196495497925753</v>
      </c>
      <c r="F53" s="28">
        <f t="shared" si="26"/>
        <v>-36.775827530232618</v>
      </c>
      <c r="G53" s="28">
        <f t="shared" si="26"/>
        <v>-38.140570308045426</v>
      </c>
      <c r="H53" s="28">
        <f t="shared" si="26"/>
        <v>-39.911871733745102</v>
      </c>
      <c r="I53" s="28">
        <f t="shared" si="26"/>
        <v>-43.715107988912678</v>
      </c>
      <c r="J53" s="28">
        <f t="shared" si="26"/>
        <v>-45.974242021721693</v>
      </c>
      <c r="K53" s="28"/>
      <c r="L53" s="28">
        <f t="shared" si="27"/>
        <v>-40.420550248151756</v>
      </c>
      <c r="M53" s="28">
        <f t="shared" si="28"/>
        <v>-39.635844390233956</v>
      </c>
    </row>
    <row r="54" spans="1:16">
      <c r="A54" s="39" t="s">
        <v>63</v>
      </c>
      <c r="C54" s="28">
        <f t="shared" si="26"/>
        <v>-49.045461506917491</v>
      </c>
      <c r="D54" s="28">
        <f t="shared" si="26"/>
        <v>190.98425481005074</v>
      </c>
      <c r="E54" s="28">
        <f t="shared" si="26"/>
        <v>-69.340865473758868</v>
      </c>
      <c r="F54" s="28">
        <f t="shared" si="26"/>
        <v>-84.095181791689356</v>
      </c>
      <c r="G54" s="28">
        <f t="shared" si="26"/>
        <v>-104.9709625636001</v>
      </c>
      <c r="H54" s="28">
        <f t="shared" si="26"/>
        <v>-111.18000237679576</v>
      </c>
      <c r="I54" s="28">
        <f t="shared" si="26"/>
        <v>-114.22149323085796</v>
      </c>
      <c r="J54" s="28">
        <f t="shared" si="26"/>
        <v>-117.23300119444457</v>
      </c>
      <c r="K54" s="28"/>
      <c r="L54" s="28">
        <f t="shared" si="27"/>
        <v>18.149481957343596</v>
      </c>
      <c r="M54" s="28">
        <f t="shared" si="28"/>
        <v>-103.61690999073579</v>
      </c>
    </row>
    <row r="55" spans="1:16">
      <c r="A55" s="40" t="s">
        <v>77</v>
      </c>
      <c r="C55" s="32"/>
      <c r="D55" s="41">
        <f>D54+D48</f>
        <v>-150.88259343944088</v>
      </c>
      <c r="E55" s="32"/>
      <c r="F55" s="32"/>
      <c r="G55" s="32"/>
      <c r="H55" s="32"/>
      <c r="I55" s="32"/>
      <c r="J55" s="32"/>
      <c r="K55" s="32"/>
      <c r="O55" s="244" t="s">
        <v>78</v>
      </c>
      <c r="P55" s="244"/>
    </row>
    <row r="56" spans="1:16">
      <c r="A56" t="s">
        <v>49</v>
      </c>
      <c r="L56" t="s">
        <v>71</v>
      </c>
      <c r="M56" t="s">
        <v>72</v>
      </c>
      <c r="O56" t="s">
        <v>79</v>
      </c>
    </row>
    <row r="57" spans="1:16">
      <c r="A57" s="1" t="s">
        <v>58</v>
      </c>
      <c r="C57" s="31">
        <f t="shared" ref="C57:J60" si="29">C43/C13</f>
        <v>0</v>
      </c>
      <c r="D57" s="31">
        <f t="shared" si="29"/>
        <v>-9.0814792338691316E-2</v>
      </c>
      <c r="E57" s="31">
        <f t="shared" si="29"/>
        <v>-8.2096892545792555E-2</v>
      </c>
      <c r="F57" s="31">
        <f t="shared" si="29"/>
        <v>-7.8537283272131969E-2</v>
      </c>
      <c r="G57" s="31">
        <f t="shared" si="29"/>
        <v>-6.9113067465542008E-2</v>
      </c>
      <c r="H57" s="31">
        <f t="shared" si="29"/>
        <v>-6.3561216549419042E-2</v>
      </c>
      <c r="I57" s="31">
        <f t="shared" si="29"/>
        <v>-6.0977077229800114E-2</v>
      </c>
      <c r="J57" s="31">
        <f t="shared" si="29"/>
        <v>-5.06740661306131E-2</v>
      </c>
      <c r="K57" s="31"/>
      <c r="L57" s="31">
        <f>SUM(D57:E57)/4</f>
        <v>-4.3227921221120971E-2</v>
      </c>
      <c r="M57" s="31">
        <f>AVERAGE(F57:I57)</f>
        <v>-6.804716112922328E-2</v>
      </c>
      <c r="N57" t="s">
        <v>73</v>
      </c>
      <c r="O57" s="30">
        <v>-0.11742494747749593</v>
      </c>
      <c r="P57" s="30">
        <v>-0.15973006301877465</v>
      </c>
    </row>
    <row r="58" spans="1:16">
      <c r="A58" s="1" t="s">
        <v>59</v>
      </c>
      <c r="C58" s="31">
        <f t="shared" si="29"/>
        <v>-4.8850741708224149E-3</v>
      </c>
      <c r="D58" s="31">
        <f t="shared" si="29"/>
        <v>-7.5012370610999635E-2</v>
      </c>
      <c r="E58" s="31">
        <f t="shared" si="29"/>
        <v>-6.9418597381768213E-2</v>
      </c>
      <c r="F58" s="31">
        <f t="shared" si="29"/>
        <v>-6.6555028425153442E-2</v>
      </c>
      <c r="G58" s="31">
        <f t="shared" si="29"/>
        <v>-6.7745339751928937E-2</v>
      </c>
      <c r="H58" s="31">
        <f t="shared" si="29"/>
        <v>-6.5127227646015903E-2</v>
      </c>
      <c r="I58" s="31">
        <f t="shared" si="29"/>
        <v>-6.3565135446579907E-2</v>
      </c>
      <c r="J58" s="31">
        <f t="shared" si="29"/>
        <v>-6.3190028535360029E-2</v>
      </c>
      <c r="K58" s="31"/>
      <c r="L58" s="31">
        <f t="shared" ref="L58:L61" si="30">SUM(D58:E58)/4</f>
        <v>-3.6107741998191958E-2</v>
      </c>
      <c r="M58" s="31">
        <f t="shared" ref="M58:M61" si="31">AVERAGE(F58:I58)</f>
        <v>-6.5748182817419537E-2</v>
      </c>
      <c r="N58" t="s">
        <v>74</v>
      </c>
      <c r="O58" s="30">
        <v>-6.7823353385216889E-2</v>
      </c>
      <c r="P58" s="30">
        <v>-9.1817786445113042E-2</v>
      </c>
    </row>
    <row r="59" spans="1:16">
      <c r="A59" s="1" t="s">
        <v>52</v>
      </c>
      <c r="C59" s="31">
        <f t="shared" si="29"/>
        <v>-9.684622828441089E-2</v>
      </c>
      <c r="D59" s="31">
        <f t="shared" si="29"/>
        <v>-0.2679423128762693</v>
      </c>
      <c r="E59" s="31">
        <f t="shared" si="29"/>
        <v>-2.6962897133970268E-2</v>
      </c>
      <c r="F59" s="31">
        <f t="shared" si="29"/>
        <v>-2.7910046018928623E-2</v>
      </c>
      <c r="G59" s="31">
        <f t="shared" si="29"/>
        <v>-0.11444157632077091</v>
      </c>
      <c r="H59" s="31">
        <f t="shared" si="29"/>
        <v>-0.12142300945535441</v>
      </c>
      <c r="I59" s="31">
        <f t="shared" si="29"/>
        <v>-6.3654402997785742E-2</v>
      </c>
      <c r="J59" s="31">
        <f t="shared" si="29"/>
        <v>-6.1491339247993271E-2</v>
      </c>
      <c r="K59" s="31"/>
      <c r="L59" s="31">
        <f t="shared" si="30"/>
        <v>-7.372630250255989E-2</v>
      </c>
      <c r="M59" s="31">
        <f t="shared" si="31"/>
        <v>-8.1857258698209923E-2</v>
      </c>
      <c r="N59" t="s">
        <v>75</v>
      </c>
      <c r="O59" s="30">
        <v>-6.1329786745719511E-2</v>
      </c>
      <c r="P59" s="30">
        <v>-8.2973402756846254E-2</v>
      </c>
    </row>
    <row r="60" spans="1:16">
      <c r="A60" s="1" t="s">
        <v>60</v>
      </c>
      <c r="C60" s="31">
        <f t="shared" si="29"/>
        <v>-2.0601341366374905E-2</v>
      </c>
      <c r="D60" s="31">
        <f t="shared" si="29"/>
        <v>-0.17701714352583214</v>
      </c>
      <c r="E60" s="31">
        <f t="shared" si="29"/>
        <v>-0.14794102060538039</v>
      </c>
      <c r="F60" s="31">
        <f t="shared" si="29"/>
        <v>-0.13603014078921283</v>
      </c>
      <c r="G60" s="31">
        <f t="shared" si="29"/>
        <v>-0.1278429764325042</v>
      </c>
      <c r="H60" s="31">
        <f t="shared" si="29"/>
        <v>-0.11992239151664937</v>
      </c>
      <c r="I60" s="31">
        <f t="shared" si="29"/>
        <v>-0.11061385070486442</v>
      </c>
      <c r="J60" s="31">
        <f t="shared" si="29"/>
        <v>-0.10879647886428136</v>
      </c>
      <c r="K60" s="31"/>
      <c r="L60" s="31">
        <f t="shared" si="30"/>
        <v>-8.1239541032803134E-2</v>
      </c>
      <c r="M60" s="31">
        <f t="shared" si="31"/>
        <v>-0.12360233986080769</v>
      </c>
      <c r="N60" t="s">
        <v>76</v>
      </c>
      <c r="O60" s="30">
        <v>-7.2176407785954466E-2</v>
      </c>
      <c r="P60" s="30">
        <v>-9.7752908244013392E-2</v>
      </c>
    </row>
    <row r="61" spans="1:16">
      <c r="A61" s="39" t="s">
        <v>63</v>
      </c>
      <c r="C61" s="31">
        <f t="shared" ref="C61:J61" si="32">C48/C18</f>
        <v>-7.2162989610261253E-3</v>
      </c>
      <c r="D61" s="31">
        <f t="shared" si="32"/>
        <v>-9.6685019087180968E-2</v>
      </c>
      <c r="E61" s="31">
        <f t="shared" si="32"/>
        <v>-7.778441120572005E-2</v>
      </c>
      <c r="F61" s="31">
        <f t="shared" si="32"/>
        <v>-7.4281769999514566E-2</v>
      </c>
      <c r="G61" s="31">
        <f t="shared" si="32"/>
        <v>-7.3693287767842147E-2</v>
      </c>
      <c r="H61" s="31">
        <f t="shared" si="32"/>
        <v>-6.9800065696330335E-2</v>
      </c>
      <c r="I61" s="31">
        <f t="shared" si="32"/>
        <v>-6.4735319885924972E-2</v>
      </c>
      <c r="J61" s="31">
        <f t="shared" si="32"/>
        <v>-5.9313796806189673E-2</v>
      </c>
      <c r="K61" s="31"/>
      <c r="L61" s="31">
        <f t="shared" si="30"/>
        <v>-4.3617357573225254E-2</v>
      </c>
      <c r="M61" s="31">
        <f t="shared" si="31"/>
        <v>-7.0627610837403001E-2</v>
      </c>
    </row>
    <row r="62" spans="1:16">
      <c r="A62" t="s">
        <v>62</v>
      </c>
      <c r="C62" s="29"/>
      <c r="D62" s="29"/>
      <c r="E62" s="29"/>
      <c r="F62" s="29"/>
      <c r="G62" s="29"/>
      <c r="H62" s="29"/>
      <c r="I62" s="29"/>
      <c r="J62" s="29"/>
      <c r="K62" s="29"/>
      <c r="L62" s="71"/>
      <c r="M62" s="71"/>
    </row>
    <row r="63" spans="1:16">
      <c r="A63" s="1" t="s">
        <v>58</v>
      </c>
      <c r="C63" s="31">
        <f t="shared" ref="C63:J67" si="33">C50/C21</f>
        <v>0</v>
      </c>
      <c r="D63" s="31">
        <f t="shared" si="33"/>
        <v>-0.39382731236503793</v>
      </c>
      <c r="E63" s="31">
        <f t="shared" si="33"/>
        <v>-4.0597538569620534E-2</v>
      </c>
      <c r="F63" s="31">
        <f t="shared" si="33"/>
        <v>-8.5906799203566017E-2</v>
      </c>
      <c r="G63" s="31">
        <f t="shared" si="33"/>
        <v>-0.11076752051601833</v>
      </c>
      <c r="H63" s="31">
        <f t="shared" si="33"/>
        <v>-0.11726181002306947</v>
      </c>
      <c r="I63" s="31">
        <f t="shared" si="33"/>
        <v>-0.12290485830080773</v>
      </c>
      <c r="J63" s="31">
        <f t="shared" si="33"/>
        <v>-0.1233737942737736</v>
      </c>
      <c r="K63" s="31"/>
      <c r="L63" s="31">
        <f>SUM(D63:E63)/2</f>
        <v>-0.21721242546732922</v>
      </c>
      <c r="M63" s="31">
        <f>AVERAGE(F63:I63)</f>
        <v>-0.10921024701086539</v>
      </c>
    </row>
    <row r="64" spans="1:16">
      <c r="A64" s="1" t="s">
        <v>69</v>
      </c>
      <c r="C64" s="31">
        <f t="shared" si="33"/>
        <v>-5.6038486021685241E-3</v>
      </c>
      <c r="D64" s="31">
        <f t="shared" si="33"/>
        <v>-8.6904037225426251E-2</v>
      </c>
      <c r="E64" s="31">
        <f t="shared" si="33"/>
        <v>-7.8341256207770923E-2</v>
      </c>
      <c r="F64" s="31">
        <f t="shared" si="33"/>
        <v>-7.4545389462019995E-2</v>
      </c>
      <c r="G64" s="31">
        <f t="shared" si="33"/>
        <v>-7.4208700268838815E-2</v>
      </c>
      <c r="H64" s="31">
        <f t="shared" si="33"/>
        <v>-7.1213903201334847E-2</v>
      </c>
      <c r="I64" s="31">
        <f t="shared" si="33"/>
        <v>-6.8570709121311427E-2</v>
      </c>
      <c r="J64" s="31">
        <f t="shared" si="33"/>
        <v>-6.8239837926998226E-2</v>
      </c>
      <c r="K64" s="31"/>
      <c r="L64" s="31">
        <f t="shared" ref="L64:L67" si="34">SUM(D64:E64)/2</f>
        <v>-8.262264671659858E-2</v>
      </c>
      <c r="M64" s="31">
        <f t="shared" ref="M64:M67" si="35">AVERAGE(F64:I64)</f>
        <v>-7.2134675513376267E-2</v>
      </c>
    </row>
    <row r="65" spans="1:13">
      <c r="A65" s="1" t="s">
        <v>52</v>
      </c>
      <c r="C65" s="31">
        <f t="shared" si="33"/>
        <v>-9.6846228284410835E-2</v>
      </c>
      <c r="D65" s="31">
        <f t="shared" si="33"/>
        <v>-0.2679423128762693</v>
      </c>
      <c r="E65" s="31">
        <f t="shared" si="33"/>
        <v>-2.6962897133970352E-2</v>
      </c>
      <c r="F65" s="31">
        <f t="shared" si="33"/>
        <v>-2.7910046018928634E-2</v>
      </c>
      <c r="G65" s="31">
        <f t="shared" si="33"/>
        <v>-0.1144415763207709</v>
      </c>
      <c r="H65" s="31">
        <f t="shared" si="33"/>
        <v>-0.12142300945535443</v>
      </c>
      <c r="I65" s="31">
        <f t="shared" si="33"/>
        <v>-6.3654402997785839E-2</v>
      </c>
      <c r="J65" s="31">
        <f t="shared" si="33"/>
        <v>-6.1491339247993305E-2</v>
      </c>
      <c r="K65" s="31"/>
      <c r="L65" s="31">
        <f t="shared" si="34"/>
        <v>-0.14745260500511984</v>
      </c>
      <c r="M65" s="31">
        <f t="shared" si="35"/>
        <v>-8.185725869820995E-2</v>
      </c>
    </row>
    <row r="66" spans="1:13">
      <c r="A66" s="1" t="s">
        <v>60</v>
      </c>
      <c r="C66" s="31">
        <f t="shared" si="33"/>
        <v>-2.7771003658024582E-2</v>
      </c>
      <c r="D66" s="31">
        <f t="shared" si="33"/>
        <v>-5.7586033858912304E-2</v>
      </c>
      <c r="E66" s="31">
        <f t="shared" si="33"/>
        <v>-3.2660667925360577E-2</v>
      </c>
      <c r="F66" s="31">
        <f t="shared" si="33"/>
        <v>-2.6296632337733224E-2</v>
      </c>
      <c r="G66" s="31">
        <f t="shared" si="33"/>
        <v>-2.7001333000544671E-2</v>
      </c>
      <c r="H66" s="31">
        <f t="shared" si="33"/>
        <v>-2.7986212125642493E-2</v>
      </c>
      <c r="I66" s="31">
        <f t="shared" si="33"/>
        <v>-3.03678896058645E-2</v>
      </c>
      <c r="J66" s="31">
        <f t="shared" si="33"/>
        <v>-3.1633639745913968E-2</v>
      </c>
      <c r="K66" s="31"/>
      <c r="L66" s="31">
        <f t="shared" si="34"/>
        <v>-4.5123350892136441E-2</v>
      </c>
      <c r="M66" s="31">
        <f t="shared" si="35"/>
        <v>-2.7913016767446223E-2</v>
      </c>
    </row>
    <row r="67" spans="1:13">
      <c r="A67" s="39" t="s">
        <v>63</v>
      </c>
      <c r="C67" s="31">
        <f t="shared" si="33"/>
        <v>-2.5351732403038091E-2</v>
      </c>
      <c r="D67" s="31">
        <f t="shared" si="33"/>
        <v>9.7465916473184797E-2</v>
      </c>
      <c r="E67" s="31">
        <f t="shared" si="33"/>
        <v>-3.5013572850987461E-2</v>
      </c>
      <c r="F67" s="31">
        <f t="shared" si="33"/>
        <v>-4.2018027855243834E-2</v>
      </c>
      <c r="G67" s="31">
        <f t="shared" si="33"/>
        <v>-5.1927100404542195E-2</v>
      </c>
      <c r="H67" s="31">
        <f t="shared" si="33"/>
        <v>-5.4474791401470893E-2</v>
      </c>
      <c r="I67" s="31">
        <f t="shared" si="33"/>
        <v>-5.5444409236766988E-2</v>
      </c>
      <c r="J67" s="31">
        <f t="shared" si="33"/>
        <v>-5.6365237383383199E-2</v>
      </c>
      <c r="K67" s="31"/>
      <c r="L67" s="31">
        <f t="shared" si="34"/>
        <v>3.1226171811098668E-2</v>
      </c>
      <c r="M67" s="31">
        <f t="shared" si="35"/>
        <v>-5.0966082224505979E-2</v>
      </c>
    </row>
  </sheetData>
  <mergeCells count="1">
    <mergeCell ref="O55:P5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84F6A-6154-4307-A51C-7BC03A740F41}">
  <dimension ref="A1"/>
  <sheetViews>
    <sheetView workbookViewId="0">
      <selection activeCell="F25" sqref="F25"/>
    </sheetView>
  </sheetViews>
  <sheetFormatPr defaultRowHeight="14.5"/>
  <cols>
    <col min="1" max="1" width="8.7265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D6FF9-DC8E-47B3-B7C9-1C5A543883D2}">
  <dimension ref="A1:AX121"/>
  <sheetViews>
    <sheetView topLeftCell="K1" zoomScale="90" zoomScaleNormal="90" workbookViewId="0">
      <pane ySplit="1" topLeftCell="A8" activePane="bottomLeft" state="frozen"/>
      <selection pane="bottomLeft" activeCell="W13" sqref="W13"/>
    </sheetView>
  </sheetViews>
  <sheetFormatPr defaultColWidth="8.7265625" defaultRowHeight="14.5"/>
  <cols>
    <col min="1" max="1" width="14.54296875" style="65" customWidth="1"/>
    <col min="2" max="2" width="22.7265625" style="65" customWidth="1"/>
    <col min="3" max="3" width="11" style="168" customWidth="1"/>
    <col min="4" max="14" width="11" style="75" customWidth="1"/>
    <col min="15" max="15" width="4.08984375" style="75" customWidth="1"/>
    <col min="16" max="16" width="5.6328125" style="67" customWidth="1"/>
    <col min="17" max="17" width="12" style="67" customWidth="1"/>
    <col min="18" max="18" width="20.7265625" style="67" customWidth="1"/>
    <col min="19" max="19" width="6.08984375" style="67" bestFit="1" customWidth="1"/>
    <col min="20" max="20" width="9.453125" style="67" bestFit="1" customWidth="1"/>
    <col min="21" max="21" width="8.54296875" style="67" bestFit="1" customWidth="1"/>
    <col min="22" max="22" width="10.6328125" style="67" bestFit="1" customWidth="1"/>
    <col min="23" max="23" width="11" style="67" bestFit="1" customWidth="1"/>
    <col min="24" max="24" width="10" style="67" customWidth="1"/>
    <col min="25" max="25" width="11" style="67" customWidth="1"/>
    <col min="26" max="47" width="10.453125" style="67" bestFit="1" customWidth="1"/>
    <col min="48" max="50" width="10.453125" style="65" bestFit="1" customWidth="1"/>
    <col min="51" max="16384" width="8.7265625" style="65"/>
  </cols>
  <sheetData>
    <row r="1" spans="1:50">
      <c r="A1"/>
      <c r="B1"/>
      <c r="C1" s="74"/>
      <c r="D1" s="74"/>
      <c r="E1" s="74"/>
      <c r="F1" s="74"/>
      <c r="G1" s="74"/>
      <c r="H1" s="74"/>
      <c r="I1" s="74"/>
      <c r="J1" s="74"/>
      <c r="K1" s="74"/>
      <c r="L1" s="132"/>
      <c r="M1" s="132" t="s">
        <v>154</v>
      </c>
      <c r="N1" s="132"/>
      <c r="O1" s="132"/>
      <c r="P1" s="80"/>
      <c r="Q1"/>
      <c r="R1"/>
      <c r="S1"/>
      <c r="T1"/>
      <c r="U1"/>
      <c r="V1"/>
      <c r="W1"/>
      <c r="X1"/>
      <c r="Y1"/>
      <c r="Z1"/>
      <c r="AA1"/>
      <c r="AB1"/>
      <c r="AC1"/>
      <c r="AD1"/>
      <c r="AE1"/>
      <c r="AF1"/>
      <c r="AG1"/>
      <c r="AH1"/>
      <c r="AI1" s="64"/>
      <c r="AJ1" s="64"/>
      <c r="AK1" s="64"/>
      <c r="AL1" s="64"/>
      <c r="AM1" s="64"/>
      <c r="AN1" s="64"/>
      <c r="AO1" s="64"/>
      <c r="AP1" s="64"/>
      <c r="AQ1" s="64"/>
      <c r="AR1" s="64"/>
      <c r="AS1" s="64"/>
      <c r="AT1" s="64"/>
      <c r="AU1" s="64"/>
      <c r="AV1" s="66"/>
      <c r="AW1" s="66"/>
      <c r="AX1" s="66"/>
    </row>
    <row r="2" spans="1:50">
      <c r="A2" s="257" t="s">
        <v>155</v>
      </c>
      <c r="B2" s="257"/>
      <c r="C2" s="257"/>
      <c r="D2" s="257"/>
      <c r="E2" s="257"/>
      <c r="F2" s="257"/>
      <c r="G2" s="257"/>
      <c r="H2" s="257"/>
      <c r="I2" s="257"/>
      <c r="J2" s="257"/>
      <c r="K2" s="257"/>
      <c r="L2" s="257"/>
      <c r="M2" s="257"/>
      <c r="N2" s="222"/>
      <c r="O2" s="222"/>
      <c r="P2"/>
      <c r="Q2"/>
      <c r="R2"/>
      <c r="S2"/>
      <c r="T2"/>
      <c r="U2"/>
      <c r="V2"/>
      <c r="W2"/>
      <c r="X2"/>
      <c r="Y2"/>
      <c r="Z2"/>
      <c r="AA2"/>
      <c r="AB2"/>
      <c r="AC2"/>
      <c r="AD2"/>
      <c r="AE2"/>
      <c r="AF2"/>
      <c r="AG2"/>
      <c r="AH2"/>
      <c r="AI2" s="72"/>
      <c r="AJ2" s="72"/>
      <c r="AK2" s="72"/>
      <c r="AL2" s="72"/>
      <c r="AM2" s="72"/>
      <c r="AN2" s="72"/>
      <c r="AO2" s="72"/>
      <c r="AP2" s="72"/>
      <c r="AQ2" s="72"/>
      <c r="AR2" s="72"/>
      <c r="AS2" s="72"/>
      <c r="AT2" s="72"/>
      <c r="AU2" s="72"/>
    </row>
    <row r="3" spans="1:50">
      <c r="A3" s="257" t="s">
        <v>156</v>
      </c>
      <c r="B3" s="257"/>
      <c r="C3" s="257"/>
      <c r="D3" s="257"/>
      <c r="E3" s="257"/>
      <c r="F3" s="257"/>
      <c r="G3" s="257"/>
      <c r="H3" s="257"/>
      <c r="I3" s="257"/>
      <c r="J3" s="257"/>
      <c r="K3" s="257"/>
      <c r="L3" s="257"/>
      <c r="M3" s="257"/>
      <c r="N3" s="222"/>
      <c r="O3" s="222"/>
      <c r="P3"/>
      <c r="R3"/>
      <c r="S3"/>
      <c r="T3"/>
      <c r="U3"/>
      <c r="V3"/>
      <c r="W3"/>
      <c r="X3"/>
      <c r="Y3"/>
      <c r="Z3"/>
      <c r="AA3"/>
      <c r="AB3"/>
      <c r="AC3"/>
      <c r="AD3"/>
      <c r="AE3"/>
      <c r="AF3"/>
      <c r="AG3"/>
      <c r="AH3"/>
      <c r="AI3" s="72"/>
      <c r="AJ3" s="72"/>
      <c r="AK3" s="72"/>
      <c r="AL3" s="72"/>
      <c r="AM3" s="72"/>
      <c r="AN3" s="72"/>
      <c r="AO3" s="72"/>
      <c r="AP3" s="72"/>
      <c r="AQ3" s="72"/>
      <c r="AR3" s="72"/>
      <c r="AS3" s="72"/>
      <c r="AT3" s="72"/>
      <c r="AU3" s="72"/>
    </row>
    <row r="4" spans="1:50" ht="15" thickBot="1">
      <c r="A4" s="257"/>
      <c r="B4" s="257"/>
      <c r="C4" s="257"/>
      <c r="D4" s="257"/>
      <c r="E4" s="257"/>
      <c r="F4" s="257"/>
      <c r="G4" s="257"/>
      <c r="H4" s="257"/>
      <c r="I4" s="257"/>
      <c r="J4" s="257"/>
      <c r="K4" s="257"/>
      <c r="L4" s="257"/>
      <c r="M4" s="74"/>
      <c r="N4" s="74"/>
      <c r="O4" s="74"/>
      <c r="P4"/>
      <c r="R4"/>
      <c r="S4" t="s">
        <v>244</v>
      </c>
      <c r="T4"/>
      <c r="U4">
        <f>0.03*350</f>
        <v>10.5</v>
      </c>
      <c r="V4"/>
      <c r="W4"/>
      <c r="X4"/>
      <c r="Y4"/>
      <c r="Z4"/>
      <c r="AA4"/>
      <c r="AB4"/>
      <c r="AC4"/>
      <c r="AD4"/>
      <c r="AE4"/>
      <c r="AF4"/>
      <c r="AG4"/>
      <c r="AH4"/>
      <c r="AI4" s="245"/>
      <c r="AJ4" s="245"/>
      <c r="AK4" s="245"/>
      <c r="AL4" s="245"/>
      <c r="AM4" s="245"/>
      <c r="AN4" s="245"/>
      <c r="AO4" s="245"/>
      <c r="AP4" s="245"/>
      <c r="AQ4" s="245"/>
      <c r="AR4" s="245"/>
      <c r="AS4" s="245"/>
      <c r="AT4" s="245"/>
      <c r="AU4" s="245"/>
      <c r="AV4" s="245"/>
      <c r="AW4" s="245"/>
      <c r="AX4" s="245"/>
    </row>
    <row r="5" spans="1:50">
      <c r="A5" s="81"/>
      <c r="B5" s="82"/>
      <c r="C5" s="258" t="s">
        <v>157</v>
      </c>
      <c r="D5" s="259"/>
      <c r="E5" s="259"/>
      <c r="F5" s="259"/>
      <c r="G5" s="259"/>
      <c r="H5" s="259"/>
      <c r="I5" s="258" t="s">
        <v>158</v>
      </c>
      <c r="J5" s="259"/>
      <c r="K5" s="259"/>
      <c r="L5" s="259"/>
      <c r="M5" s="260"/>
      <c r="N5" s="223"/>
      <c r="O5" s="223"/>
      <c r="P5"/>
      <c r="R5"/>
      <c r="S5">
        <f t="shared" ref="S5:Y5" si="0">S11/S18</f>
        <v>-2.0587226597242745E-2</v>
      </c>
      <c r="T5" s="230">
        <f t="shared" si="0"/>
        <v>-5.5524361634543801E-2</v>
      </c>
      <c r="U5" s="230">
        <f t="shared" si="0"/>
        <v>-5.7061390531363727E-2</v>
      </c>
      <c r="V5" s="230">
        <f t="shared" si="0"/>
        <v>-5.0281819379122489E-2</v>
      </c>
      <c r="W5" s="230">
        <f t="shared" si="0"/>
        <v>-4.4307741829127736E-2</v>
      </c>
      <c r="X5" s="230">
        <f t="shared" si="0"/>
        <v>-3.904345567121157E-2</v>
      </c>
      <c r="Y5" s="230">
        <f t="shared" si="0"/>
        <v>-3.4404629254829996E-2</v>
      </c>
      <c r="Z5"/>
      <c r="AA5"/>
      <c r="AB5"/>
      <c r="AC5"/>
      <c r="AD5"/>
      <c r="AE5"/>
      <c r="AF5"/>
      <c r="AG5"/>
      <c r="AH5"/>
      <c r="AI5" s="245"/>
      <c r="AJ5" s="245"/>
      <c r="AK5" s="245"/>
      <c r="AL5" s="245"/>
      <c r="AM5" s="245"/>
      <c r="AN5" s="245"/>
      <c r="AO5" s="245"/>
      <c r="AP5" s="245"/>
      <c r="AQ5" s="245"/>
      <c r="AR5" s="245"/>
      <c r="AS5" s="245"/>
      <c r="AT5" s="245"/>
      <c r="AU5" s="245"/>
      <c r="AV5" s="245"/>
      <c r="AW5" s="245"/>
      <c r="AX5" s="245"/>
    </row>
    <row r="6" spans="1:50">
      <c r="A6" s="74" t="s">
        <v>159</v>
      </c>
      <c r="B6" s="83"/>
      <c r="C6" s="249">
        <v>2019</v>
      </c>
      <c r="D6" s="250"/>
      <c r="E6" s="250"/>
      <c r="F6" s="250"/>
      <c r="G6" s="251">
        <v>2020</v>
      </c>
      <c r="H6" s="252"/>
      <c r="I6" s="253">
        <v>2019</v>
      </c>
      <c r="J6" s="254"/>
      <c r="K6" s="255"/>
      <c r="L6" s="250">
        <v>2020</v>
      </c>
      <c r="M6" s="256"/>
      <c r="N6" s="225">
        <f>M10+M11+M16-L16-L11</f>
        <v>-286.10000000000002</v>
      </c>
      <c r="O6" s="223"/>
      <c r="P6"/>
      <c r="R6" t="s">
        <v>243</v>
      </c>
      <c r="S6"/>
      <c r="T6"/>
      <c r="U6"/>
      <c r="V6"/>
      <c r="W6"/>
      <c r="X6"/>
      <c r="Y6"/>
      <c r="Z6"/>
      <c r="AA6"/>
      <c r="AB6"/>
      <c r="AC6"/>
      <c r="AD6"/>
      <c r="AE6"/>
      <c r="AF6"/>
      <c r="AG6"/>
      <c r="AH6"/>
      <c r="AI6" s="245"/>
      <c r="AJ6" s="245"/>
      <c r="AK6" s="245"/>
      <c r="AL6" s="245"/>
      <c r="AM6" s="245"/>
      <c r="AN6" s="245"/>
      <c r="AO6" s="245"/>
      <c r="AP6" s="245"/>
      <c r="AQ6" s="245"/>
      <c r="AR6" s="245"/>
      <c r="AS6" s="245"/>
      <c r="AT6" s="245"/>
      <c r="AU6" s="245"/>
      <c r="AV6" s="245"/>
      <c r="AW6" s="245"/>
      <c r="AX6" s="245"/>
    </row>
    <row r="7" spans="1:50" ht="15" thickBot="1">
      <c r="A7" s="84"/>
      <c r="B7" s="85"/>
      <c r="C7" s="86" t="s">
        <v>116</v>
      </c>
      <c r="D7" s="87" t="s">
        <v>160</v>
      </c>
      <c r="E7" s="88" t="s">
        <v>161</v>
      </c>
      <c r="F7" s="87" t="s">
        <v>162</v>
      </c>
      <c r="G7" s="88" t="s">
        <v>116</v>
      </c>
      <c r="H7" s="89" t="s">
        <v>163</v>
      </c>
      <c r="I7" s="90" t="s">
        <v>160</v>
      </c>
      <c r="J7" s="91" t="s">
        <v>161</v>
      </c>
      <c r="K7" s="92" t="s">
        <v>162</v>
      </c>
      <c r="L7" s="91" t="s">
        <v>116</v>
      </c>
      <c r="M7" s="93" t="s">
        <v>160</v>
      </c>
      <c r="N7" s="225">
        <f>N6+19</f>
        <v>-267.10000000000002</v>
      </c>
      <c r="O7" s="223"/>
      <c r="P7"/>
      <c r="R7"/>
      <c r="S7"/>
      <c r="T7"/>
      <c r="U7"/>
      <c r="V7"/>
      <c r="W7"/>
      <c r="X7"/>
      <c r="Y7"/>
      <c r="Z7"/>
      <c r="AA7"/>
      <c r="AB7"/>
      <c r="AC7"/>
      <c r="AD7"/>
      <c r="AE7"/>
      <c r="AF7"/>
      <c r="AG7"/>
      <c r="AH7"/>
      <c r="AI7" s="73"/>
      <c r="AJ7" s="73"/>
      <c r="AK7" s="73"/>
      <c r="AL7" s="73"/>
      <c r="AM7" s="73"/>
      <c r="AN7" s="73"/>
      <c r="AO7" s="73"/>
      <c r="AP7" s="73"/>
      <c r="AQ7" s="73"/>
      <c r="AR7" s="73"/>
      <c r="AS7" s="73"/>
      <c r="AT7" s="73"/>
      <c r="AU7" s="73"/>
    </row>
    <row r="8" spans="1:50">
      <c r="A8" s="94">
        <v>1</v>
      </c>
      <c r="B8" s="95" t="s">
        <v>164</v>
      </c>
      <c r="C8" s="133">
        <v>3674.1</v>
      </c>
      <c r="D8" s="134">
        <v>3704.5</v>
      </c>
      <c r="E8" s="135">
        <v>3702.4</v>
      </c>
      <c r="F8" s="134">
        <v>3763.7</v>
      </c>
      <c r="G8" s="135">
        <v>3757.9</v>
      </c>
      <c r="H8" s="134" t="s">
        <v>165</v>
      </c>
      <c r="I8" s="133">
        <v>30.4</v>
      </c>
      <c r="J8" s="135">
        <v>-2.1</v>
      </c>
      <c r="K8" s="135">
        <v>61.3</v>
      </c>
      <c r="L8" s="134">
        <v>-5.9</v>
      </c>
      <c r="M8" s="136" t="s">
        <v>165</v>
      </c>
      <c r="N8" s="224"/>
      <c r="O8" s="224"/>
      <c r="P8"/>
      <c r="R8" t="s">
        <v>116</v>
      </c>
      <c r="S8" t="s">
        <v>160</v>
      </c>
      <c r="T8" t="s">
        <v>161</v>
      </c>
      <c r="U8" t="s">
        <v>162</v>
      </c>
      <c r="V8"/>
      <c r="W8"/>
      <c r="X8"/>
      <c r="Y8"/>
      <c r="Z8"/>
      <c r="AA8"/>
      <c r="AB8"/>
      <c r="AC8"/>
      <c r="AD8"/>
      <c r="AE8"/>
      <c r="AF8"/>
      <c r="AG8"/>
      <c r="AH8"/>
      <c r="AI8" s="246"/>
      <c r="AJ8" s="246"/>
      <c r="AK8" s="246"/>
      <c r="AL8" s="246"/>
      <c r="AM8" s="246"/>
      <c r="AN8" s="246"/>
      <c r="AO8" s="246"/>
      <c r="AP8" s="246"/>
      <c r="AQ8" s="246"/>
      <c r="AR8" s="246"/>
      <c r="AS8" s="246"/>
      <c r="AT8" s="246"/>
      <c r="AU8" s="246"/>
      <c r="AV8" s="246"/>
      <c r="AW8" s="246"/>
      <c r="AX8" s="246"/>
    </row>
    <row r="9" spans="1:50">
      <c r="A9" s="96" t="s">
        <v>166</v>
      </c>
      <c r="B9" s="97" t="s">
        <v>167</v>
      </c>
      <c r="C9" s="137">
        <v>2108.5</v>
      </c>
      <c r="D9" s="138">
        <v>2123.4</v>
      </c>
      <c r="E9" s="139">
        <v>2117.6999999999998</v>
      </c>
      <c r="F9" s="138">
        <v>2177.1</v>
      </c>
      <c r="G9" s="139">
        <v>2154.3000000000002</v>
      </c>
      <c r="H9" s="138" t="s">
        <v>165</v>
      </c>
      <c r="I9" s="137">
        <v>14.9</v>
      </c>
      <c r="J9" s="139">
        <v>-5.7</v>
      </c>
      <c r="K9" s="139">
        <v>59.4</v>
      </c>
      <c r="L9" s="138">
        <v>-22.8</v>
      </c>
      <c r="M9" s="140" t="s">
        <v>165</v>
      </c>
      <c r="N9" s="218">
        <f>M10-L10</f>
        <v>-159.19999999999999</v>
      </c>
      <c r="O9" s="218"/>
      <c r="P9"/>
      <c r="R9"/>
      <c r="S9">
        <f>S11/S10</f>
        <v>6.3091482649842268E-2</v>
      </c>
      <c r="T9" s="230">
        <f>T11/T10</f>
        <v>0.18775416427340613</v>
      </c>
      <c r="U9" s="230">
        <f>U11/U10</f>
        <v>0.20139969726649454</v>
      </c>
      <c r="V9" s="230">
        <f>V11/V10</f>
        <v>0.20139969726649454</v>
      </c>
      <c r="W9"/>
      <c r="X9"/>
      <c r="Y9"/>
      <c r="Z9"/>
      <c r="AA9"/>
      <c r="AB9"/>
      <c r="AC9"/>
      <c r="AD9"/>
      <c r="AE9"/>
      <c r="AF9"/>
      <c r="AG9"/>
      <c r="AH9"/>
      <c r="AI9" s="246"/>
      <c r="AJ9" s="246"/>
      <c r="AK9" s="246"/>
      <c r="AL9" s="246"/>
      <c r="AM9" s="246"/>
      <c r="AN9" s="246"/>
      <c r="AO9" s="246"/>
      <c r="AP9" s="246"/>
      <c r="AQ9" s="246"/>
      <c r="AR9" s="246"/>
      <c r="AS9" s="246"/>
      <c r="AT9" s="246"/>
      <c r="AU9" s="246"/>
      <c r="AV9" s="246"/>
      <c r="AW9" s="246"/>
      <c r="AX9" s="246"/>
    </row>
    <row r="10" spans="1:50">
      <c r="A10" s="98" t="s">
        <v>168</v>
      </c>
      <c r="B10" s="99" t="s">
        <v>169</v>
      </c>
      <c r="C10" s="141">
        <v>1695.5</v>
      </c>
      <c r="D10" s="142">
        <v>1703.1</v>
      </c>
      <c r="E10" s="143">
        <v>1713.2</v>
      </c>
      <c r="F10" s="142">
        <v>1740.2</v>
      </c>
      <c r="G10" s="143">
        <v>1760.9</v>
      </c>
      <c r="H10" s="142">
        <v>1622.5</v>
      </c>
      <c r="I10" s="141">
        <v>7.6</v>
      </c>
      <c r="J10" s="143">
        <v>10.1</v>
      </c>
      <c r="K10" s="143">
        <v>27</v>
      </c>
      <c r="L10" s="142">
        <v>20.7</v>
      </c>
      <c r="M10" s="144">
        <v>-138.5</v>
      </c>
      <c r="N10" s="231">
        <f>(H10/G10)^4-1</f>
        <v>-0.27922444686238712</v>
      </c>
      <c r="O10" s="170"/>
      <c r="P10" s="100"/>
      <c r="Q10" s="67" t="s">
        <v>476</v>
      </c>
      <c r="R10">
        <v>0</v>
      </c>
      <c r="S10" s="170">
        <f>M10+R10-20</f>
        <v>-158.5</v>
      </c>
      <c r="T10" s="170">
        <f>0.7*S10-0.1*512*2/3</f>
        <v>-145.08333333333331</v>
      </c>
      <c r="U10" s="170">
        <f>0.85*T10-0.1*512*1/3</f>
        <v>-140.38749999999999</v>
      </c>
      <c r="V10">
        <f>0.89*U10</f>
        <v>-124.944875</v>
      </c>
      <c r="W10">
        <f>0.93*V10</f>
        <v>-116.19873375</v>
      </c>
      <c r="X10">
        <f>0.97*W10</f>
        <v>-112.71277173750001</v>
      </c>
      <c r="Y10">
        <f>0.84*X10</f>
        <v>-94.678728259500005</v>
      </c>
      <c r="Z10">
        <f>0.84*Y10</f>
        <v>-79.53013173798</v>
      </c>
      <c r="AA10">
        <f>0.84*Z10</f>
        <v>-66.805310659903199</v>
      </c>
      <c r="AB10" t="s">
        <v>250</v>
      </c>
      <c r="AC10"/>
      <c r="AD10"/>
      <c r="AE10"/>
      <c r="AF10"/>
      <c r="AG10"/>
      <c r="AH10"/>
      <c r="AI10" s="246"/>
      <c r="AJ10" s="246"/>
      <c r="AK10" s="246"/>
      <c r="AL10" s="246"/>
      <c r="AM10" s="246"/>
      <c r="AN10" s="246"/>
      <c r="AO10" s="246"/>
      <c r="AP10" s="246"/>
      <c r="AQ10" s="246"/>
      <c r="AR10" s="246"/>
      <c r="AS10" s="246"/>
      <c r="AT10" s="246"/>
      <c r="AU10" s="246"/>
      <c r="AV10" s="246"/>
      <c r="AW10" s="246"/>
      <c r="AX10" s="246"/>
    </row>
    <row r="11" spans="1:50">
      <c r="A11" s="101" t="s">
        <v>170</v>
      </c>
      <c r="B11" s="102" t="s">
        <v>171</v>
      </c>
      <c r="C11" s="145">
        <v>172.1</v>
      </c>
      <c r="D11" s="146">
        <v>168.3</v>
      </c>
      <c r="E11" s="147">
        <v>175.1</v>
      </c>
      <c r="F11" s="146">
        <v>179.2</v>
      </c>
      <c r="G11" s="147">
        <v>183.8</v>
      </c>
      <c r="H11" s="146">
        <v>131.1</v>
      </c>
      <c r="I11" s="145">
        <v>-3.8</v>
      </c>
      <c r="J11" s="147">
        <v>6.8</v>
      </c>
      <c r="K11" s="147">
        <v>4.2</v>
      </c>
      <c r="L11" s="146">
        <v>4.5999999999999996</v>
      </c>
      <c r="M11" s="148">
        <v>-52.7</v>
      </c>
      <c r="N11" s="225">
        <f>N10*4</f>
        <v>-1.1168977874495485</v>
      </c>
      <c r="O11" s="225"/>
      <c r="P11" s="100"/>
      <c r="Q11" t="s">
        <v>477</v>
      </c>
      <c r="R11"/>
      <c r="S11">
        <v>-10</v>
      </c>
      <c r="T11" s="170">
        <f>0.7*S11-0.03*512*2/3-10</f>
        <v>-27.240000000000002</v>
      </c>
      <c r="U11" s="170">
        <f>0.85*T11-0.03*512*1/3</f>
        <v>-28.274000000000001</v>
      </c>
      <c r="V11">
        <f>0.89*U11</f>
        <v>-25.16386</v>
      </c>
      <c r="W11">
        <f>0.89*V11</f>
        <v>-22.395835399999999</v>
      </c>
      <c r="X11">
        <f>0.89*W11</f>
        <v>-19.932293506000001</v>
      </c>
      <c r="Y11">
        <f>0.89*X11</f>
        <v>-17.739741220340001</v>
      </c>
      <c r="Z11">
        <f>0.89*Y11</f>
        <v>-15.788369686102602</v>
      </c>
      <c r="AA11">
        <f>0.89*Z11</f>
        <v>-14.051649020631316</v>
      </c>
      <c r="AB11" t="s">
        <v>251</v>
      </c>
      <c r="AC11"/>
      <c r="AD11"/>
      <c r="AE11" t="s">
        <v>252</v>
      </c>
      <c r="AF11"/>
      <c r="AG11"/>
      <c r="AH11"/>
      <c r="AI11" s="247"/>
      <c r="AJ11" s="247"/>
      <c r="AK11" s="247"/>
      <c r="AL11" s="247"/>
      <c r="AM11" s="247"/>
      <c r="AN11" s="247"/>
      <c r="AO11" s="247"/>
      <c r="AP11" s="247"/>
      <c r="AQ11" s="246"/>
      <c r="AR11" s="246"/>
      <c r="AS11" s="246"/>
      <c r="AT11" s="246"/>
      <c r="AU11" s="247"/>
      <c r="AV11" s="247"/>
      <c r="AW11" s="247"/>
      <c r="AX11" s="247"/>
    </row>
    <row r="12" spans="1:50">
      <c r="A12" s="98"/>
      <c r="B12" s="103" t="s">
        <v>172</v>
      </c>
      <c r="C12" s="149"/>
      <c r="D12" s="150"/>
      <c r="E12" s="151"/>
      <c r="F12" s="150"/>
      <c r="G12" s="151"/>
      <c r="H12" s="150"/>
      <c r="I12" s="149"/>
      <c r="J12" s="151"/>
      <c r="K12" s="151"/>
      <c r="L12" s="150"/>
      <c r="M12" s="152"/>
      <c r="N12" s="224"/>
      <c r="O12" s="224"/>
      <c r="P12" s="100"/>
      <c r="Q12" t="s">
        <v>439</v>
      </c>
      <c r="R12"/>
      <c r="S12">
        <v>768.80000000000007</v>
      </c>
      <c r="T12">
        <v>256.26666666666665</v>
      </c>
      <c r="U12">
        <v>265.71428571428572</v>
      </c>
      <c r="V12"/>
      <c r="W12"/>
      <c r="X12"/>
      <c r="Y12"/>
      <c r="Z12"/>
      <c r="AA12"/>
      <c r="AB12"/>
      <c r="AC12"/>
      <c r="AD12"/>
      <c r="AE12"/>
      <c r="AF12"/>
      <c r="AG12"/>
      <c r="AH12"/>
      <c r="AI12" s="247"/>
      <c r="AJ12" s="247"/>
      <c r="AK12" s="247"/>
      <c r="AL12" s="247"/>
      <c r="AM12" s="247"/>
      <c r="AN12" s="247"/>
      <c r="AO12" s="247"/>
      <c r="AP12" s="247"/>
      <c r="AQ12" s="247"/>
      <c r="AR12" s="247"/>
      <c r="AS12" s="247"/>
      <c r="AT12" s="247"/>
      <c r="AU12" s="247"/>
      <c r="AV12" s="247"/>
      <c r="AW12" s="247"/>
      <c r="AX12" s="247"/>
    </row>
    <row r="13" spans="1:50" ht="16.5">
      <c r="A13" s="98">
        <v>5</v>
      </c>
      <c r="B13" s="99" t="s">
        <v>173</v>
      </c>
      <c r="C13" s="141" t="s">
        <v>174</v>
      </c>
      <c r="D13" s="142" t="s">
        <v>174</v>
      </c>
      <c r="E13" s="143" t="s">
        <v>174</v>
      </c>
      <c r="F13" s="142" t="s">
        <v>174</v>
      </c>
      <c r="G13" s="143">
        <v>-3.5</v>
      </c>
      <c r="H13" s="142">
        <v>-19.399999999999999</v>
      </c>
      <c r="I13" s="141" t="s">
        <v>174</v>
      </c>
      <c r="J13" s="143" t="s">
        <v>174</v>
      </c>
      <c r="K13" s="143" t="s">
        <v>174</v>
      </c>
      <c r="L13" s="142">
        <f>G13</f>
        <v>-3.5</v>
      </c>
      <c r="M13" s="144">
        <v>-15.9</v>
      </c>
      <c r="N13" s="170"/>
      <c r="O13" s="170"/>
      <c r="P13" s="100"/>
      <c r="Q13"/>
      <c r="R13"/>
      <c r="S13"/>
      <c r="T13">
        <f>S12-T12</f>
        <v>512.53333333333342</v>
      </c>
      <c r="U13">
        <f>T12-U12</f>
        <v>-9.4476190476190709</v>
      </c>
      <c r="V13"/>
      <c r="W13"/>
      <c r="X13"/>
      <c r="Y13"/>
      <c r="Z13"/>
      <c r="AA13"/>
      <c r="AB13"/>
      <c r="AC13"/>
      <c r="AD13"/>
      <c r="AE13"/>
      <c r="AF13"/>
      <c r="AG13"/>
      <c r="AH13"/>
      <c r="AI13" s="72"/>
      <c r="AJ13" s="72"/>
      <c r="AK13" s="72"/>
      <c r="AL13" s="72"/>
      <c r="AM13" s="72"/>
      <c r="AN13" s="72"/>
      <c r="AO13" s="72"/>
      <c r="AP13" s="72"/>
      <c r="AQ13" s="72"/>
      <c r="AR13" s="72"/>
      <c r="AS13" s="72"/>
      <c r="AT13" s="72"/>
      <c r="AU13" s="72"/>
    </row>
    <row r="14" spans="1:50">
      <c r="A14" s="101">
        <v>6</v>
      </c>
      <c r="B14" s="102" t="s">
        <v>175</v>
      </c>
      <c r="C14" s="145">
        <v>213.8</v>
      </c>
      <c r="D14" s="146">
        <v>224.2</v>
      </c>
      <c r="E14" s="147">
        <v>201.6</v>
      </c>
      <c r="F14" s="146">
        <v>229.7</v>
      </c>
      <c r="G14" s="147">
        <v>180.5</v>
      </c>
      <c r="H14" s="146" t="s">
        <v>165</v>
      </c>
      <c r="I14" s="145">
        <v>10.4</v>
      </c>
      <c r="J14" s="147">
        <v>-22.6</v>
      </c>
      <c r="K14" s="147">
        <v>28.2</v>
      </c>
      <c r="L14" s="146">
        <v>-49.2</v>
      </c>
      <c r="M14" s="148" t="s">
        <v>165</v>
      </c>
      <c r="N14" s="225"/>
      <c r="O14" s="225"/>
      <c r="P14" s="100"/>
      <c r="Q14"/>
      <c r="R14" s="74" t="s">
        <v>116</v>
      </c>
      <c r="S14" s="70" t="s">
        <v>160</v>
      </c>
      <c r="T14" t="s">
        <v>161</v>
      </c>
      <c r="U14" t="s">
        <v>162</v>
      </c>
      <c r="V14" s="74" t="s">
        <v>116</v>
      </c>
      <c r="W14" s="58" t="s">
        <v>160</v>
      </c>
      <c r="X14" s="74" t="s">
        <v>161</v>
      </c>
      <c r="Y14" s="74" t="s">
        <v>162</v>
      </c>
      <c r="Z14"/>
      <c r="AA14"/>
      <c r="AB14"/>
      <c r="AC14"/>
      <c r="AD14"/>
      <c r="AE14"/>
      <c r="AF14"/>
      <c r="AG14"/>
      <c r="AH14"/>
      <c r="AI14" s="72"/>
      <c r="AJ14" s="72"/>
      <c r="AK14" s="72"/>
      <c r="AL14" s="72"/>
      <c r="AM14" s="72"/>
      <c r="AN14" s="72"/>
      <c r="AO14" s="72"/>
      <c r="AP14" s="72"/>
      <c r="AQ14" s="72"/>
      <c r="AR14" s="72"/>
      <c r="AS14" s="72"/>
      <c r="AT14" s="72"/>
      <c r="AU14" s="72"/>
    </row>
    <row r="15" spans="1:50">
      <c r="A15" s="98">
        <v>7</v>
      </c>
      <c r="B15" s="99" t="s">
        <v>176</v>
      </c>
      <c r="C15" s="141">
        <v>27.1</v>
      </c>
      <c r="D15" s="142">
        <v>27.8</v>
      </c>
      <c r="E15" s="143">
        <v>27.9</v>
      </c>
      <c r="F15" s="142">
        <v>27.9</v>
      </c>
      <c r="G15" s="143">
        <v>29.1</v>
      </c>
      <c r="H15" s="142">
        <v>26.8</v>
      </c>
      <c r="I15" s="141">
        <v>0.7</v>
      </c>
      <c r="J15" s="143">
        <v>0.1</v>
      </c>
      <c r="K15" s="143">
        <v>0</v>
      </c>
      <c r="L15" s="142">
        <v>1.2</v>
      </c>
      <c r="M15" s="144">
        <v>-2.2999999999999998</v>
      </c>
      <c r="N15" s="170"/>
      <c r="O15" s="170"/>
      <c r="P15" s="100"/>
      <c r="Q15" t="s">
        <v>487</v>
      </c>
      <c r="R15" s="31">
        <f>'GDP Changes'!B17</f>
        <v>-1.9620325110833226E-2</v>
      </c>
      <c r="S15" s="31">
        <f>'GDP Changes'!C17</f>
        <v>-0.12644081680416586</v>
      </c>
      <c r="T15" s="31">
        <f>'GDP Changes'!D17</f>
        <v>-0.10567215757527171</v>
      </c>
      <c r="U15" s="31">
        <f>'GDP Changes'!E17</f>
        <v>-9.7164386278009163E-2</v>
      </c>
      <c r="V15" s="31">
        <f>'GDP Changes'!F17</f>
        <v>-9.1316411737503045E-2</v>
      </c>
      <c r="W15" s="31">
        <f>'GDP Changes'!G17</f>
        <v>-8.5658851083321053E-2</v>
      </c>
      <c r="X15" s="31">
        <f>'GDP Changes'!H17</f>
        <v>-7.9009893360617478E-2</v>
      </c>
      <c r="Y15" s="31">
        <f>'GDP Changes'!I18</f>
        <v>-7.6742207969965892E-2</v>
      </c>
      <c r="Z15"/>
      <c r="AA15"/>
      <c r="AB15"/>
      <c r="AC15"/>
      <c r="AD15"/>
      <c r="AE15"/>
      <c r="AF15"/>
      <c r="AG15"/>
      <c r="AH15"/>
      <c r="AI15" s="72"/>
      <c r="AJ15" s="72"/>
      <c r="AK15" s="72"/>
      <c r="AL15" s="72"/>
      <c r="AM15" s="72"/>
      <c r="AN15" s="72"/>
      <c r="AO15" s="72"/>
      <c r="AP15" s="72"/>
      <c r="AQ15" s="72"/>
      <c r="AR15" s="72"/>
      <c r="AS15" s="72"/>
      <c r="AT15" s="72"/>
      <c r="AU15" s="72"/>
    </row>
    <row r="16" spans="1:50">
      <c r="A16" s="96">
        <v>8</v>
      </c>
      <c r="B16" s="97" t="s">
        <v>177</v>
      </c>
      <c r="C16" s="145">
        <v>1391.9</v>
      </c>
      <c r="D16" s="146">
        <v>1397.8</v>
      </c>
      <c r="E16" s="147">
        <v>1402.3</v>
      </c>
      <c r="F16" s="146">
        <v>1416.9</v>
      </c>
      <c r="G16" s="147">
        <v>1436.9</v>
      </c>
      <c r="H16" s="146">
        <v>1366.6</v>
      </c>
      <c r="I16" s="145">
        <v>5.9</v>
      </c>
      <c r="J16" s="147">
        <v>4.5</v>
      </c>
      <c r="K16" s="147">
        <v>14.6</v>
      </c>
      <c r="L16" s="146">
        <v>20</v>
      </c>
      <c r="M16" s="148">
        <v>-70.3</v>
      </c>
      <c r="N16" s="225"/>
      <c r="O16" s="225"/>
      <c r="P16" s="100"/>
      <c r="Q16"/>
      <c r="R16"/>
      <c r="S16"/>
      <c r="T16" s="51">
        <f t="shared" ref="T16:Y16" si="1">T15/S15</f>
        <v>0.83574402828272554</v>
      </c>
      <c r="U16" s="180">
        <f t="shared" si="1"/>
        <v>0.91948899793020367</v>
      </c>
      <c r="V16" s="180">
        <f t="shared" si="1"/>
        <v>0.93981360080046461</v>
      </c>
      <c r="W16" s="180">
        <f t="shared" si="1"/>
        <v>0.93804442655450437</v>
      </c>
      <c r="X16" s="180">
        <f t="shared" si="1"/>
        <v>0.92237862592581266</v>
      </c>
      <c r="Y16" s="180">
        <f t="shared" si="1"/>
        <v>0.97129871596837369</v>
      </c>
      <c r="Z16"/>
      <c r="AA16"/>
      <c r="AB16"/>
      <c r="AC16"/>
      <c r="AD16"/>
      <c r="AE16"/>
      <c r="AF16"/>
      <c r="AG16"/>
      <c r="AH16"/>
      <c r="AI16" s="72"/>
      <c r="AJ16" s="72"/>
      <c r="AK16" s="72"/>
      <c r="AL16" s="72"/>
      <c r="AM16" s="72"/>
      <c r="AN16" s="72"/>
      <c r="AO16" s="72"/>
      <c r="AP16" s="72"/>
      <c r="AQ16" s="72"/>
      <c r="AR16" s="72"/>
      <c r="AS16" s="72"/>
      <c r="AT16" s="72"/>
      <c r="AU16" s="72"/>
    </row>
    <row r="17" spans="1:50">
      <c r="A17" s="104">
        <v>9</v>
      </c>
      <c r="B17" s="105" t="s">
        <v>178</v>
      </c>
      <c r="C17" s="149">
        <v>110.3</v>
      </c>
      <c r="D17" s="150">
        <v>122.2</v>
      </c>
      <c r="E17" s="151">
        <v>101.6</v>
      </c>
      <c r="F17" s="150">
        <v>111.2</v>
      </c>
      <c r="G17" s="151">
        <v>112.8</v>
      </c>
      <c r="H17" s="150">
        <v>113.7</v>
      </c>
      <c r="I17" s="149">
        <v>11.9</v>
      </c>
      <c r="J17" s="151">
        <v>-20.6</v>
      </c>
      <c r="K17" s="151">
        <v>9.6</v>
      </c>
      <c r="L17" s="150">
        <v>1.6</v>
      </c>
      <c r="M17" s="152">
        <v>0.9</v>
      </c>
      <c r="N17" s="224"/>
      <c r="O17" s="224"/>
      <c r="P17" s="100"/>
      <c r="Q17"/>
      <c r="R17"/>
      <c r="S17">
        <f>S18/1760</f>
        <v>0.27598754766604405</v>
      </c>
      <c r="T17"/>
      <c r="U17" s="169" t="s">
        <v>105</v>
      </c>
      <c r="V17"/>
      <c r="W17"/>
      <c r="X17"/>
      <c r="Y17"/>
      <c r="Z17"/>
      <c r="AA17"/>
      <c r="AB17"/>
      <c r="AC17"/>
      <c r="AD17"/>
      <c r="AE17"/>
      <c r="AF17"/>
      <c r="AG17"/>
      <c r="AH17"/>
      <c r="AI17" s="72"/>
      <c r="AJ17" s="72"/>
      <c r="AK17" s="72"/>
      <c r="AL17" s="72"/>
      <c r="AM17" s="72"/>
      <c r="AN17" s="72"/>
      <c r="AO17" s="72"/>
      <c r="AP17" s="72"/>
      <c r="AQ17" s="72"/>
      <c r="AR17" s="72"/>
      <c r="AS17" s="72"/>
      <c r="AT17" s="72"/>
      <c r="AU17" s="72"/>
    </row>
    <row r="18" spans="1:50">
      <c r="A18" s="101">
        <v>10</v>
      </c>
      <c r="B18" s="102" t="s">
        <v>179</v>
      </c>
      <c r="C18" s="145">
        <v>37.9</v>
      </c>
      <c r="D18" s="146">
        <v>38.6</v>
      </c>
      <c r="E18" s="147">
        <v>39.5</v>
      </c>
      <c r="F18" s="146">
        <v>40.1</v>
      </c>
      <c r="G18" s="147">
        <v>35.799999999999997</v>
      </c>
      <c r="H18" s="146">
        <v>16.100000000000001</v>
      </c>
      <c r="I18" s="145">
        <v>0.7</v>
      </c>
      <c r="J18" s="147">
        <v>0.9</v>
      </c>
      <c r="K18" s="147">
        <v>0.7</v>
      </c>
      <c r="L18" s="146">
        <v>-4.4000000000000004</v>
      </c>
      <c r="M18" s="148">
        <v>-19.7</v>
      </c>
      <c r="N18" s="225"/>
      <c r="O18" s="225"/>
      <c r="P18" s="100"/>
      <c r="Q18"/>
      <c r="R18"/>
      <c r="S18" s="28">
        <f>'Pre and Post Tax Collections'!C36</f>
        <v>485.73808389223751</v>
      </c>
      <c r="T18">
        <f t="shared" ref="T18:Y18" si="2">S18*1.01</f>
        <v>490.59546473115989</v>
      </c>
      <c r="U18" s="230">
        <f t="shared" si="2"/>
        <v>495.5014193784715</v>
      </c>
      <c r="V18" s="230">
        <f t="shared" si="2"/>
        <v>500.45643357225623</v>
      </c>
      <c r="W18" s="230">
        <f t="shared" si="2"/>
        <v>505.46099790797882</v>
      </c>
      <c r="X18" s="230">
        <f t="shared" si="2"/>
        <v>510.51560788705859</v>
      </c>
      <c r="Y18" s="230">
        <f t="shared" si="2"/>
        <v>515.6207639659292</v>
      </c>
      <c r="Z18"/>
      <c r="AA18"/>
      <c r="AB18"/>
      <c r="AC18"/>
      <c r="AD18"/>
      <c r="AE18"/>
      <c r="AF18"/>
      <c r="AG18"/>
      <c r="AH18"/>
      <c r="AI18" s="72"/>
      <c r="AJ18" s="72"/>
      <c r="AK18" s="72"/>
      <c r="AL18" s="72"/>
      <c r="AM18" s="72"/>
      <c r="AN18" s="72"/>
      <c r="AO18" s="72"/>
      <c r="AP18" s="72"/>
      <c r="AQ18" s="72"/>
      <c r="AR18" s="72"/>
      <c r="AS18" s="72"/>
      <c r="AT18" s="72"/>
      <c r="AU18" s="72"/>
    </row>
    <row r="19" spans="1:50">
      <c r="A19" s="98"/>
      <c r="B19" s="103" t="s">
        <v>172</v>
      </c>
      <c r="C19" s="149"/>
      <c r="D19" s="150"/>
      <c r="E19" s="151"/>
      <c r="F19" s="150"/>
      <c r="G19" s="151"/>
      <c r="H19" s="150"/>
      <c r="I19" s="149"/>
      <c r="J19" s="151"/>
      <c r="K19" s="151"/>
      <c r="L19" s="150"/>
      <c r="M19" s="152"/>
      <c r="N19" s="224"/>
      <c r="O19" s="224"/>
      <c r="P19" s="100"/>
      <c r="Q19"/>
      <c r="R19"/>
      <c r="S19" s="30">
        <f>S11/S18</f>
        <v>-2.0587226597242745E-2</v>
      </c>
      <c r="T19" s="30">
        <f t="shared" ref="T19:Y19" si="3">T11/495</f>
        <v>-5.5030303030303034E-2</v>
      </c>
      <c r="U19" s="30">
        <f t="shared" si="3"/>
        <v>-5.7119191919191924E-2</v>
      </c>
      <c r="V19" s="30">
        <f t="shared" si="3"/>
        <v>-5.0836080808080809E-2</v>
      </c>
      <c r="W19" s="30">
        <f t="shared" si="3"/>
        <v>-4.5244111919191921E-2</v>
      </c>
      <c r="X19" s="30">
        <f t="shared" si="3"/>
        <v>-4.0267259608080808E-2</v>
      </c>
      <c r="Y19" s="30">
        <f t="shared" si="3"/>
        <v>-3.5837861051191924E-2</v>
      </c>
      <c r="Z19"/>
      <c r="AA19"/>
      <c r="AB19"/>
      <c r="AC19"/>
      <c r="AD19"/>
      <c r="AE19"/>
      <c r="AF19"/>
      <c r="AG19"/>
      <c r="AH19"/>
      <c r="AI19" s="72"/>
      <c r="AJ19" s="72"/>
      <c r="AK19" s="72"/>
      <c r="AL19" s="72"/>
      <c r="AM19" s="72"/>
      <c r="AN19" s="72"/>
      <c r="AO19" s="72"/>
      <c r="AP19" s="72"/>
      <c r="AQ19" s="72"/>
      <c r="AR19" s="72"/>
      <c r="AS19" s="72"/>
      <c r="AT19" s="72"/>
      <c r="AU19" s="72"/>
    </row>
    <row r="20" spans="1:50" ht="16.5">
      <c r="A20" s="98">
        <v>11</v>
      </c>
      <c r="B20" s="99" t="s">
        <v>180</v>
      </c>
      <c r="C20" s="141" t="s">
        <v>174</v>
      </c>
      <c r="D20" s="142" t="s">
        <v>174</v>
      </c>
      <c r="E20" s="143" t="s">
        <v>174</v>
      </c>
      <c r="F20" s="142" t="s">
        <v>174</v>
      </c>
      <c r="G20" s="143">
        <v>-7.1</v>
      </c>
      <c r="H20" s="142">
        <v>-36</v>
      </c>
      <c r="I20" s="141" t="s">
        <v>174</v>
      </c>
      <c r="J20" s="143" t="s">
        <v>174</v>
      </c>
      <c r="K20" s="143" t="s">
        <v>174</v>
      </c>
      <c r="L20" s="142">
        <f>G20</f>
        <v>-7.1</v>
      </c>
      <c r="M20" s="144">
        <f>H20-G20</f>
        <v>-28.9</v>
      </c>
      <c r="N20" s="170"/>
      <c r="O20" s="170"/>
      <c r="P20" s="100"/>
      <c r="Q20"/>
      <c r="R20"/>
      <c r="S20"/>
      <c r="T20" s="30">
        <f>1.36*'GDP Changes'!C18</f>
        <v>7.7011392740446996E-4</v>
      </c>
      <c r="U20" s="30">
        <f>1.36*'GDP Changes'!D18</f>
        <v>-2.0638497072954919E-2</v>
      </c>
      <c r="V20" s="30">
        <f>1.36*'GDP Changes'!E18</f>
        <v>-6.6157255743100565E-2</v>
      </c>
      <c r="W20" s="30">
        <f>1.36*'GDP Changes'!F18</f>
        <v>-9.1214340321088064E-2</v>
      </c>
      <c r="X20" s="30">
        <f>1.36*'GDP Changes'!G18</f>
        <v>-9.7894852201289254E-2</v>
      </c>
      <c r="Y20" s="30">
        <f>1.36*'GDP Changes'!H18</f>
        <v>-0.10371806323935109</v>
      </c>
      <c r="Z20"/>
      <c r="AA20"/>
      <c r="AB20"/>
      <c r="AC20"/>
      <c r="AD20"/>
      <c r="AE20"/>
      <c r="AF20"/>
      <c r="AG20"/>
      <c r="AH20"/>
      <c r="AI20" s="72"/>
      <c r="AJ20" s="72"/>
      <c r="AK20" s="72"/>
      <c r="AL20" s="72"/>
      <c r="AM20" s="72"/>
      <c r="AN20" s="72"/>
      <c r="AO20" s="72"/>
      <c r="AP20" s="72"/>
      <c r="AQ20" s="72"/>
      <c r="AR20" s="72"/>
      <c r="AS20" s="72"/>
      <c r="AT20" s="72"/>
      <c r="AU20" s="72"/>
    </row>
    <row r="21" spans="1:50">
      <c r="A21" s="101">
        <v>12</v>
      </c>
      <c r="B21" s="102" t="s">
        <v>181</v>
      </c>
      <c r="C21" s="145">
        <v>64</v>
      </c>
      <c r="D21" s="146">
        <v>75.099999999999994</v>
      </c>
      <c r="E21" s="147">
        <v>53.6</v>
      </c>
      <c r="F21" s="146">
        <v>62.6</v>
      </c>
      <c r="G21" s="147">
        <v>68.599999999999994</v>
      </c>
      <c r="H21" s="146">
        <v>92.4</v>
      </c>
      <c r="I21" s="145">
        <v>11.1</v>
      </c>
      <c r="J21" s="147">
        <v>-21.4</v>
      </c>
      <c r="K21" s="147">
        <v>9</v>
      </c>
      <c r="L21" s="146">
        <v>6</v>
      </c>
      <c r="M21" s="148">
        <v>23.7</v>
      </c>
      <c r="N21" s="225"/>
      <c r="O21" s="225"/>
      <c r="P21" s="100"/>
      <c r="Q21" s="171">
        <v>22</v>
      </c>
      <c r="R21" s="172" t="s">
        <v>245</v>
      </c>
      <c r="S21" s="173"/>
      <c r="T21" s="116"/>
      <c r="U21" s="115"/>
      <c r="V21" s="116">
        <v>15.5</v>
      </c>
      <c r="W21" s="117">
        <v>1022</v>
      </c>
      <c r="X21" s="117"/>
      <c r="Y21" s="173"/>
      <c r="Z21" s="116"/>
      <c r="AA21" s="115"/>
      <c r="AD21"/>
      <c r="AE21"/>
      <c r="AF21"/>
      <c r="AG21"/>
      <c r="AH21"/>
      <c r="AI21" s="72"/>
      <c r="AJ21" s="72"/>
      <c r="AK21" s="72"/>
      <c r="AL21" s="72"/>
      <c r="AM21" s="72"/>
      <c r="AN21" s="72"/>
      <c r="AO21" s="72"/>
      <c r="AP21" s="72"/>
      <c r="AQ21" s="72"/>
      <c r="AR21" s="72"/>
      <c r="AS21" s="72"/>
      <c r="AT21" s="72"/>
      <c r="AU21" s="72"/>
    </row>
    <row r="22" spans="1:50" ht="16.5">
      <c r="A22" s="98">
        <v>13</v>
      </c>
      <c r="B22" s="99" t="s">
        <v>182</v>
      </c>
      <c r="C22" s="141">
        <v>8.4</v>
      </c>
      <c r="D22" s="142">
        <v>8.5</v>
      </c>
      <c r="E22" s="143">
        <v>8.5</v>
      </c>
      <c r="F22" s="142">
        <v>8.4</v>
      </c>
      <c r="G22" s="143">
        <v>8.4</v>
      </c>
      <c r="H22" s="142">
        <v>5.2</v>
      </c>
      <c r="I22" s="141">
        <v>0.1</v>
      </c>
      <c r="J22" s="143">
        <v>0</v>
      </c>
      <c r="K22" s="143">
        <v>-0.1</v>
      </c>
      <c r="L22" s="142">
        <v>0</v>
      </c>
      <c r="M22" s="144">
        <v>-3.2</v>
      </c>
      <c r="N22" s="170"/>
      <c r="O22" s="170"/>
      <c r="P22" s="100"/>
      <c r="Q22"/>
      <c r="R22" s="174" t="s">
        <v>246</v>
      </c>
      <c r="S22" s="175"/>
      <c r="T22" s="176"/>
      <c r="U22" s="177"/>
      <c r="V22" s="176"/>
      <c r="W22" s="178"/>
      <c r="X22" s="178"/>
      <c r="Y22" s="175"/>
      <c r="Z22" s="176"/>
      <c r="AA22" s="177"/>
      <c r="AD22"/>
      <c r="AE22"/>
      <c r="AF22"/>
      <c r="AG22"/>
      <c r="AH22"/>
      <c r="AI22" s="72"/>
      <c r="AJ22" s="72"/>
      <c r="AK22" s="72"/>
      <c r="AL22" s="72"/>
      <c r="AM22" s="72"/>
      <c r="AN22" s="72"/>
      <c r="AO22" s="72"/>
      <c r="AP22" s="72"/>
      <c r="AQ22" s="72"/>
      <c r="AR22" s="72"/>
      <c r="AS22" s="72"/>
      <c r="AT22" s="72"/>
      <c r="AU22" s="72"/>
    </row>
    <row r="23" spans="1:50">
      <c r="A23" s="96">
        <v>14</v>
      </c>
      <c r="B23" s="97" t="s">
        <v>183</v>
      </c>
      <c r="C23" s="137">
        <v>64.900000000000006</v>
      </c>
      <c r="D23" s="138">
        <v>63</v>
      </c>
      <c r="E23" s="139">
        <v>82.9</v>
      </c>
      <c r="F23" s="138">
        <v>60.5</v>
      </c>
      <c r="G23" s="139">
        <v>54.8</v>
      </c>
      <c r="H23" s="138">
        <v>57.9</v>
      </c>
      <c r="I23" s="137">
        <v>-1.9</v>
      </c>
      <c r="J23" s="139">
        <v>19.8</v>
      </c>
      <c r="K23" s="139">
        <v>-22.3</v>
      </c>
      <c r="L23" s="138">
        <v>-5.7</v>
      </c>
      <c r="M23" s="140">
        <v>3.1</v>
      </c>
      <c r="N23" s="218"/>
      <c r="O23" s="218"/>
      <c r="P23" s="100"/>
      <c r="Q23" s="171">
        <v>23</v>
      </c>
      <c r="R23" s="179" t="s">
        <v>247</v>
      </c>
      <c r="S23" s="175"/>
      <c r="T23" s="176"/>
      <c r="U23" s="177"/>
      <c r="V23" s="176" t="s">
        <v>174</v>
      </c>
      <c r="W23" s="178">
        <v>7.1</v>
      </c>
      <c r="X23" s="178"/>
      <c r="Y23" s="175"/>
      <c r="Z23" s="176"/>
      <c r="AA23" s="177"/>
      <c r="AD23"/>
      <c r="AE23"/>
      <c r="AF23"/>
      <c r="AG23"/>
      <c r="AH23"/>
      <c r="AI23" s="68"/>
      <c r="AJ23" s="68"/>
      <c r="AK23" s="68"/>
      <c r="AL23" s="68"/>
      <c r="AM23" s="68"/>
      <c r="AN23" s="68"/>
      <c r="AO23" s="68"/>
      <c r="AP23" s="68"/>
      <c r="AQ23" s="68"/>
      <c r="AR23" s="68"/>
      <c r="AS23" s="68"/>
      <c r="AT23" s="68"/>
      <c r="AU23" s="68"/>
      <c r="AV23" s="69"/>
      <c r="AW23" s="69"/>
      <c r="AX23" s="69"/>
    </row>
    <row r="24" spans="1:50">
      <c r="A24" s="98">
        <v>15</v>
      </c>
      <c r="B24" s="99" t="s">
        <v>184</v>
      </c>
      <c r="C24" s="141">
        <v>29.1</v>
      </c>
      <c r="D24" s="142">
        <v>30.6</v>
      </c>
      <c r="E24" s="143">
        <v>46.3</v>
      </c>
      <c r="F24" s="142">
        <v>27.3</v>
      </c>
      <c r="G24" s="143">
        <v>28.9</v>
      </c>
      <c r="H24" s="142">
        <v>29.8</v>
      </c>
      <c r="I24" s="141">
        <v>1.5</v>
      </c>
      <c r="J24" s="143">
        <v>15.7</v>
      </c>
      <c r="K24" s="143">
        <v>-18.899999999999999</v>
      </c>
      <c r="L24" s="142">
        <v>1.6</v>
      </c>
      <c r="M24" s="144">
        <v>0.9</v>
      </c>
      <c r="N24" s="170"/>
      <c r="O24" s="170"/>
      <c r="P24" s="100"/>
      <c r="Q24">
        <v>24</v>
      </c>
      <c r="R24" s="179" t="s">
        <v>248</v>
      </c>
      <c r="S24" s="175"/>
      <c r="T24" s="176"/>
      <c r="U24" s="177"/>
      <c r="V24" s="176" t="s">
        <v>174</v>
      </c>
      <c r="W24" s="178">
        <v>122.1</v>
      </c>
      <c r="X24" s="178"/>
      <c r="Y24" s="175"/>
      <c r="Z24" s="176"/>
      <c r="AA24" s="177"/>
      <c r="AD24"/>
      <c r="AE24"/>
      <c r="AF24"/>
      <c r="AG24"/>
      <c r="AH24"/>
      <c r="AI24" s="68"/>
      <c r="AJ24" s="68"/>
      <c r="AK24" s="68"/>
      <c r="AL24" s="68"/>
      <c r="AM24" s="68"/>
      <c r="AN24" s="68"/>
      <c r="AO24" s="68"/>
      <c r="AP24" s="68"/>
      <c r="AQ24" s="68"/>
      <c r="AR24" s="68"/>
      <c r="AS24" s="68"/>
      <c r="AT24" s="68"/>
      <c r="AU24" s="68"/>
      <c r="AV24" s="69"/>
      <c r="AW24" s="69"/>
      <c r="AX24" s="69"/>
    </row>
    <row r="25" spans="1:50">
      <c r="A25" s="101">
        <v>16</v>
      </c>
      <c r="B25" s="102" t="s">
        <v>185</v>
      </c>
      <c r="C25" s="145">
        <v>27.6</v>
      </c>
      <c r="D25" s="146">
        <v>27.5</v>
      </c>
      <c r="E25" s="147">
        <v>27.3</v>
      </c>
      <c r="F25" s="146">
        <v>27.2</v>
      </c>
      <c r="G25" s="147">
        <v>22.9</v>
      </c>
      <c r="H25" s="146">
        <v>22.6</v>
      </c>
      <c r="I25" s="145">
        <v>-0.1</v>
      </c>
      <c r="J25" s="147">
        <v>-0.1</v>
      </c>
      <c r="K25" s="147">
        <v>-0.2</v>
      </c>
      <c r="L25" s="146">
        <v>-4.3</v>
      </c>
      <c r="M25" s="148">
        <v>-0.3</v>
      </c>
      <c r="N25" s="225"/>
      <c r="O25" s="225"/>
      <c r="P25" s="100"/>
      <c r="Q25">
        <v>25</v>
      </c>
      <c r="R25" s="179" t="s">
        <v>249</v>
      </c>
      <c r="S25" s="175"/>
      <c r="T25" s="176"/>
      <c r="U25" s="177"/>
      <c r="V25" s="176" t="s">
        <v>174</v>
      </c>
      <c r="W25" s="178">
        <v>639.6</v>
      </c>
      <c r="X25" s="178"/>
      <c r="Y25" s="175"/>
      <c r="Z25" s="176"/>
      <c r="AA25" s="177"/>
      <c r="AD25"/>
      <c r="AE25"/>
      <c r="AF25"/>
      <c r="AG25"/>
      <c r="AH25"/>
      <c r="AI25" s="68"/>
      <c r="AJ25" s="68"/>
      <c r="AK25" s="68"/>
      <c r="AL25" s="68"/>
      <c r="AM25" s="68"/>
      <c r="AN25" s="68"/>
      <c r="AO25" s="68"/>
      <c r="AP25" s="68"/>
      <c r="AQ25" s="68"/>
      <c r="AR25" s="68"/>
      <c r="AS25" s="68"/>
      <c r="AT25" s="68"/>
      <c r="AU25" s="68"/>
      <c r="AV25" s="69"/>
      <c r="AW25" s="69"/>
      <c r="AX25" s="69"/>
    </row>
    <row r="26" spans="1:50">
      <c r="A26" s="98">
        <v>17</v>
      </c>
      <c r="B26" s="99" t="s">
        <v>186</v>
      </c>
      <c r="C26" s="141">
        <v>8.3000000000000007</v>
      </c>
      <c r="D26" s="142">
        <v>5</v>
      </c>
      <c r="E26" s="143">
        <v>9.3000000000000007</v>
      </c>
      <c r="F26" s="142">
        <v>6</v>
      </c>
      <c r="G26" s="143">
        <v>3</v>
      </c>
      <c r="H26" s="142">
        <v>5.5</v>
      </c>
      <c r="I26" s="141">
        <v>-3.3</v>
      </c>
      <c r="J26" s="143">
        <v>4.3</v>
      </c>
      <c r="K26" s="143">
        <v>-3.2</v>
      </c>
      <c r="L26" s="142">
        <v>-3</v>
      </c>
      <c r="M26" s="144">
        <v>2.5</v>
      </c>
      <c r="N26" s="170"/>
      <c r="O26" s="170"/>
      <c r="P26" s="100"/>
      <c r="Q26"/>
      <c r="R26"/>
      <c r="S26"/>
      <c r="T26"/>
      <c r="U26"/>
      <c r="V26"/>
      <c r="W26">
        <f>W25/(W25+W24)</f>
        <v>0.83970066955494282</v>
      </c>
      <c r="X26"/>
      <c r="Y26"/>
      <c r="Z26"/>
      <c r="AA26"/>
      <c r="AD26"/>
      <c r="AE26"/>
      <c r="AF26"/>
      <c r="AG26"/>
      <c r="AH26"/>
      <c r="AI26" s="68"/>
      <c r="AJ26" s="68"/>
      <c r="AK26" s="68"/>
      <c r="AL26" s="68"/>
      <c r="AM26" s="68"/>
      <c r="AN26" s="68"/>
      <c r="AO26" s="68"/>
      <c r="AP26" s="68"/>
      <c r="AQ26" s="68"/>
      <c r="AR26" s="68"/>
      <c r="AS26" s="68"/>
      <c r="AT26" s="68"/>
      <c r="AU26" s="68"/>
      <c r="AV26" s="69"/>
      <c r="AW26" s="69"/>
      <c r="AX26" s="69"/>
    </row>
    <row r="27" spans="1:50">
      <c r="A27" s="96">
        <v>18</v>
      </c>
      <c r="B27" s="97" t="s">
        <v>187</v>
      </c>
      <c r="C27" s="137">
        <v>-1.6</v>
      </c>
      <c r="D27" s="138">
        <v>-1.9</v>
      </c>
      <c r="E27" s="139">
        <v>-2.1</v>
      </c>
      <c r="F27" s="138">
        <v>-2</v>
      </c>
      <c r="G27" s="139">
        <v>-1</v>
      </c>
      <c r="H27" s="138">
        <v>-0.3</v>
      </c>
      <c r="I27" s="137">
        <v>-0.4</v>
      </c>
      <c r="J27" s="139">
        <v>-0.2</v>
      </c>
      <c r="K27" s="139">
        <v>0.1</v>
      </c>
      <c r="L27" s="138">
        <v>1</v>
      </c>
      <c r="M27" s="140">
        <v>0.7</v>
      </c>
      <c r="N27" s="218"/>
      <c r="O27" s="218"/>
      <c r="P27" s="100"/>
      <c r="Q27"/>
      <c r="R27"/>
      <c r="S27"/>
      <c r="T27"/>
      <c r="U27"/>
      <c r="V27"/>
      <c r="W27"/>
      <c r="X27"/>
      <c r="Y27"/>
      <c r="Z27"/>
      <c r="AA27"/>
      <c r="AB27"/>
      <c r="AC27"/>
      <c r="AD27"/>
      <c r="AE27"/>
      <c r="AF27"/>
      <c r="AG27"/>
      <c r="AH27"/>
      <c r="AI27" s="68"/>
      <c r="AJ27" s="68"/>
      <c r="AK27" s="68"/>
      <c r="AL27" s="68"/>
      <c r="AM27" s="68"/>
      <c r="AN27" s="68"/>
      <c r="AO27" s="68"/>
      <c r="AP27" s="68"/>
      <c r="AQ27" s="68"/>
      <c r="AR27" s="68"/>
      <c r="AS27" s="68"/>
      <c r="AT27" s="68"/>
      <c r="AU27" s="68"/>
      <c r="AV27" s="69"/>
      <c r="AW27" s="69"/>
      <c r="AX27" s="69"/>
    </row>
    <row r="28" spans="1:50">
      <c r="A28" s="106">
        <v>19</v>
      </c>
      <c r="B28" s="107" t="s">
        <v>188</v>
      </c>
      <c r="C28" s="149">
        <v>4690.1000000000004</v>
      </c>
      <c r="D28" s="150">
        <v>4737.5</v>
      </c>
      <c r="E28" s="151">
        <v>4786.3999999999996</v>
      </c>
      <c r="F28" s="150">
        <v>4818.6000000000004</v>
      </c>
      <c r="G28" s="151">
        <v>4903.8999999999996</v>
      </c>
      <c r="H28" s="150">
        <v>9081.4</v>
      </c>
      <c r="I28" s="149">
        <v>47.4</v>
      </c>
      <c r="J28" s="151">
        <v>48.9</v>
      </c>
      <c r="K28" s="151">
        <v>32.200000000000003</v>
      </c>
      <c r="L28" s="150">
        <v>85.3</v>
      </c>
      <c r="M28" s="152">
        <v>4177.5</v>
      </c>
      <c r="N28" s="224"/>
      <c r="O28" s="224"/>
      <c r="P28" s="100"/>
      <c r="Q28"/>
      <c r="R28"/>
      <c r="S28"/>
      <c r="T28"/>
      <c r="U28"/>
      <c r="V28"/>
      <c r="W28"/>
      <c r="X28"/>
      <c r="Y28"/>
      <c r="Z28"/>
      <c r="AA28"/>
      <c r="AB28"/>
      <c r="AC28"/>
      <c r="AD28"/>
      <c r="AE28"/>
      <c r="AF28"/>
      <c r="AG28"/>
      <c r="AH28"/>
      <c r="AI28" s="72"/>
      <c r="AJ28" s="72"/>
      <c r="AK28" s="72"/>
      <c r="AL28" s="72"/>
      <c r="AM28" s="72"/>
      <c r="AN28" s="72"/>
      <c r="AO28" s="72"/>
      <c r="AP28" s="72"/>
      <c r="AQ28" s="72"/>
      <c r="AR28" s="72"/>
      <c r="AS28" s="72"/>
      <c r="AT28" s="72"/>
      <c r="AU28" s="72"/>
    </row>
    <row r="29" spans="1:50">
      <c r="A29" s="108">
        <v>20</v>
      </c>
      <c r="B29" s="109" t="s">
        <v>189</v>
      </c>
      <c r="C29" s="137">
        <v>1076</v>
      </c>
      <c r="D29" s="138">
        <v>1094.9000000000001</v>
      </c>
      <c r="E29" s="139">
        <v>1104.5999999999999</v>
      </c>
      <c r="F29" s="138">
        <v>1113.7</v>
      </c>
      <c r="G29" s="139">
        <v>1118</v>
      </c>
      <c r="H29" s="138">
        <v>1168.7</v>
      </c>
      <c r="I29" s="137">
        <v>18.899999999999999</v>
      </c>
      <c r="J29" s="139">
        <v>9.6999999999999993</v>
      </c>
      <c r="K29" s="139">
        <v>9.1</v>
      </c>
      <c r="L29" s="138">
        <v>4.3</v>
      </c>
      <c r="M29" s="140">
        <v>50.7</v>
      </c>
      <c r="N29" s="218"/>
      <c r="O29" s="218"/>
      <c r="P29" s="100"/>
      <c r="Q29"/>
      <c r="R29"/>
      <c r="S29"/>
      <c r="T29"/>
      <c r="U29"/>
      <c r="V29"/>
      <c r="W29"/>
      <c r="X29"/>
      <c r="Y29"/>
      <c r="Z29"/>
      <c r="AA29"/>
      <c r="AB29"/>
      <c r="AC29"/>
      <c r="AD29"/>
      <c r="AE29"/>
      <c r="AF29"/>
      <c r="AG29"/>
      <c r="AH29"/>
      <c r="AI29" s="72"/>
      <c r="AJ29" s="72"/>
      <c r="AK29" s="72"/>
      <c r="AL29" s="72"/>
      <c r="AM29" s="72"/>
      <c r="AN29" s="72"/>
      <c r="AO29" s="72"/>
      <c r="AP29" s="72"/>
      <c r="AQ29" s="72"/>
      <c r="AR29" s="72"/>
      <c r="AS29" s="72"/>
      <c r="AT29" s="72"/>
      <c r="AU29" s="72"/>
    </row>
    <row r="30" spans="1:50">
      <c r="A30" s="106"/>
      <c r="B30" s="110" t="s">
        <v>190</v>
      </c>
      <c r="C30" s="149"/>
      <c r="D30" s="150"/>
      <c r="E30" s="151"/>
      <c r="F30" s="150"/>
      <c r="G30" s="151"/>
      <c r="H30" s="150"/>
      <c r="I30" s="149"/>
      <c r="J30" s="151"/>
      <c r="K30" s="151"/>
      <c r="L30" s="150"/>
      <c r="M30" s="152"/>
      <c r="N30" s="224"/>
      <c r="O30" s="224"/>
      <c r="P30" s="100"/>
      <c r="Q30"/>
      <c r="R30"/>
      <c r="S30"/>
      <c r="T30"/>
      <c r="U30"/>
      <c r="V30"/>
      <c r="W30"/>
      <c r="X30"/>
      <c r="Y30"/>
      <c r="Z30"/>
      <c r="AA30"/>
      <c r="AB30"/>
      <c r="AC30"/>
      <c r="AD30"/>
      <c r="AE30"/>
      <c r="AF30"/>
      <c r="AG30"/>
      <c r="AH30"/>
      <c r="AI30" s="72"/>
      <c r="AJ30" s="72"/>
      <c r="AK30" s="72"/>
      <c r="AL30" s="72"/>
      <c r="AM30" s="72"/>
      <c r="AN30" s="72"/>
      <c r="AO30" s="72"/>
      <c r="AP30" s="72"/>
      <c r="AQ30" s="72"/>
      <c r="AR30" s="72"/>
      <c r="AS30" s="72"/>
      <c r="AT30" s="72"/>
      <c r="AU30" s="72"/>
    </row>
    <row r="31" spans="1:50" ht="16.5">
      <c r="A31" s="111">
        <v>21</v>
      </c>
      <c r="B31" s="112" t="s">
        <v>191</v>
      </c>
      <c r="C31" s="141" t="s">
        <v>174</v>
      </c>
      <c r="D31" s="142" t="s">
        <v>174</v>
      </c>
      <c r="E31" s="143" t="s">
        <v>174</v>
      </c>
      <c r="F31" s="142" t="s">
        <v>174</v>
      </c>
      <c r="G31" s="143" t="str">
        <f>D31</f>
        <v>...</v>
      </c>
      <c r="H31" s="142">
        <v>60.3</v>
      </c>
      <c r="I31" s="141" t="s">
        <v>174</v>
      </c>
      <c r="J31" s="143" t="s">
        <v>174</v>
      </c>
      <c r="K31" s="143" t="s">
        <v>174</v>
      </c>
      <c r="L31" s="142" t="s">
        <v>174</v>
      </c>
      <c r="M31" s="144">
        <v>60.3</v>
      </c>
      <c r="N31" s="170"/>
      <c r="O31" s="170"/>
      <c r="P31" s="100"/>
      <c r="Q31" s="170" t="s">
        <v>263</v>
      </c>
      <c r="R31" s="170" t="s">
        <v>160</v>
      </c>
      <c r="S31"/>
      <c r="T31"/>
      <c r="U31"/>
      <c r="V31"/>
      <c r="W31"/>
      <c r="X31"/>
      <c r="Y31"/>
      <c r="Z31"/>
      <c r="AA31"/>
      <c r="AB31"/>
      <c r="AC31"/>
      <c r="AD31"/>
      <c r="AE31"/>
      <c r="AF31"/>
      <c r="AG31"/>
      <c r="AH31"/>
      <c r="AI31" s="72"/>
      <c r="AJ31" s="72"/>
      <c r="AK31" s="72"/>
      <c r="AL31" s="72"/>
      <c r="AM31" s="72"/>
      <c r="AN31" s="72"/>
      <c r="AO31" s="72"/>
      <c r="AP31" s="72"/>
      <c r="AQ31" s="72"/>
      <c r="AR31" s="72"/>
      <c r="AS31" s="72"/>
      <c r="AT31" s="72"/>
      <c r="AU31" s="72"/>
    </row>
    <row r="32" spans="1:50">
      <c r="A32" s="108">
        <v>22</v>
      </c>
      <c r="B32" s="109" t="s">
        <v>192</v>
      </c>
      <c r="C32" s="137">
        <v>2968.9</v>
      </c>
      <c r="D32" s="138">
        <v>2998.5</v>
      </c>
      <c r="E32" s="139">
        <v>3016.5</v>
      </c>
      <c r="F32" s="138">
        <v>3039.9</v>
      </c>
      <c r="G32" s="139">
        <v>3129.7</v>
      </c>
      <c r="H32" s="138">
        <v>6266.5</v>
      </c>
      <c r="I32" s="137">
        <v>29.6</v>
      </c>
      <c r="J32" s="139">
        <v>18</v>
      </c>
      <c r="K32" s="139">
        <v>23.3</v>
      </c>
      <c r="L32" s="138">
        <v>89.9</v>
      </c>
      <c r="M32" s="140">
        <v>3136.8</v>
      </c>
      <c r="N32" s="218"/>
      <c r="O32" s="218"/>
      <c r="P32" s="100"/>
      <c r="Q32"/>
      <c r="R32"/>
      <c r="S32"/>
      <c r="T32"/>
      <c r="U32"/>
      <c r="V32"/>
      <c r="W32"/>
      <c r="X32"/>
      <c r="Y32"/>
      <c r="Z32"/>
      <c r="AA32"/>
      <c r="AB32"/>
      <c r="AC32"/>
      <c r="AD32"/>
      <c r="AE32"/>
      <c r="AF32"/>
      <c r="AG32"/>
      <c r="AH32"/>
      <c r="AI32" s="72"/>
      <c r="AJ32" s="72"/>
      <c r="AK32" s="72"/>
      <c r="AL32" s="72"/>
      <c r="AM32" s="72"/>
      <c r="AN32" s="72"/>
      <c r="AO32" s="72"/>
      <c r="AP32" s="72"/>
      <c r="AQ32" s="72"/>
      <c r="AR32" s="72"/>
      <c r="AS32" s="72"/>
      <c r="AT32" s="72"/>
      <c r="AU32" s="72"/>
    </row>
    <row r="33" spans="1:50">
      <c r="A33" s="111">
        <v>23</v>
      </c>
      <c r="B33" s="112" t="s">
        <v>193</v>
      </c>
      <c r="C33" s="141">
        <v>2322.4</v>
      </c>
      <c r="D33" s="142">
        <v>2339.6</v>
      </c>
      <c r="E33" s="143">
        <v>2355.6999999999998</v>
      </c>
      <c r="F33" s="142">
        <v>2372.1</v>
      </c>
      <c r="G33" s="143">
        <v>2447.4</v>
      </c>
      <c r="H33" s="142">
        <v>4824.2</v>
      </c>
      <c r="I33" s="141">
        <v>17.2</v>
      </c>
      <c r="J33" s="143">
        <v>16.100000000000001</v>
      </c>
      <c r="K33" s="143">
        <v>16.399999999999999</v>
      </c>
      <c r="L33" s="142">
        <v>75.3</v>
      </c>
      <c r="M33" s="144">
        <v>2376.6999999999998</v>
      </c>
      <c r="N33" s="170">
        <f>L33-K33</f>
        <v>58.9</v>
      </c>
      <c r="O33" s="170">
        <f>M33-L33+N33</f>
        <v>2360.2999999999997</v>
      </c>
      <c r="P33" s="100"/>
      <c r="Q33" s="100">
        <f>L33-K33</f>
        <v>58.9</v>
      </c>
      <c r="R33" s="100">
        <f>O33</f>
        <v>2360.2999999999997</v>
      </c>
      <c r="S33"/>
      <c r="T33"/>
      <c r="U33"/>
      <c r="V33"/>
      <c r="W33"/>
      <c r="X33"/>
      <c r="Y33"/>
      <c r="Z33"/>
      <c r="AA33"/>
      <c r="AB33"/>
      <c r="AC33"/>
      <c r="AD33"/>
      <c r="AE33"/>
      <c r="AF33"/>
      <c r="AG33"/>
      <c r="AH33"/>
      <c r="AI33" s="72"/>
      <c r="AJ33" s="72"/>
      <c r="AK33" s="72"/>
      <c r="AL33" s="72"/>
      <c r="AM33" s="72"/>
      <c r="AN33" s="72"/>
      <c r="AO33" s="72"/>
      <c r="AP33" s="72"/>
      <c r="AQ33" s="72"/>
      <c r="AR33" s="72"/>
      <c r="AS33" s="72"/>
      <c r="AT33" s="72"/>
      <c r="AU33" s="72"/>
    </row>
    <row r="34" spans="1:50">
      <c r="A34" s="113">
        <v>24</v>
      </c>
      <c r="B34" s="114" t="s">
        <v>194</v>
      </c>
      <c r="C34" s="145">
        <v>2298.8000000000002</v>
      </c>
      <c r="D34" s="146">
        <v>2315.8000000000002</v>
      </c>
      <c r="E34" s="147">
        <v>2331.4</v>
      </c>
      <c r="F34" s="146">
        <v>2347.6999999999998</v>
      </c>
      <c r="G34" s="147">
        <v>2422.5</v>
      </c>
      <c r="H34" s="146">
        <v>4790.7</v>
      </c>
      <c r="I34" s="145">
        <v>17.100000000000001</v>
      </c>
      <c r="J34" s="147">
        <v>15.6</v>
      </c>
      <c r="K34" s="147">
        <v>16.3</v>
      </c>
      <c r="L34" s="146">
        <v>74.8</v>
      </c>
      <c r="M34" s="148">
        <v>2368.1</v>
      </c>
      <c r="N34" s="170">
        <f t="shared" ref="N34:N45" si="4">L34-K34</f>
        <v>58.5</v>
      </c>
      <c r="O34" s="170">
        <f>M34-L34+N34</f>
        <v>2351.7999999999997</v>
      </c>
      <c r="P34" s="100"/>
      <c r="Q34" s="100">
        <f t="shared" ref="Q34:Q35" si="5">L34-K34</f>
        <v>58.5</v>
      </c>
      <c r="R34" s="100">
        <f t="shared" ref="R34:R35" si="6">M34+Q34</f>
        <v>2426.6</v>
      </c>
      <c r="S34"/>
      <c r="T34"/>
      <c r="U34"/>
      <c r="V34"/>
      <c r="W34"/>
      <c r="X34"/>
      <c r="Y34"/>
      <c r="Z34"/>
      <c r="AA34"/>
      <c r="AB34"/>
      <c r="AC34"/>
      <c r="AD34"/>
      <c r="AE34"/>
      <c r="AF34"/>
      <c r="AG34"/>
      <c r="AH34"/>
      <c r="AI34" s="72"/>
      <c r="AJ34" s="72"/>
      <c r="AK34" s="72"/>
      <c r="AL34" s="72"/>
      <c r="AM34" s="72"/>
      <c r="AN34" s="72"/>
      <c r="AO34" s="72"/>
      <c r="AP34" s="72"/>
      <c r="AQ34" s="72"/>
      <c r="AR34" s="72"/>
      <c r="AS34" s="72"/>
      <c r="AT34" s="72"/>
      <c r="AU34" s="72"/>
    </row>
    <row r="35" spans="1:50">
      <c r="A35" s="111"/>
      <c r="B35" s="110" t="s">
        <v>195</v>
      </c>
      <c r="C35" s="153"/>
      <c r="D35" s="154"/>
      <c r="E35" s="155"/>
      <c r="F35" s="154"/>
      <c r="G35" s="155"/>
      <c r="H35" s="154"/>
      <c r="I35" s="153"/>
      <c r="J35" s="155"/>
      <c r="K35" s="155"/>
      <c r="L35" s="154"/>
      <c r="M35" s="156"/>
      <c r="N35" s="170">
        <f t="shared" si="4"/>
        <v>0</v>
      </c>
      <c r="O35" s="170"/>
      <c r="P35" s="100"/>
      <c r="Q35" s="100">
        <f t="shared" si="5"/>
        <v>0</v>
      </c>
      <c r="R35" s="100">
        <f t="shared" si="6"/>
        <v>0</v>
      </c>
      <c r="S35"/>
      <c r="T35"/>
      <c r="U35"/>
      <c r="V35"/>
      <c r="W35"/>
      <c r="X35"/>
      <c r="Y35"/>
      <c r="Z35"/>
      <c r="AA35"/>
      <c r="AB35"/>
      <c r="AC35"/>
      <c r="AD35"/>
      <c r="AE35"/>
      <c r="AF35"/>
      <c r="AG35"/>
      <c r="AH35"/>
      <c r="AI35" s="72"/>
      <c r="AJ35" s="72"/>
      <c r="AK35" s="72"/>
      <c r="AL35" s="72"/>
      <c r="AM35" s="72"/>
      <c r="AN35" s="72"/>
      <c r="AO35" s="72"/>
      <c r="AP35" s="72"/>
      <c r="AQ35" s="72"/>
      <c r="AR35" s="72"/>
      <c r="AS35" s="72"/>
      <c r="AT35" s="72"/>
      <c r="AU35" s="72"/>
    </row>
    <row r="36" spans="1:50" ht="16.5">
      <c r="A36" s="111">
        <v>25</v>
      </c>
      <c r="B36" s="112" t="s">
        <v>196</v>
      </c>
      <c r="C36" s="141" t="s">
        <v>174</v>
      </c>
      <c r="D36" s="142" t="s">
        <v>174</v>
      </c>
      <c r="E36" s="143" t="s">
        <v>174</v>
      </c>
      <c r="F36" s="142" t="s">
        <v>174</v>
      </c>
      <c r="G36" s="143" t="s">
        <v>174</v>
      </c>
      <c r="H36" s="142">
        <v>1078.0999999999999</v>
      </c>
      <c r="I36" s="141" t="s">
        <v>174</v>
      </c>
      <c r="J36" s="143" t="s">
        <v>174</v>
      </c>
      <c r="K36" s="143" t="s">
        <v>174</v>
      </c>
      <c r="L36" s="142" t="s">
        <v>174</v>
      </c>
      <c r="M36" s="144">
        <f>H36</f>
        <v>1078.0999999999999</v>
      </c>
      <c r="N36" s="170"/>
      <c r="O36" s="170"/>
      <c r="P36" s="100"/>
      <c r="Q36" s="100"/>
      <c r="R36" s="100">
        <f>M36</f>
        <v>1078.0999999999999</v>
      </c>
      <c r="S36"/>
      <c r="T36"/>
      <c r="U36"/>
      <c r="V36"/>
      <c r="W36"/>
      <c r="X36"/>
      <c r="Y36"/>
      <c r="Z36"/>
      <c r="AA36"/>
      <c r="AB36"/>
      <c r="AC36"/>
      <c r="AD36"/>
      <c r="AE36"/>
      <c r="AF36"/>
      <c r="AG36"/>
      <c r="AH36"/>
      <c r="AI36" s="72"/>
      <c r="AJ36" s="72"/>
      <c r="AK36" s="72"/>
      <c r="AL36" s="72"/>
      <c r="AM36" s="72"/>
      <c r="AN36" s="72"/>
      <c r="AO36" s="72"/>
      <c r="AP36" s="72"/>
      <c r="AQ36" s="72"/>
      <c r="AR36" s="72"/>
      <c r="AS36" s="72"/>
      <c r="AT36" s="72"/>
      <c r="AU36" s="72"/>
    </row>
    <row r="37" spans="1:50" ht="16.5">
      <c r="A37" s="111">
        <v>26</v>
      </c>
      <c r="B37" s="112" t="s">
        <v>197</v>
      </c>
      <c r="C37" s="141" t="s">
        <v>174</v>
      </c>
      <c r="D37" s="142" t="s">
        <v>174</v>
      </c>
      <c r="E37" s="143" t="s">
        <v>174</v>
      </c>
      <c r="F37" s="142" t="s">
        <v>174</v>
      </c>
      <c r="G37" s="143" t="str">
        <f>F38</f>
        <v>...</v>
      </c>
      <c r="H37" s="142">
        <v>768.8</v>
      </c>
      <c r="I37" s="141" t="s">
        <v>174</v>
      </c>
      <c r="J37" s="143" t="s">
        <v>174</v>
      </c>
      <c r="K37" s="143" t="s">
        <v>174</v>
      </c>
      <c r="L37" s="142" t="s">
        <v>174</v>
      </c>
      <c r="M37" s="144">
        <v>768.8</v>
      </c>
      <c r="N37" s="170"/>
      <c r="O37" s="170"/>
      <c r="P37" s="100"/>
      <c r="Q37" s="100"/>
      <c r="R37" s="100">
        <f t="shared" ref="R37:R38" si="7">M37</f>
        <v>768.8</v>
      </c>
      <c r="S37"/>
      <c r="T37"/>
      <c r="U37"/>
      <c r="V37"/>
      <c r="W37"/>
      <c r="X37"/>
      <c r="Y37"/>
      <c r="Z37"/>
      <c r="AA37"/>
      <c r="AB37"/>
      <c r="AC37"/>
      <c r="AD37"/>
      <c r="AE37"/>
      <c r="AF37"/>
      <c r="AG37"/>
      <c r="AH37"/>
      <c r="AI37" s="72"/>
      <c r="AJ37" s="72"/>
      <c r="AK37" s="72"/>
      <c r="AL37" s="72"/>
      <c r="AM37" s="72"/>
      <c r="AN37" s="72"/>
      <c r="AO37" s="72"/>
      <c r="AP37" s="72"/>
      <c r="AQ37" s="72"/>
      <c r="AR37" s="72"/>
      <c r="AS37" s="72"/>
      <c r="AT37" s="72"/>
      <c r="AU37" s="72"/>
    </row>
    <row r="38" spans="1:50" ht="16.5">
      <c r="A38" s="111">
        <v>27</v>
      </c>
      <c r="B38" s="112" t="s">
        <v>198</v>
      </c>
      <c r="C38" s="141" t="s">
        <v>174</v>
      </c>
      <c r="D38" s="142" t="s">
        <v>174</v>
      </c>
      <c r="E38" s="143" t="s">
        <v>174</v>
      </c>
      <c r="F38" s="142" t="s">
        <v>174</v>
      </c>
      <c r="G38" s="143" t="str">
        <f>E37</f>
        <v>...</v>
      </c>
      <c r="H38" s="142">
        <v>9.6999999999999993</v>
      </c>
      <c r="I38" s="141" t="s">
        <v>174</v>
      </c>
      <c r="J38" s="143" t="s">
        <v>174</v>
      </c>
      <c r="K38" s="143" t="s">
        <v>174</v>
      </c>
      <c r="L38" s="142" t="s">
        <v>174</v>
      </c>
      <c r="M38" s="144">
        <v>9.6999999999999993</v>
      </c>
      <c r="N38" s="170"/>
      <c r="O38" s="170"/>
      <c r="P38" s="100"/>
      <c r="Q38" s="100"/>
      <c r="R38" s="100">
        <f t="shared" si="7"/>
        <v>9.6999999999999993</v>
      </c>
      <c r="S38"/>
      <c r="T38"/>
      <c r="U38"/>
      <c r="V38"/>
      <c r="W38"/>
      <c r="X38"/>
      <c r="Y38"/>
      <c r="Z38"/>
      <c r="AA38"/>
      <c r="AB38"/>
      <c r="AC38"/>
      <c r="AD38"/>
      <c r="AE38"/>
      <c r="AF38"/>
      <c r="AG38"/>
      <c r="AH38"/>
      <c r="AI38" s="72"/>
      <c r="AJ38" s="72"/>
      <c r="AK38" s="72"/>
      <c r="AL38" s="72"/>
      <c r="AM38" s="72"/>
      <c r="AN38" s="72"/>
      <c r="AO38" s="72"/>
      <c r="AP38" s="72"/>
      <c r="AQ38" s="72"/>
      <c r="AR38" s="72"/>
      <c r="AS38" s="72"/>
      <c r="AT38" s="72"/>
      <c r="AU38" s="72"/>
    </row>
    <row r="39" spans="1:50" ht="16.5">
      <c r="A39" s="111">
        <v>28</v>
      </c>
      <c r="B39" s="112" t="s">
        <v>199</v>
      </c>
      <c r="C39" s="141" t="s">
        <v>174</v>
      </c>
      <c r="D39" s="142" t="s">
        <v>174</v>
      </c>
      <c r="E39" s="143" t="s">
        <v>174</v>
      </c>
      <c r="F39" s="142" t="s">
        <v>174</v>
      </c>
      <c r="G39" s="143" t="str">
        <f>D38</f>
        <v>...</v>
      </c>
      <c r="H39" s="142">
        <v>19.100000000000001</v>
      </c>
      <c r="I39" s="141" t="s">
        <v>174</v>
      </c>
      <c r="J39" s="143" t="s">
        <v>174</v>
      </c>
      <c r="K39" s="143" t="s">
        <v>174</v>
      </c>
      <c r="L39" s="142" t="s">
        <v>174</v>
      </c>
      <c r="M39" s="144">
        <v>19.100000000000001</v>
      </c>
      <c r="N39" s="170"/>
      <c r="O39" s="170"/>
      <c r="P39" s="100"/>
      <c r="Q39" s="100"/>
      <c r="R39" s="100">
        <f>M39</f>
        <v>19.100000000000001</v>
      </c>
      <c r="S39"/>
      <c r="T39"/>
      <c r="U39"/>
      <c r="V39"/>
      <c r="W39"/>
      <c r="X39"/>
      <c r="Y39"/>
      <c r="Z39"/>
      <c r="AA39"/>
      <c r="AB39"/>
      <c r="AC39"/>
      <c r="AD39"/>
      <c r="AE39"/>
      <c r="AF39"/>
      <c r="AG39"/>
      <c r="AH39"/>
      <c r="AI39" s="72"/>
      <c r="AJ39" s="72"/>
      <c r="AK39" s="72"/>
      <c r="AL39" s="72"/>
      <c r="AM39" s="72"/>
      <c r="AN39" s="72"/>
      <c r="AO39" s="72"/>
      <c r="AP39" s="72"/>
      <c r="AQ39" s="72"/>
      <c r="AR39" s="72"/>
      <c r="AS39" s="72"/>
      <c r="AT39" s="72"/>
      <c r="AU39" s="72"/>
    </row>
    <row r="40" spans="1:50">
      <c r="A40" s="113">
        <v>29</v>
      </c>
      <c r="B40" s="114" t="s">
        <v>200</v>
      </c>
      <c r="C40" s="145">
        <v>23.6</v>
      </c>
      <c r="D40" s="146">
        <v>23.8</v>
      </c>
      <c r="E40" s="147">
        <v>24.3</v>
      </c>
      <c r="F40" s="146">
        <v>24.4</v>
      </c>
      <c r="G40" s="147">
        <v>24.9</v>
      </c>
      <c r="H40" s="146">
        <v>33.5</v>
      </c>
      <c r="I40" s="145">
        <v>0.2</v>
      </c>
      <c r="J40" s="147">
        <v>0.5</v>
      </c>
      <c r="K40" s="147">
        <v>0.1</v>
      </c>
      <c r="L40" s="146">
        <v>0.5</v>
      </c>
      <c r="M40" s="148">
        <v>8.6</v>
      </c>
      <c r="N40" s="170">
        <f t="shared" si="4"/>
        <v>0.4</v>
      </c>
      <c r="O40" s="170">
        <f t="shared" ref="O40:O45" si="8">M40-L40+N40</f>
        <v>8.5</v>
      </c>
      <c r="P40" s="100" t="s">
        <v>264</v>
      </c>
      <c r="Q40" s="100"/>
      <c r="R40" s="100">
        <f>SUM(R36:R39)</f>
        <v>1875.6999999999998</v>
      </c>
      <c r="S40"/>
      <c r="T40"/>
      <c r="U40"/>
      <c r="V40"/>
      <c r="W40"/>
      <c r="X40"/>
      <c r="Y40"/>
      <c r="Z40"/>
      <c r="AA40"/>
      <c r="AB40"/>
      <c r="AC40"/>
      <c r="AD40"/>
      <c r="AE40"/>
      <c r="AF40"/>
      <c r="AG40"/>
      <c r="AH40"/>
      <c r="AI40" s="72"/>
      <c r="AJ40" s="72"/>
      <c r="AK40" s="72"/>
      <c r="AL40" s="72"/>
      <c r="AM40" s="72"/>
      <c r="AN40" s="72"/>
      <c r="AO40" s="72"/>
      <c r="AP40" s="72"/>
      <c r="AQ40" s="72"/>
      <c r="AR40" s="72"/>
      <c r="AS40" s="72"/>
      <c r="AT40" s="72"/>
      <c r="AU40" s="72"/>
    </row>
    <row r="41" spans="1:50">
      <c r="A41" s="111"/>
      <c r="B41" s="110" t="s">
        <v>201</v>
      </c>
      <c r="C41" s="157"/>
      <c r="D41" s="158"/>
      <c r="E41" s="159"/>
      <c r="F41" s="158"/>
      <c r="G41" s="159"/>
      <c r="H41" s="158"/>
      <c r="I41" s="157"/>
      <c r="J41" s="159"/>
      <c r="K41" s="159"/>
      <c r="L41" s="158"/>
      <c r="M41" s="160"/>
      <c r="N41" s="170">
        <f t="shared" si="4"/>
        <v>0</v>
      </c>
      <c r="O41" s="170">
        <f t="shared" si="8"/>
        <v>0</v>
      </c>
      <c r="P41" s="100" t="s">
        <v>265</v>
      </c>
      <c r="Q41" s="100">
        <f>Q34-Q40</f>
        <v>58.5</v>
      </c>
      <c r="R41" s="100">
        <f>R34-R40</f>
        <v>550.90000000000009</v>
      </c>
      <c r="S41"/>
      <c r="T41"/>
      <c r="U41"/>
      <c r="V41"/>
      <c r="W41"/>
      <c r="X41"/>
      <c r="Y41"/>
      <c r="Z41"/>
      <c r="AA41"/>
      <c r="AB41"/>
      <c r="AC41"/>
      <c r="AD41"/>
      <c r="AE41"/>
      <c r="AF41"/>
      <c r="AG41"/>
      <c r="AH41"/>
      <c r="AI41" s="248"/>
      <c r="AJ41" s="248"/>
      <c r="AK41" s="248"/>
      <c r="AL41" s="248"/>
      <c r="AM41" s="72"/>
      <c r="AN41" s="72"/>
      <c r="AO41" s="72"/>
      <c r="AP41" s="72"/>
      <c r="AQ41" s="248"/>
      <c r="AR41" s="248"/>
      <c r="AS41" s="248"/>
      <c r="AT41" s="248"/>
      <c r="AU41" s="248"/>
      <c r="AV41" s="248"/>
      <c r="AW41" s="248"/>
      <c r="AX41" s="248"/>
    </row>
    <row r="42" spans="1:50" ht="16.5">
      <c r="A42" s="111">
        <v>30</v>
      </c>
      <c r="B42" s="112" t="s">
        <v>202</v>
      </c>
      <c r="C42" s="141" t="s">
        <v>174</v>
      </c>
      <c r="D42" s="142" t="s">
        <v>174</v>
      </c>
      <c r="E42" s="143" t="s">
        <v>174</v>
      </c>
      <c r="F42" s="142" t="s">
        <v>174</v>
      </c>
      <c r="G42" s="143" t="s">
        <v>174</v>
      </c>
      <c r="H42" s="142">
        <v>4.9000000000000004</v>
      </c>
      <c r="I42" s="141" t="s">
        <v>174</v>
      </c>
      <c r="J42" s="143" t="s">
        <v>174</v>
      </c>
      <c r="K42" s="143" t="s">
        <v>174</v>
      </c>
      <c r="L42" s="142" t="s">
        <v>174</v>
      </c>
      <c r="M42" s="144">
        <f>H42</f>
        <v>4.9000000000000004</v>
      </c>
      <c r="N42" s="170" t="e">
        <f t="shared" si="4"/>
        <v>#VALUE!</v>
      </c>
      <c r="O42" s="170" t="e">
        <f t="shared" si="8"/>
        <v>#VALUE!</v>
      </c>
      <c r="P42" s="100"/>
      <c r="Q42"/>
      <c r="R42"/>
      <c r="S42"/>
      <c r="T42"/>
      <c r="U42"/>
      <c r="V42"/>
      <c r="W42"/>
      <c r="X42"/>
      <c r="Y42"/>
      <c r="Z42"/>
      <c r="AA42"/>
      <c r="AB42"/>
      <c r="AC42"/>
      <c r="AD42"/>
      <c r="AE42"/>
      <c r="AF42"/>
      <c r="AG42"/>
      <c r="AH42"/>
      <c r="AI42" s="72"/>
      <c r="AJ42" s="72"/>
      <c r="AK42" s="72"/>
      <c r="AL42" s="72"/>
      <c r="AM42" s="72"/>
      <c r="AN42" s="72"/>
      <c r="AO42" s="72"/>
      <c r="AP42" s="72"/>
      <c r="AQ42" s="72"/>
      <c r="AR42" s="72"/>
      <c r="AS42" s="72"/>
      <c r="AT42" s="72"/>
      <c r="AU42" s="72"/>
    </row>
    <row r="43" spans="1:50">
      <c r="A43" s="113">
        <v>31</v>
      </c>
      <c r="B43" s="114" t="s">
        <v>203</v>
      </c>
      <c r="C43" s="145">
        <v>646.5</v>
      </c>
      <c r="D43" s="146">
        <v>658.9</v>
      </c>
      <c r="E43" s="147">
        <v>660.8</v>
      </c>
      <c r="F43" s="146">
        <v>667.7</v>
      </c>
      <c r="G43" s="147">
        <v>682.3</v>
      </c>
      <c r="H43" s="146">
        <v>1442.3</v>
      </c>
      <c r="I43" s="145">
        <v>12.4</v>
      </c>
      <c r="J43" s="147">
        <v>1.9</v>
      </c>
      <c r="K43" s="147">
        <v>6.9</v>
      </c>
      <c r="L43" s="146">
        <v>14.5</v>
      </c>
      <c r="M43" s="148">
        <v>760.1</v>
      </c>
      <c r="N43" s="170">
        <f t="shared" si="4"/>
        <v>7.6</v>
      </c>
      <c r="O43" s="170">
        <f t="shared" si="8"/>
        <v>753.2</v>
      </c>
      <c r="P43" s="100"/>
      <c r="Q43"/>
      <c r="R43"/>
      <c r="S43"/>
      <c r="T43"/>
      <c r="U43"/>
      <c r="V43"/>
      <c r="W43"/>
      <c r="X43"/>
      <c r="Y43"/>
      <c r="Z43"/>
      <c r="AA43"/>
      <c r="AB43"/>
      <c r="AC43"/>
      <c r="AD43"/>
      <c r="AE43"/>
      <c r="AF43"/>
      <c r="AG43"/>
      <c r="AH43"/>
      <c r="AI43" s="72"/>
      <c r="AJ43" s="72"/>
      <c r="AK43" s="72"/>
      <c r="AL43" s="72"/>
      <c r="AM43" s="72"/>
      <c r="AN43" s="72"/>
      <c r="AO43" s="72"/>
      <c r="AP43" s="72"/>
      <c r="AQ43" s="72"/>
      <c r="AR43" s="72"/>
      <c r="AS43" s="72"/>
      <c r="AT43" s="72"/>
      <c r="AU43" s="72"/>
    </row>
    <row r="44" spans="1:50">
      <c r="A44" s="111">
        <v>32</v>
      </c>
      <c r="B44" s="112" t="s">
        <v>204</v>
      </c>
      <c r="C44" s="141">
        <v>594.20000000000005</v>
      </c>
      <c r="D44" s="142">
        <v>612.5</v>
      </c>
      <c r="E44" s="143">
        <v>610.29999999999995</v>
      </c>
      <c r="F44" s="142">
        <v>615.4</v>
      </c>
      <c r="G44" s="143">
        <v>627.79999999999995</v>
      </c>
      <c r="H44" s="142">
        <v>1394</v>
      </c>
      <c r="I44" s="141">
        <v>18.3</v>
      </c>
      <c r="J44" s="143">
        <v>-2.2000000000000002</v>
      </c>
      <c r="K44" s="143">
        <v>5.0999999999999996</v>
      </c>
      <c r="L44" s="142">
        <v>12.4</v>
      </c>
      <c r="M44" s="144">
        <v>766.2</v>
      </c>
      <c r="N44" s="170">
        <f t="shared" si="4"/>
        <v>7.3000000000000007</v>
      </c>
      <c r="O44" s="170">
        <f t="shared" si="8"/>
        <v>761.1</v>
      </c>
      <c r="P44" s="100"/>
      <c r="Q44"/>
      <c r="R44"/>
      <c r="S44"/>
      <c r="T44"/>
      <c r="U44"/>
      <c r="V44"/>
      <c r="W44"/>
      <c r="X44"/>
      <c r="Y44"/>
      <c r="Z44"/>
      <c r="AA44"/>
      <c r="AB44"/>
      <c r="AC44"/>
      <c r="AD44"/>
      <c r="AE44"/>
      <c r="AF44"/>
      <c r="AG44"/>
      <c r="AH44"/>
    </row>
    <row r="45" spans="1:50">
      <c r="A45" s="113">
        <v>33</v>
      </c>
      <c r="B45" s="114" t="s">
        <v>200</v>
      </c>
      <c r="C45" s="145">
        <v>52.3</v>
      </c>
      <c r="D45" s="146">
        <v>46.3</v>
      </c>
      <c r="E45" s="147">
        <v>50.5</v>
      </c>
      <c r="F45" s="146">
        <v>52.3</v>
      </c>
      <c r="G45" s="147">
        <v>54.5</v>
      </c>
      <c r="H45" s="146">
        <v>48.3</v>
      </c>
      <c r="I45" s="145">
        <v>-5.9</v>
      </c>
      <c r="J45" s="147">
        <v>4.0999999999999996</v>
      </c>
      <c r="K45" s="147">
        <v>1.9</v>
      </c>
      <c r="L45" s="146">
        <v>2.1</v>
      </c>
      <c r="M45" s="148">
        <v>-6.2</v>
      </c>
      <c r="N45" s="170">
        <f t="shared" si="4"/>
        <v>0.20000000000000018</v>
      </c>
      <c r="O45" s="170">
        <f t="shared" si="8"/>
        <v>-8.1000000000000014</v>
      </c>
      <c r="P45" s="100"/>
      <c r="Q45"/>
      <c r="R45"/>
      <c r="S45"/>
      <c r="T45"/>
      <c r="U45"/>
      <c r="V45"/>
      <c r="W45"/>
      <c r="X45"/>
      <c r="Y45"/>
      <c r="Z45"/>
      <c r="AA45"/>
      <c r="AB45"/>
      <c r="AC45"/>
      <c r="AD45"/>
      <c r="AE45"/>
      <c r="AF45"/>
      <c r="AG45"/>
      <c r="AH45"/>
    </row>
    <row r="46" spans="1:50">
      <c r="A46" s="106">
        <v>34</v>
      </c>
      <c r="B46" s="95" t="s">
        <v>205</v>
      </c>
      <c r="C46" s="149">
        <v>574.5</v>
      </c>
      <c r="D46" s="150">
        <v>583.6</v>
      </c>
      <c r="E46" s="151">
        <v>583.9</v>
      </c>
      <c r="F46" s="150">
        <v>584.5</v>
      </c>
      <c r="G46" s="151">
        <v>581.70000000000005</v>
      </c>
      <c r="H46" s="150">
        <v>559.1</v>
      </c>
      <c r="I46" s="149">
        <v>9.1</v>
      </c>
      <c r="J46" s="151">
        <v>0.4</v>
      </c>
      <c r="K46" s="151">
        <v>0.6</v>
      </c>
      <c r="L46" s="150">
        <v>-2.8</v>
      </c>
      <c r="M46" s="152">
        <v>-22.6</v>
      </c>
      <c r="N46" s="224"/>
      <c r="O46" s="224"/>
      <c r="P46" s="100"/>
      <c r="Q46"/>
      <c r="R46"/>
      <c r="S46"/>
      <c r="T46"/>
      <c r="U46"/>
      <c r="V46"/>
      <c r="W46"/>
      <c r="X46"/>
      <c r="Y46"/>
      <c r="Z46"/>
      <c r="AA46"/>
      <c r="AB46"/>
      <c r="AC46"/>
      <c r="AD46"/>
      <c r="AE46"/>
      <c r="AF46"/>
      <c r="AG46"/>
      <c r="AH46"/>
      <c r="AI46" s="72"/>
      <c r="AJ46" s="72"/>
      <c r="AK46" s="72"/>
      <c r="AL46" s="72"/>
      <c r="AM46" s="72"/>
      <c r="AN46" s="72"/>
      <c r="AO46" s="72"/>
      <c r="AP46" s="72"/>
      <c r="AQ46" s="72"/>
      <c r="AR46" s="72"/>
      <c r="AS46" s="72"/>
      <c r="AT46" s="72"/>
      <c r="AU46" s="72"/>
    </row>
    <row r="47" spans="1:50">
      <c r="A47" s="108">
        <v>35</v>
      </c>
      <c r="B47" s="109" t="s">
        <v>206</v>
      </c>
      <c r="C47" s="137">
        <v>70.7</v>
      </c>
      <c r="D47" s="138">
        <v>60.5</v>
      </c>
      <c r="E47" s="139">
        <v>81.400000000000006</v>
      </c>
      <c r="F47" s="138">
        <v>80.5</v>
      </c>
      <c r="G47" s="139">
        <v>74.5</v>
      </c>
      <c r="H47" s="138">
        <v>1087.0999999999999</v>
      </c>
      <c r="I47" s="137">
        <v>-10.199999999999999</v>
      </c>
      <c r="J47" s="139">
        <v>20.9</v>
      </c>
      <c r="K47" s="139">
        <v>-0.9</v>
      </c>
      <c r="L47" s="138">
        <v>-6.1</v>
      </c>
      <c r="M47" s="140">
        <v>1012.6</v>
      </c>
      <c r="N47" s="218"/>
      <c r="O47" s="218"/>
      <c r="P47" s="100"/>
      <c r="Q47"/>
      <c r="R47"/>
      <c r="S47"/>
      <c r="T47"/>
      <c r="U47"/>
      <c r="V47"/>
      <c r="W47"/>
      <c r="X47"/>
      <c r="Y47"/>
      <c r="Z47"/>
      <c r="AA47"/>
      <c r="AB47"/>
      <c r="AC47"/>
      <c r="AD47"/>
      <c r="AE47"/>
      <c r="AF47"/>
      <c r="AG47"/>
      <c r="AH47"/>
      <c r="AI47" s="72"/>
      <c r="AJ47" s="72"/>
      <c r="AK47" s="72"/>
      <c r="AL47" s="72"/>
      <c r="AM47" s="72"/>
      <c r="AN47" s="72"/>
      <c r="AO47" s="72"/>
      <c r="AP47" s="72"/>
      <c r="AQ47" s="72"/>
      <c r="AR47" s="72"/>
      <c r="AS47" s="72"/>
      <c r="AT47" s="72"/>
      <c r="AU47" s="72"/>
    </row>
    <row r="48" spans="1:50">
      <c r="A48" s="111"/>
      <c r="B48" s="110" t="s">
        <v>207</v>
      </c>
      <c r="C48" s="141"/>
      <c r="D48" s="142"/>
      <c r="E48" s="143"/>
      <c r="F48" s="142"/>
      <c r="G48" s="143"/>
      <c r="H48" s="142"/>
      <c r="I48" s="141"/>
      <c r="J48" s="143"/>
      <c r="K48" s="143"/>
      <c r="L48" s="142"/>
      <c r="M48" s="144"/>
      <c r="N48" s="170"/>
      <c r="O48" s="170"/>
      <c r="P48" s="100"/>
      <c r="Q48"/>
      <c r="R48"/>
      <c r="S48"/>
      <c r="T48"/>
      <c r="U48"/>
      <c r="V48"/>
      <c r="W48"/>
      <c r="X48"/>
      <c r="Y48"/>
      <c r="Z48"/>
      <c r="AA48"/>
      <c r="AB48"/>
      <c r="AC48"/>
      <c r="AD48"/>
      <c r="AE48"/>
      <c r="AF48"/>
      <c r="AG48"/>
      <c r="AH48"/>
      <c r="AI48" s="72"/>
      <c r="AJ48" s="72"/>
      <c r="AK48" s="72"/>
      <c r="AL48" s="72"/>
      <c r="AM48" s="72"/>
      <c r="AN48" s="72"/>
      <c r="AO48" s="72"/>
      <c r="AP48" s="72"/>
      <c r="AQ48" s="72"/>
      <c r="AR48" s="72"/>
      <c r="AS48" s="72"/>
      <c r="AT48" s="72"/>
      <c r="AU48" s="72"/>
    </row>
    <row r="49" spans="1:47">
      <c r="A49" s="111">
        <v>36</v>
      </c>
      <c r="B49" s="112" t="s">
        <v>208</v>
      </c>
      <c r="C49" s="141" t="s">
        <v>174</v>
      </c>
      <c r="D49" s="142" t="s">
        <v>174</v>
      </c>
      <c r="E49" s="143" t="s">
        <v>174</v>
      </c>
      <c r="F49" s="142" t="s">
        <v>174</v>
      </c>
      <c r="G49" s="143" t="str">
        <f>F36</f>
        <v>...</v>
      </c>
      <c r="H49" s="142">
        <v>73.3</v>
      </c>
      <c r="I49" s="141" t="s">
        <v>174</v>
      </c>
      <c r="J49" s="143" t="s">
        <v>174</v>
      </c>
      <c r="K49" s="143" t="s">
        <v>174</v>
      </c>
      <c r="L49" s="142" t="s">
        <v>174</v>
      </c>
      <c r="M49" s="144">
        <v>73.3</v>
      </c>
      <c r="N49" s="170"/>
      <c r="O49" s="170"/>
      <c r="P49" s="100"/>
      <c r="Q49"/>
      <c r="R49"/>
      <c r="S49"/>
      <c r="T49"/>
      <c r="U49"/>
      <c r="V49"/>
      <c r="W49"/>
      <c r="X49"/>
      <c r="Y49"/>
      <c r="Z49"/>
      <c r="AA49"/>
      <c r="AB49"/>
      <c r="AC49"/>
      <c r="AD49"/>
      <c r="AE49"/>
      <c r="AF49"/>
      <c r="AG49"/>
      <c r="AH49"/>
    </row>
    <row r="50" spans="1:47">
      <c r="A50" s="111">
        <v>37</v>
      </c>
      <c r="B50" s="112" t="s">
        <v>209</v>
      </c>
      <c r="C50" s="141" t="s">
        <v>174</v>
      </c>
      <c r="D50" s="142" t="s">
        <v>174</v>
      </c>
      <c r="E50" s="143" t="s">
        <v>174</v>
      </c>
      <c r="F50" s="142" t="s">
        <v>174</v>
      </c>
      <c r="G50" s="143" t="str">
        <f t="shared" ref="G50:G55" si="9">F37</f>
        <v>...</v>
      </c>
      <c r="H50" s="142">
        <v>63.8</v>
      </c>
      <c r="I50" s="141" t="s">
        <v>174</v>
      </c>
      <c r="J50" s="143" t="s">
        <v>174</v>
      </c>
      <c r="K50" s="143" t="s">
        <v>174</v>
      </c>
      <c r="L50" s="142" t="s">
        <v>174</v>
      </c>
      <c r="M50" s="144">
        <v>63.8</v>
      </c>
      <c r="N50" s="170"/>
      <c r="O50" s="170"/>
      <c r="P50" s="100"/>
      <c r="Q50"/>
      <c r="R50"/>
      <c r="S50"/>
      <c r="T50"/>
      <c r="U50"/>
      <c r="V50"/>
      <c r="W50"/>
      <c r="X50"/>
      <c r="Y50"/>
      <c r="Z50"/>
      <c r="AA50"/>
      <c r="AB50"/>
      <c r="AC50"/>
      <c r="AD50"/>
      <c r="AE50"/>
      <c r="AF50"/>
      <c r="AG50"/>
      <c r="AH50"/>
    </row>
    <row r="51" spans="1:47" ht="16.5">
      <c r="A51" s="111">
        <v>38</v>
      </c>
      <c r="B51" s="112" t="s">
        <v>210</v>
      </c>
      <c r="C51" s="141" t="s">
        <v>174</v>
      </c>
      <c r="D51" s="142" t="s">
        <v>174</v>
      </c>
      <c r="E51" s="143" t="s">
        <v>174</v>
      </c>
      <c r="F51" s="142" t="s">
        <v>174</v>
      </c>
      <c r="G51" s="143" t="str">
        <f t="shared" si="9"/>
        <v>...</v>
      </c>
      <c r="H51" s="142">
        <v>610.20000000000005</v>
      </c>
      <c r="I51" s="141" t="s">
        <v>174</v>
      </c>
      <c r="J51" s="143" t="s">
        <v>174</v>
      </c>
      <c r="K51" s="143" t="s">
        <v>174</v>
      </c>
      <c r="L51" s="142" t="s">
        <v>174</v>
      </c>
      <c r="M51" s="144">
        <v>610.20000000000005</v>
      </c>
      <c r="N51" s="170"/>
      <c r="O51" s="170"/>
      <c r="P51" s="100"/>
      <c r="Q51"/>
      <c r="R51"/>
      <c r="S51"/>
      <c r="T51"/>
      <c r="U51"/>
      <c r="V51"/>
      <c r="W51"/>
      <c r="X51"/>
      <c r="Y51"/>
      <c r="Z51"/>
      <c r="AA51"/>
      <c r="AB51"/>
      <c r="AC51"/>
      <c r="AD51"/>
      <c r="AE51"/>
      <c r="AF51"/>
      <c r="AG51"/>
      <c r="AH51"/>
    </row>
    <row r="52" spans="1:47">
      <c r="A52" s="111">
        <v>39</v>
      </c>
      <c r="B52" s="112" t="s">
        <v>211</v>
      </c>
      <c r="C52" s="141" t="s">
        <v>174</v>
      </c>
      <c r="D52" s="142" t="s">
        <v>174</v>
      </c>
      <c r="E52" s="143" t="s">
        <v>174</v>
      </c>
      <c r="F52" s="142" t="s">
        <v>174</v>
      </c>
      <c r="G52" s="143" t="str">
        <f t="shared" si="9"/>
        <v>...</v>
      </c>
      <c r="H52" s="142">
        <v>394.3</v>
      </c>
      <c r="I52" s="141" t="s">
        <v>174</v>
      </c>
      <c r="J52" s="143" t="s">
        <v>174</v>
      </c>
      <c r="K52" s="143" t="s">
        <v>174</v>
      </c>
      <c r="L52" s="142" t="s">
        <v>174</v>
      </c>
      <c r="M52" s="144">
        <v>394.3</v>
      </c>
      <c r="N52" s="170"/>
      <c r="O52" s="170"/>
      <c r="P52" s="100"/>
      <c r="Q52"/>
      <c r="R52"/>
      <c r="S52"/>
      <c r="T52"/>
      <c r="U52"/>
      <c r="V52"/>
      <c r="W52"/>
      <c r="X52"/>
      <c r="Y52"/>
      <c r="Z52"/>
      <c r="AA52"/>
      <c r="AB52"/>
      <c r="AC52"/>
      <c r="AD52"/>
      <c r="AE52"/>
      <c r="AF52"/>
      <c r="AG52"/>
      <c r="AH52"/>
    </row>
    <row r="53" spans="1:47">
      <c r="A53" s="111">
        <v>40</v>
      </c>
      <c r="B53" s="112" t="s">
        <v>212</v>
      </c>
      <c r="C53" s="141" t="s">
        <v>174</v>
      </c>
      <c r="D53" s="142" t="s">
        <v>174</v>
      </c>
      <c r="E53" s="143" t="s">
        <v>174</v>
      </c>
      <c r="F53" s="142" t="s">
        <v>174</v>
      </c>
      <c r="G53" s="143" t="str">
        <f>G51</f>
        <v>...</v>
      </c>
      <c r="H53" s="142">
        <v>215.9</v>
      </c>
      <c r="I53" s="141" t="s">
        <v>174</v>
      </c>
      <c r="J53" s="143" t="s">
        <v>174</v>
      </c>
      <c r="K53" s="143" t="s">
        <v>174</v>
      </c>
      <c r="L53" s="142" t="s">
        <v>174</v>
      </c>
      <c r="M53" s="144">
        <v>215.9</v>
      </c>
      <c r="N53" s="170"/>
      <c r="O53" s="170"/>
      <c r="P53" s="100"/>
      <c r="Q53"/>
      <c r="R53"/>
      <c r="S53"/>
      <c r="T53"/>
      <c r="U53"/>
      <c r="V53"/>
      <c r="W53"/>
      <c r="X53"/>
      <c r="Y53"/>
      <c r="Z53"/>
      <c r="AA53"/>
      <c r="AB53"/>
      <c r="AC53"/>
      <c r="AD53"/>
      <c r="AE53"/>
      <c r="AF53"/>
      <c r="AG53"/>
      <c r="AH53"/>
    </row>
    <row r="54" spans="1:47">
      <c r="A54" s="111">
        <v>41</v>
      </c>
      <c r="B54" s="112" t="s">
        <v>213</v>
      </c>
      <c r="C54" s="141" t="s">
        <v>174</v>
      </c>
      <c r="D54" s="142" t="s">
        <v>174</v>
      </c>
      <c r="E54" s="143" t="s">
        <v>174</v>
      </c>
      <c r="F54" s="142" t="s">
        <v>174</v>
      </c>
      <c r="G54" s="143" t="str">
        <f>G51</f>
        <v>...</v>
      </c>
      <c r="H54" s="142">
        <v>6.5</v>
      </c>
      <c r="I54" s="141" t="s">
        <v>174</v>
      </c>
      <c r="J54" s="143" t="s">
        <v>174</v>
      </c>
      <c r="K54" s="143" t="s">
        <v>174</v>
      </c>
      <c r="L54" s="142" t="s">
        <v>174</v>
      </c>
      <c r="M54" s="144">
        <v>6.5</v>
      </c>
      <c r="N54" s="170"/>
      <c r="O54" s="170"/>
      <c r="P54" s="100"/>
      <c r="Q54"/>
      <c r="R54"/>
      <c r="S54"/>
      <c r="T54"/>
      <c r="U54"/>
      <c r="V54"/>
      <c r="W54"/>
      <c r="X54"/>
      <c r="Y54"/>
      <c r="Z54"/>
      <c r="AA54"/>
      <c r="AB54"/>
      <c r="AC54"/>
      <c r="AD54"/>
      <c r="AE54"/>
      <c r="AF54"/>
      <c r="AG54"/>
      <c r="AH54"/>
    </row>
    <row r="55" spans="1:47">
      <c r="A55" s="111">
        <v>42</v>
      </c>
      <c r="B55" s="112" t="s">
        <v>214</v>
      </c>
      <c r="C55" s="141" t="s">
        <v>174</v>
      </c>
      <c r="D55" s="142" t="s">
        <v>174</v>
      </c>
      <c r="E55" s="143" t="s">
        <v>174</v>
      </c>
      <c r="F55" s="142" t="s">
        <v>174</v>
      </c>
      <c r="G55" s="143" t="str">
        <f t="shared" si="9"/>
        <v>...</v>
      </c>
      <c r="H55" s="142">
        <v>209.4</v>
      </c>
      <c r="I55" s="141" t="s">
        <v>174</v>
      </c>
      <c r="J55" s="143" t="s">
        <v>174</v>
      </c>
      <c r="K55" s="143" t="s">
        <v>174</v>
      </c>
      <c r="L55" s="142" t="s">
        <v>174</v>
      </c>
      <c r="M55" s="144">
        <v>209.4</v>
      </c>
      <c r="N55" s="170"/>
      <c r="O55" s="170"/>
      <c r="P55" s="100"/>
      <c r="Q55"/>
      <c r="R55"/>
      <c r="S55"/>
      <c r="T55"/>
      <c r="U55"/>
      <c r="V55"/>
      <c r="W55"/>
      <c r="X55"/>
      <c r="Y55"/>
      <c r="Z55"/>
      <c r="AA55"/>
      <c r="AB55"/>
      <c r="AC55"/>
      <c r="AD55"/>
      <c r="AE55"/>
      <c r="AF55"/>
      <c r="AG55"/>
      <c r="AH55"/>
    </row>
    <row r="56" spans="1:47" ht="16.5">
      <c r="A56" s="111">
        <v>43</v>
      </c>
      <c r="B56" s="112" t="s">
        <v>215</v>
      </c>
      <c r="C56" s="141" t="s">
        <v>174</v>
      </c>
      <c r="D56" s="142" t="s">
        <v>174</v>
      </c>
      <c r="E56" s="143" t="s">
        <v>174</v>
      </c>
      <c r="F56" s="142" t="s">
        <v>174</v>
      </c>
      <c r="G56" s="143" t="str">
        <f>G52</f>
        <v>...</v>
      </c>
      <c r="H56" s="142">
        <v>22</v>
      </c>
      <c r="I56" s="141" t="s">
        <v>174</v>
      </c>
      <c r="J56" s="143" t="s">
        <v>174</v>
      </c>
      <c r="K56" s="143" t="s">
        <v>174</v>
      </c>
      <c r="L56" s="142" t="s">
        <v>174</v>
      </c>
      <c r="M56" s="144">
        <v>22</v>
      </c>
      <c r="N56" s="170"/>
      <c r="O56" s="170"/>
      <c r="P56" s="100"/>
      <c r="Q56"/>
      <c r="R56"/>
      <c r="S56"/>
      <c r="T56"/>
      <c r="U56"/>
      <c r="V56"/>
      <c r="W56"/>
      <c r="X56"/>
      <c r="Y56"/>
      <c r="Z56"/>
      <c r="AA56"/>
      <c r="AB56"/>
      <c r="AC56"/>
      <c r="AD56"/>
      <c r="AE56"/>
      <c r="AF56"/>
      <c r="AG56"/>
      <c r="AH56"/>
    </row>
    <row r="57" spans="1:47">
      <c r="A57" s="111">
        <v>44</v>
      </c>
      <c r="B57" s="112" t="s">
        <v>216</v>
      </c>
      <c r="C57" s="141" t="s">
        <v>174</v>
      </c>
      <c r="D57" s="142" t="s">
        <v>174</v>
      </c>
      <c r="E57" s="143" t="s">
        <v>174</v>
      </c>
      <c r="F57" s="142" t="s">
        <v>174</v>
      </c>
      <c r="G57" s="143" t="str">
        <f>G51</f>
        <v>...</v>
      </c>
      <c r="H57" s="142">
        <v>140</v>
      </c>
      <c r="I57" s="141" t="s">
        <v>174</v>
      </c>
      <c r="J57" s="143" t="s">
        <v>174</v>
      </c>
      <c r="K57" s="143" t="s">
        <v>174</v>
      </c>
      <c r="L57" s="142" t="s">
        <v>174</v>
      </c>
      <c r="M57" s="144">
        <v>140</v>
      </c>
      <c r="N57" s="170"/>
      <c r="O57" s="170"/>
      <c r="P57" s="100"/>
      <c r="Q57"/>
      <c r="R57"/>
      <c r="S57"/>
      <c r="T57"/>
      <c r="U57"/>
      <c r="V57"/>
      <c r="W57"/>
      <c r="X57"/>
      <c r="Y57"/>
      <c r="Z57"/>
      <c r="AA57"/>
      <c r="AB57"/>
      <c r="AC57"/>
      <c r="AD57"/>
      <c r="AE57"/>
      <c r="AF57"/>
      <c r="AG57"/>
      <c r="AH57"/>
    </row>
    <row r="58" spans="1:47" ht="15" thickBot="1">
      <c r="A58" s="121">
        <v>45</v>
      </c>
      <c r="B58" s="122" t="s">
        <v>217</v>
      </c>
      <c r="C58" s="161">
        <v>-1016</v>
      </c>
      <c r="D58" s="162">
        <v>-1033</v>
      </c>
      <c r="E58" s="163">
        <v>-1084.0999999999999</v>
      </c>
      <c r="F58" s="162">
        <v>-1054.9000000000001</v>
      </c>
      <c r="G58" s="163">
        <v>-1146</v>
      </c>
      <c r="H58" s="164" t="s">
        <v>165</v>
      </c>
      <c r="I58" s="165">
        <v>-17</v>
      </c>
      <c r="J58" s="166">
        <v>-51</v>
      </c>
      <c r="K58" s="166">
        <v>29.2</v>
      </c>
      <c r="L58" s="164">
        <v>-91.1</v>
      </c>
      <c r="M58" s="167" t="s">
        <v>165</v>
      </c>
      <c r="N58" s="218"/>
      <c r="O58" s="218"/>
      <c r="P58"/>
      <c r="Q58"/>
      <c r="R58"/>
      <c r="S58"/>
      <c r="T58"/>
      <c r="U58"/>
      <c r="V58"/>
      <c r="W58"/>
      <c r="X58"/>
      <c r="Y58"/>
      <c r="Z58"/>
      <c r="AA58"/>
      <c r="AB58"/>
      <c r="AC58"/>
      <c r="AD58"/>
      <c r="AE58"/>
      <c r="AF58"/>
      <c r="AG58"/>
      <c r="AH58"/>
    </row>
    <row r="59" spans="1:47">
      <c r="A59" s="214"/>
      <c r="B59" s="215" t="s">
        <v>327</v>
      </c>
      <c r="C59" s="216"/>
      <c r="D59" s="217"/>
      <c r="E59" s="217"/>
      <c r="F59" s="217"/>
      <c r="G59" s="217"/>
      <c r="H59" s="218"/>
      <c r="I59" s="219"/>
      <c r="J59" s="139"/>
      <c r="K59" s="218"/>
      <c r="L59" s="218"/>
      <c r="M59" s="140"/>
      <c r="N59" s="218"/>
      <c r="O59" s="218"/>
      <c r="P59"/>
      <c r="Q59"/>
      <c r="R59"/>
      <c r="S59"/>
      <c r="T59"/>
      <c r="U59"/>
      <c r="V59"/>
      <c r="W59"/>
      <c r="X59"/>
      <c r="Y59"/>
      <c r="Z59"/>
      <c r="AA59"/>
      <c r="AB59"/>
      <c r="AC59"/>
      <c r="AD59"/>
      <c r="AE59"/>
      <c r="AF59"/>
      <c r="AG59"/>
      <c r="AH59"/>
      <c r="AI59" s="75"/>
      <c r="AJ59" s="75"/>
      <c r="AK59" s="75"/>
      <c r="AL59" s="75"/>
      <c r="AM59" s="75"/>
      <c r="AN59" s="75"/>
      <c r="AO59" s="75"/>
      <c r="AP59" s="75"/>
      <c r="AQ59" s="75"/>
      <c r="AR59" s="75"/>
      <c r="AS59" s="75"/>
      <c r="AT59" s="75"/>
      <c r="AU59" s="75"/>
    </row>
    <row r="60" spans="1:47" customFormat="1">
      <c r="A60">
        <v>21</v>
      </c>
      <c r="B60" s="83" t="s">
        <v>288</v>
      </c>
      <c r="C60" s="175">
        <v>599.4</v>
      </c>
      <c r="D60" s="176">
        <v>615</v>
      </c>
      <c r="E60" s="177">
        <v>622.29999999999995</v>
      </c>
      <c r="F60" s="176">
        <v>619.4</v>
      </c>
      <c r="G60" s="177">
        <v>624.1</v>
      </c>
      <c r="H60" s="178">
        <v>674.8</v>
      </c>
      <c r="I60" s="175">
        <v>15.6</v>
      </c>
      <c r="J60" s="176">
        <v>7.3</v>
      </c>
      <c r="K60" s="177">
        <v>-2.9</v>
      </c>
      <c r="L60" s="176">
        <v>4.7</v>
      </c>
      <c r="M60" s="178">
        <v>50.8</v>
      </c>
      <c r="N60" s="226"/>
      <c r="O60" s="226"/>
      <c r="Q60" s="100">
        <f t="shared" ref="Q60:R60" si="10">L60-K60</f>
        <v>7.6</v>
      </c>
      <c r="R60" s="100">
        <f t="shared" si="10"/>
        <v>46.099999999999994</v>
      </c>
    </row>
    <row r="61" spans="1:47">
      <c r="A61"/>
      <c r="B61" s="124"/>
      <c r="C61" s="74"/>
      <c r="D61" s="74"/>
      <c r="E61" s="74"/>
      <c r="F61" s="74"/>
      <c r="G61" s="74"/>
      <c r="H61" s="74"/>
      <c r="I61" s="74"/>
      <c r="J61" s="74"/>
      <c r="K61" s="74"/>
      <c r="L61" s="74"/>
      <c r="M61" s="74"/>
      <c r="N61" s="74"/>
      <c r="O61" s="74"/>
      <c r="P61"/>
      <c r="Q61"/>
      <c r="R61"/>
      <c r="S61"/>
      <c r="T61"/>
      <c r="U61"/>
      <c r="V61"/>
      <c r="W61"/>
      <c r="X61"/>
      <c r="Y61"/>
      <c r="Z61"/>
      <c r="AA61"/>
      <c r="AB61"/>
      <c r="AC61"/>
      <c r="AD61"/>
      <c r="AE61"/>
      <c r="AF61"/>
      <c r="AG61"/>
      <c r="AH61"/>
    </row>
    <row r="62" spans="1:47">
      <c r="C62" s="65"/>
      <c r="D62" s="65"/>
      <c r="E62" s="65"/>
      <c r="F62" s="65"/>
      <c r="G62" s="65"/>
      <c r="H62" s="65"/>
      <c r="I62" s="65"/>
      <c r="J62" s="65"/>
      <c r="K62" s="65"/>
      <c r="L62" s="65"/>
      <c r="M62" s="65"/>
      <c r="N62" s="65"/>
      <c r="O62" s="65"/>
      <c r="P62" s="65"/>
      <c r="Q62" s="65"/>
      <c r="R62"/>
      <c r="S62"/>
      <c r="T62"/>
      <c r="U62"/>
      <c r="V62"/>
      <c r="W62"/>
      <c r="X62"/>
      <c r="Y62"/>
      <c r="Z62"/>
      <c r="AA62"/>
      <c r="AB62"/>
      <c r="AC62"/>
      <c r="AD62"/>
      <c r="AE62"/>
      <c r="AF62"/>
      <c r="AG62"/>
      <c r="AH62"/>
    </row>
    <row r="63" spans="1:47">
      <c r="C63" s="65"/>
      <c r="D63" s="65"/>
      <c r="E63" s="65"/>
      <c r="F63" s="65"/>
      <c r="G63" s="65"/>
      <c r="H63" s="65"/>
      <c r="I63" s="65"/>
      <c r="J63" s="65"/>
      <c r="K63" s="65"/>
      <c r="L63" s="65"/>
      <c r="M63" s="65"/>
      <c r="N63" s="65"/>
      <c r="O63" s="65"/>
      <c r="P63" s="65" t="s">
        <v>328</v>
      </c>
      <c r="Q63" s="220">
        <f>Q60+Q41</f>
        <v>66.099999999999994</v>
      </c>
      <c r="R63" s="220">
        <f>R60+R41</f>
        <v>597.00000000000011</v>
      </c>
      <c r="S63" t="s">
        <v>329</v>
      </c>
      <c r="T63"/>
      <c r="U63"/>
      <c r="V63"/>
      <c r="W63"/>
      <c r="X63"/>
      <c r="Y63"/>
      <c r="Z63"/>
      <c r="AA63"/>
      <c r="AB63"/>
      <c r="AC63"/>
      <c r="AD63"/>
      <c r="AE63"/>
      <c r="AF63"/>
      <c r="AG63"/>
      <c r="AH63"/>
    </row>
    <row r="64" spans="1:47">
      <c r="C64" s="65"/>
      <c r="D64" s="65"/>
      <c r="E64" s="65"/>
      <c r="F64" s="65"/>
      <c r="G64" s="65"/>
      <c r="H64" s="65"/>
      <c r="I64" s="65"/>
      <c r="J64" s="65"/>
      <c r="K64" s="65"/>
      <c r="L64" s="65"/>
      <c r="M64" s="65"/>
      <c r="N64" s="65"/>
      <c r="O64" s="65"/>
      <c r="P64" s="65"/>
      <c r="Q64" s="65"/>
      <c r="R64" s="100">
        <f>R40</f>
        <v>1875.6999999999998</v>
      </c>
      <c r="S64" t="s">
        <v>330</v>
      </c>
      <c r="T64"/>
      <c r="U64"/>
      <c r="V64"/>
      <c r="W64"/>
      <c r="X64"/>
      <c r="Y64"/>
      <c r="Z64"/>
      <c r="AA64"/>
      <c r="AB64"/>
      <c r="AC64"/>
      <c r="AD64"/>
      <c r="AE64"/>
      <c r="AF64"/>
      <c r="AG64"/>
      <c r="AH64"/>
    </row>
    <row r="65" spans="3:34">
      <c r="C65" s="65"/>
      <c r="D65" s="65"/>
      <c r="E65" s="65"/>
      <c r="F65" s="65"/>
      <c r="G65" s="65"/>
      <c r="H65" s="65"/>
      <c r="I65" s="65"/>
      <c r="J65" s="65"/>
      <c r="K65" s="65"/>
      <c r="L65" s="65"/>
      <c r="M65" s="65"/>
      <c r="N65" s="65"/>
      <c r="O65" s="65"/>
      <c r="P65" s="65"/>
      <c r="Q65" s="100">
        <f>Q64+Q63</f>
        <v>66.099999999999994</v>
      </c>
      <c r="R65" s="100">
        <f>R64+R63</f>
        <v>2472.6999999999998</v>
      </c>
      <c r="S65"/>
      <c r="T65"/>
      <c r="U65"/>
      <c r="V65"/>
      <c r="W65"/>
      <c r="X65"/>
      <c r="Y65"/>
      <c r="Z65"/>
      <c r="AA65"/>
      <c r="AB65"/>
      <c r="AC65"/>
      <c r="AD65"/>
      <c r="AE65"/>
      <c r="AF65"/>
      <c r="AG65"/>
      <c r="AH65"/>
    </row>
    <row r="66" spans="3:34">
      <c r="C66" s="65"/>
      <c r="D66" s="65"/>
      <c r="E66" s="65"/>
      <c r="F66" s="65"/>
      <c r="G66" s="65"/>
      <c r="H66" s="65"/>
      <c r="I66" s="65"/>
      <c r="J66" s="65"/>
      <c r="K66" s="65"/>
      <c r="L66" s="65"/>
      <c r="M66" s="65"/>
      <c r="N66" s="65"/>
      <c r="O66" s="65"/>
      <c r="P66" s="65"/>
      <c r="Q66" s="65"/>
      <c r="R66"/>
      <c r="S66"/>
      <c r="T66"/>
      <c r="U66"/>
      <c r="V66"/>
      <c r="W66"/>
      <c r="X66"/>
      <c r="Y66"/>
      <c r="Z66"/>
      <c r="AA66"/>
      <c r="AB66"/>
      <c r="AC66"/>
      <c r="AD66"/>
      <c r="AE66"/>
      <c r="AF66"/>
      <c r="AG66"/>
      <c r="AH66"/>
    </row>
    <row r="67" spans="3:34">
      <c r="C67" s="65"/>
      <c r="D67" s="65"/>
      <c r="E67" s="65"/>
      <c r="F67" s="65"/>
      <c r="G67" s="65"/>
      <c r="H67" s="65"/>
      <c r="I67" s="65"/>
      <c r="J67" s="65"/>
      <c r="K67" s="65"/>
      <c r="L67" s="65"/>
      <c r="M67" s="65" t="s">
        <v>435</v>
      </c>
      <c r="N67" s="65"/>
      <c r="O67" s="65"/>
      <c r="P67" s="65"/>
      <c r="Q67" s="67">
        <v>0</v>
      </c>
      <c r="R67" s="69">
        <f>'soci benefits GDP Detail'!J28</f>
        <v>60.2</v>
      </c>
      <c r="S67"/>
      <c r="T67"/>
      <c r="U67"/>
      <c r="V67"/>
      <c r="W67"/>
      <c r="X67"/>
      <c r="Y67"/>
      <c r="Z67"/>
      <c r="AA67"/>
      <c r="AB67"/>
      <c r="AC67"/>
      <c r="AD67"/>
      <c r="AE67"/>
      <c r="AF67"/>
      <c r="AG67"/>
      <c r="AH67"/>
    </row>
    <row r="68" spans="3:34">
      <c r="C68" s="65"/>
      <c r="D68" s="65"/>
      <c r="E68" s="65"/>
      <c r="F68" s="65"/>
      <c r="G68" s="65"/>
      <c r="H68" s="65"/>
      <c r="I68" s="65"/>
      <c r="J68" s="65"/>
      <c r="K68" s="65"/>
      <c r="L68" s="65"/>
      <c r="M68" s="65" t="s">
        <v>436</v>
      </c>
      <c r="N68" s="65"/>
      <c r="O68" s="65"/>
      <c r="P68" s="65"/>
      <c r="Q68" s="65"/>
      <c r="R68"/>
      <c r="S68"/>
      <c r="T68"/>
      <c r="U68"/>
      <c r="V68"/>
      <c r="W68"/>
      <c r="X68"/>
      <c r="Y68"/>
      <c r="Z68"/>
      <c r="AA68"/>
      <c r="AB68"/>
      <c r="AC68"/>
      <c r="AD68"/>
      <c r="AE68"/>
      <c r="AF68"/>
      <c r="AG68"/>
      <c r="AH68"/>
    </row>
    <row r="69" spans="3:34">
      <c r="C69" s="65"/>
      <c r="D69" s="65"/>
      <c r="E69" s="65"/>
      <c r="F69" s="65"/>
      <c r="G69" s="65"/>
      <c r="H69" s="65"/>
      <c r="I69" s="65"/>
      <c r="J69" s="65"/>
      <c r="K69" s="65"/>
      <c r="L69" s="65"/>
      <c r="M69" s="65"/>
      <c r="N69" s="65"/>
      <c r="O69" s="65"/>
      <c r="P69" s="65"/>
      <c r="Q69" s="65"/>
      <c r="R69"/>
      <c r="S69"/>
      <c r="T69"/>
      <c r="U69"/>
      <c r="V69"/>
      <c r="W69"/>
      <c r="X69"/>
      <c r="Y69"/>
      <c r="Z69"/>
      <c r="AA69"/>
      <c r="AB69"/>
      <c r="AC69"/>
      <c r="AD69"/>
      <c r="AE69"/>
      <c r="AF69"/>
      <c r="AG69"/>
      <c r="AH69"/>
    </row>
    <row r="70" spans="3:34">
      <c r="C70" s="65"/>
      <c r="D70" s="65"/>
      <c r="E70" s="65"/>
      <c r="F70" s="65"/>
      <c r="G70" s="65"/>
      <c r="H70" s="65"/>
      <c r="I70" s="65"/>
      <c r="J70" s="65"/>
      <c r="K70" s="65"/>
      <c r="L70" s="65"/>
      <c r="M70" s="65"/>
      <c r="N70" s="65"/>
      <c r="O70" s="65"/>
      <c r="P70" s="65"/>
      <c r="Q70" s="65"/>
      <c r="R70"/>
      <c r="S70"/>
      <c r="T70"/>
      <c r="U70"/>
      <c r="V70"/>
      <c r="W70"/>
      <c r="X70"/>
      <c r="Y70"/>
      <c r="Z70"/>
      <c r="AA70"/>
      <c r="AB70"/>
      <c r="AC70"/>
      <c r="AD70"/>
      <c r="AE70"/>
      <c r="AF70"/>
      <c r="AG70"/>
      <c r="AH70"/>
    </row>
    <row r="71" spans="3:34">
      <c r="C71" s="65"/>
      <c r="D71" s="65"/>
      <c r="E71" s="65"/>
      <c r="F71" s="65"/>
      <c r="G71" s="65"/>
      <c r="H71" s="65"/>
      <c r="I71" s="65"/>
      <c r="J71" s="65"/>
      <c r="K71" s="65"/>
      <c r="L71" s="65"/>
      <c r="M71" s="65"/>
      <c r="N71" s="65"/>
      <c r="O71" s="65"/>
      <c r="P71" s="65"/>
      <c r="Q71" s="65"/>
      <c r="R71"/>
      <c r="S71"/>
      <c r="T71"/>
      <c r="U71"/>
      <c r="V71"/>
      <c r="W71"/>
      <c r="X71"/>
      <c r="Y71"/>
      <c r="Z71"/>
      <c r="AA71"/>
      <c r="AB71"/>
      <c r="AC71"/>
      <c r="AD71"/>
      <c r="AE71"/>
      <c r="AF71"/>
      <c r="AG71"/>
      <c r="AH71"/>
    </row>
    <row r="72" spans="3:34">
      <c r="C72" s="65"/>
      <c r="D72" s="65"/>
      <c r="E72" s="65"/>
      <c r="F72" s="65"/>
      <c r="G72" s="65"/>
      <c r="H72" s="65"/>
      <c r="I72" s="65"/>
      <c r="J72" s="65"/>
      <c r="K72" s="65"/>
      <c r="L72" s="65"/>
      <c r="M72" s="65"/>
      <c r="N72" s="65"/>
      <c r="O72" s="65"/>
      <c r="P72" s="65"/>
      <c r="Q72" s="65"/>
      <c r="R72"/>
      <c r="S72"/>
      <c r="T72"/>
      <c r="U72"/>
      <c r="V72"/>
      <c r="W72"/>
      <c r="X72"/>
      <c r="Y72"/>
      <c r="Z72"/>
      <c r="AA72"/>
      <c r="AB72"/>
      <c r="AC72"/>
      <c r="AD72"/>
      <c r="AE72"/>
      <c r="AF72"/>
      <c r="AG72"/>
      <c r="AH72"/>
    </row>
    <row r="73" spans="3:34">
      <c r="C73" s="65"/>
      <c r="D73" s="65"/>
      <c r="E73" s="65"/>
      <c r="F73" s="65"/>
      <c r="G73" s="65"/>
      <c r="H73" s="65"/>
      <c r="I73" s="65"/>
      <c r="J73" s="65"/>
      <c r="K73" s="65"/>
      <c r="L73" s="65"/>
      <c r="M73" s="65"/>
      <c r="N73" s="65"/>
      <c r="O73" s="65"/>
      <c r="P73" s="65"/>
      <c r="Q73" s="65"/>
      <c r="R73"/>
      <c r="S73"/>
      <c r="T73"/>
      <c r="U73"/>
      <c r="V73"/>
      <c r="W73"/>
      <c r="X73"/>
      <c r="Y73"/>
      <c r="Z73"/>
      <c r="AA73"/>
      <c r="AB73"/>
      <c r="AC73"/>
      <c r="AD73"/>
      <c r="AE73"/>
      <c r="AF73"/>
      <c r="AG73"/>
      <c r="AH73"/>
    </row>
    <row r="74" spans="3:34">
      <c r="C74" s="65"/>
      <c r="D74" s="65"/>
      <c r="E74" s="65"/>
      <c r="F74" s="65"/>
      <c r="G74" s="65"/>
      <c r="H74" s="65"/>
      <c r="I74" s="65"/>
      <c r="J74" s="65"/>
      <c r="K74" s="65"/>
      <c r="L74" s="65"/>
      <c r="M74" s="65"/>
      <c r="N74" s="65"/>
      <c r="O74" s="65"/>
      <c r="P74" s="65"/>
      <c r="Q74" s="65"/>
      <c r="R74"/>
      <c r="S74"/>
      <c r="T74"/>
      <c r="U74"/>
      <c r="V74"/>
      <c r="W74"/>
      <c r="X74"/>
      <c r="Y74"/>
      <c r="Z74"/>
      <c r="AA74"/>
      <c r="AB74"/>
      <c r="AC74"/>
      <c r="AD74"/>
      <c r="AE74"/>
      <c r="AF74"/>
      <c r="AG74"/>
      <c r="AH74"/>
    </row>
    <row r="75" spans="3:34">
      <c r="C75" s="65"/>
      <c r="D75" s="65"/>
      <c r="E75" s="65"/>
      <c r="F75" s="65"/>
      <c r="G75" s="65"/>
      <c r="H75" s="65"/>
      <c r="I75" s="65"/>
      <c r="J75" s="65"/>
      <c r="K75" s="65"/>
      <c r="L75" s="65"/>
      <c r="M75" s="65"/>
      <c r="N75" s="65"/>
      <c r="O75" s="65"/>
      <c r="P75" s="65"/>
      <c r="Q75" s="65"/>
      <c r="R75"/>
      <c r="S75"/>
      <c r="T75"/>
      <c r="U75"/>
      <c r="V75"/>
      <c r="W75"/>
      <c r="X75"/>
      <c r="Y75"/>
      <c r="Z75"/>
      <c r="AA75"/>
      <c r="AB75"/>
      <c r="AC75"/>
      <c r="AD75"/>
      <c r="AE75"/>
      <c r="AF75"/>
      <c r="AG75"/>
      <c r="AH75"/>
    </row>
    <row r="76" spans="3:34">
      <c r="C76" s="65"/>
      <c r="D76" s="65"/>
      <c r="E76" s="65"/>
      <c r="F76" s="65"/>
      <c r="G76" s="65"/>
      <c r="H76" s="65"/>
      <c r="I76" s="65"/>
      <c r="J76" s="65"/>
      <c r="K76" s="65"/>
      <c r="L76" s="65"/>
      <c r="M76" s="65"/>
      <c r="N76" s="65"/>
      <c r="O76" s="65"/>
      <c r="P76" s="65"/>
      <c r="Q76" s="65"/>
      <c r="R76"/>
      <c r="S76"/>
      <c r="T76"/>
      <c r="U76"/>
      <c r="V76"/>
      <c r="W76"/>
      <c r="X76"/>
      <c r="Y76"/>
      <c r="Z76"/>
      <c r="AA76"/>
      <c r="AB76"/>
      <c r="AC76"/>
      <c r="AD76"/>
      <c r="AE76"/>
      <c r="AF76"/>
      <c r="AG76"/>
      <c r="AH76"/>
    </row>
    <row r="77" spans="3:34">
      <c r="C77" s="65"/>
      <c r="D77" s="65"/>
      <c r="E77" s="65"/>
      <c r="F77" s="65"/>
      <c r="G77" s="65"/>
      <c r="H77" s="65"/>
      <c r="I77" s="65"/>
      <c r="J77" s="65"/>
      <c r="K77" s="65"/>
      <c r="L77" s="65"/>
      <c r="M77" s="65"/>
      <c r="N77" s="65"/>
      <c r="O77" s="65"/>
      <c r="P77" s="65"/>
      <c r="Q77" s="65"/>
      <c r="R77"/>
      <c r="S77"/>
      <c r="T77"/>
      <c r="U77"/>
      <c r="V77"/>
      <c r="W77"/>
      <c r="X77"/>
      <c r="Y77"/>
      <c r="Z77"/>
      <c r="AA77"/>
      <c r="AB77"/>
      <c r="AC77"/>
      <c r="AD77"/>
      <c r="AE77"/>
      <c r="AF77"/>
      <c r="AG77"/>
      <c r="AH77"/>
    </row>
    <row r="78" spans="3:34">
      <c r="C78" s="65"/>
      <c r="D78" s="65"/>
      <c r="E78" s="65"/>
      <c r="F78" s="65"/>
      <c r="G78" s="65"/>
      <c r="H78" s="65"/>
      <c r="I78" s="65"/>
      <c r="J78" s="65"/>
      <c r="K78" s="65"/>
      <c r="L78" s="65"/>
      <c r="M78" s="65"/>
      <c r="N78" s="65"/>
      <c r="O78" s="65"/>
      <c r="P78" s="65"/>
      <c r="Q78" s="65"/>
      <c r="R78"/>
      <c r="S78"/>
      <c r="T78"/>
      <c r="U78"/>
      <c r="V78"/>
      <c r="W78"/>
      <c r="X78"/>
      <c r="Y78"/>
      <c r="Z78"/>
      <c r="AA78"/>
      <c r="AB78"/>
      <c r="AC78"/>
      <c r="AD78"/>
      <c r="AE78"/>
      <c r="AF78"/>
      <c r="AG78"/>
      <c r="AH78"/>
    </row>
    <row r="79" spans="3:34">
      <c r="C79" s="65"/>
      <c r="D79" s="65"/>
      <c r="E79" s="65"/>
      <c r="F79" s="65"/>
      <c r="G79" s="65"/>
      <c r="H79" s="65"/>
      <c r="I79" s="65"/>
      <c r="J79" s="65"/>
      <c r="K79" s="65"/>
      <c r="L79" s="65"/>
      <c r="M79" s="65"/>
      <c r="N79" s="65"/>
      <c r="O79" s="65"/>
      <c r="P79" s="65"/>
      <c r="Q79" s="65"/>
      <c r="R79"/>
      <c r="S79"/>
      <c r="T79"/>
      <c r="U79"/>
      <c r="V79"/>
      <c r="W79"/>
      <c r="X79"/>
      <c r="Y79"/>
      <c r="Z79"/>
      <c r="AA79"/>
      <c r="AB79"/>
      <c r="AC79"/>
      <c r="AD79"/>
      <c r="AE79"/>
      <c r="AF79"/>
      <c r="AG79"/>
      <c r="AH79"/>
    </row>
    <row r="80" spans="3:34">
      <c r="C80" s="65"/>
      <c r="D80" s="65"/>
      <c r="E80" s="65"/>
      <c r="F80" s="65"/>
      <c r="G80" s="65"/>
      <c r="H80" s="65"/>
      <c r="I80" s="65"/>
      <c r="J80" s="65"/>
      <c r="K80" s="65"/>
      <c r="L80" s="65"/>
      <c r="M80" s="65"/>
      <c r="N80" s="65"/>
      <c r="O80" s="65"/>
      <c r="P80" s="65"/>
      <c r="Q80" s="65"/>
      <c r="R80"/>
      <c r="S80"/>
      <c r="T80"/>
      <c r="U80"/>
      <c r="V80"/>
      <c r="W80"/>
      <c r="X80"/>
      <c r="Y80"/>
      <c r="Z80"/>
      <c r="AA80"/>
      <c r="AB80"/>
      <c r="AC80"/>
      <c r="AD80"/>
      <c r="AE80"/>
      <c r="AF80"/>
      <c r="AG80"/>
      <c r="AH80"/>
    </row>
    <row r="81" spans="1:34">
      <c r="C81" s="65"/>
      <c r="D81" s="65"/>
      <c r="E81" s="65"/>
      <c r="F81" s="65"/>
      <c r="G81" s="65"/>
      <c r="H81" s="65"/>
      <c r="I81" s="65"/>
      <c r="J81" s="65"/>
      <c r="K81" s="65"/>
      <c r="L81" s="65"/>
      <c r="M81" s="65"/>
      <c r="N81" s="65"/>
      <c r="O81" s="65"/>
      <c r="P81" s="65"/>
      <c r="Q81" s="65"/>
      <c r="R81"/>
      <c r="S81"/>
      <c r="T81"/>
      <c r="U81"/>
      <c r="V81"/>
      <c r="W81"/>
      <c r="X81"/>
      <c r="Y81"/>
      <c r="Z81"/>
      <c r="AA81"/>
      <c r="AB81"/>
      <c r="AC81"/>
      <c r="AD81"/>
      <c r="AE81"/>
      <c r="AF81"/>
      <c r="AG81"/>
      <c r="AH81"/>
    </row>
    <row r="82" spans="1:34">
      <c r="C82" s="65"/>
      <c r="D82" s="65"/>
      <c r="E82" s="65"/>
      <c r="F82" s="65"/>
      <c r="G82" s="65"/>
      <c r="H82" s="65"/>
      <c r="I82" s="65"/>
      <c r="J82" s="65"/>
      <c r="K82" s="65"/>
      <c r="L82" s="65"/>
      <c r="M82" s="65"/>
      <c r="N82" s="65"/>
      <c r="O82" s="65"/>
      <c r="P82" s="65"/>
      <c r="Q82" s="65"/>
      <c r="R82"/>
      <c r="S82"/>
      <c r="T82"/>
      <c r="U82"/>
      <c r="V82"/>
      <c r="W82"/>
      <c r="X82"/>
      <c r="Y82"/>
      <c r="Z82"/>
      <c r="AA82"/>
      <c r="AB82"/>
      <c r="AC82"/>
      <c r="AD82"/>
      <c r="AE82"/>
      <c r="AF82"/>
      <c r="AG82"/>
      <c r="AH82"/>
    </row>
    <row r="83" spans="1:34">
      <c r="C83" s="65"/>
      <c r="D83" s="65"/>
      <c r="E83" s="65"/>
      <c r="F83" s="65"/>
      <c r="G83" s="65"/>
      <c r="H83" s="65"/>
      <c r="I83" s="65"/>
      <c r="J83" s="65"/>
      <c r="K83" s="65"/>
      <c r="L83" s="65"/>
      <c r="M83" s="65"/>
      <c r="N83" s="65"/>
      <c r="O83" s="65"/>
      <c r="P83" s="65"/>
      <c r="Q83" s="65"/>
      <c r="R83"/>
      <c r="S83"/>
      <c r="T83"/>
      <c r="U83"/>
      <c r="V83"/>
      <c r="W83"/>
      <c r="X83"/>
      <c r="Y83"/>
      <c r="Z83"/>
      <c r="AA83"/>
      <c r="AB83"/>
      <c r="AC83"/>
      <c r="AD83"/>
      <c r="AE83"/>
      <c r="AF83"/>
      <c r="AG83"/>
      <c r="AH83"/>
    </row>
    <row r="84" spans="1:34">
      <c r="C84" s="65"/>
      <c r="D84" s="65"/>
      <c r="E84" s="65"/>
      <c r="F84" s="65"/>
      <c r="G84" s="65"/>
      <c r="H84" s="65"/>
      <c r="I84" s="65"/>
      <c r="J84" s="65"/>
      <c r="K84" s="65"/>
      <c r="L84" s="65"/>
      <c r="M84" s="65"/>
      <c r="N84" s="65"/>
      <c r="O84" s="65"/>
      <c r="P84" s="65"/>
      <c r="Q84" s="65"/>
      <c r="R84"/>
      <c r="S84"/>
      <c r="T84"/>
      <c r="U84"/>
      <c r="V84"/>
      <c r="W84"/>
      <c r="X84"/>
      <c r="Y84"/>
      <c r="Z84"/>
      <c r="AA84"/>
      <c r="AB84"/>
      <c r="AC84"/>
      <c r="AD84"/>
      <c r="AE84"/>
      <c r="AF84"/>
      <c r="AG84"/>
      <c r="AH84"/>
    </row>
    <row r="85" spans="1:34">
      <c r="C85" s="65"/>
      <c r="D85" s="65"/>
      <c r="E85" s="65"/>
      <c r="F85" s="65"/>
      <c r="G85" s="65"/>
      <c r="H85" s="65"/>
      <c r="I85" s="65"/>
      <c r="J85" s="65"/>
      <c r="K85" s="65"/>
      <c r="L85" s="65"/>
      <c r="M85" s="65"/>
      <c r="N85" s="65"/>
      <c r="O85" s="65"/>
      <c r="P85" s="65"/>
      <c r="Q85" s="65"/>
      <c r="R85"/>
      <c r="S85"/>
      <c r="T85"/>
      <c r="U85"/>
      <c r="V85"/>
      <c r="W85"/>
      <c r="X85"/>
      <c r="Y85"/>
      <c r="Z85"/>
      <c r="AA85"/>
      <c r="AB85"/>
      <c r="AC85"/>
      <c r="AD85"/>
      <c r="AE85"/>
      <c r="AF85"/>
      <c r="AG85"/>
      <c r="AH85"/>
    </row>
    <row r="86" spans="1:34">
      <c r="C86" s="65"/>
      <c r="D86" s="65"/>
      <c r="E86" s="65"/>
      <c r="F86" s="65"/>
      <c r="G86" s="65"/>
      <c r="H86" s="65"/>
      <c r="I86" s="65"/>
      <c r="J86" s="65"/>
      <c r="K86" s="65"/>
      <c r="L86" s="65"/>
      <c r="M86" s="65"/>
      <c r="N86" s="65"/>
      <c r="O86" s="65"/>
      <c r="P86" s="65"/>
      <c r="Q86" s="65"/>
      <c r="R86"/>
      <c r="S86"/>
      <c r="T86"/>
      <c r="U86"/>
      <c r="V86"/>
      <c r="W86"/>
      <c r="X86"/>
      <c r="Y86"/>
      <c r="Z86"/>
      <c r="AA86"/>
      <c r="AB86"/>
      <c r="AC86"/>
      <c r="AD86"/>
      <c r="AE86"/>
      <c r="AF86"/>
      <c r="AG86"/>
      <c r="AH86"/>
    </row>
    <row r="87" spans="1:34">
      <c r="C87" s="65"/>
      <c r="D87" s="65"/>
      <c r="E87" s="65"/>
      <c r="F87" s="65"/>
      <c r="G87" s="65"/>
      <c r="H87" s="65"/>
      <c r="I87" s="65"/>
      <c r="J87" s="65"/>
      <c r="K87" s="65"/>
      <c r="L87" s="65"/>
      <c r="M87" s="65"/>
      <c r="N87" s="65"/>
      <c r="O87" s="65"/>
      <c r="P87" s="65"/>
      <c r="Q87" s="65"/>
      <c r="R87"/>
      <c r="S87"/>
      <c r="T87"/>
      <c r="U87"/>
      <c r="V87"/>
      <c r="W87"/>
      <c r="X87"/>
      <c r="Y87"/>
      <c r="Z87"/>
      <c r="AA87"/>
      <c r="AB87"/>
      <c r="AC87"/>
      <c r="AD87"/>
      <c r="AE87"/>
      <c r="AF87"/>
      <c r="AG87"/>
      <c r="AH87"/>
    </row>
    <row r="88" spans="1:34">
      <c r="C88" s="65"/>
      <c r="D88" s="65"/>
      <c r="E88" s="65"/>
      <c r="F88" s="65"/>
      <c r="G88" s="65"/>
      <c r="H88" s="65"/>
      <c r="I88" s="65"/>
      <c r="J88" s="65"/>
      <c r="K88" s="65"/>
      <c r="L88" s="65"/>
      <c r="M88" s="65"/>
      <c r="N88" s="65"/>
      <c r="O88" s="65"/>
      <c r="P88" s="65"/>
      <c r="Q88" s="65"/>
      <c r="R88"/>
      <c r="S88"/>
      <c r="T88"/>
      <c r="U88"/>
      <c r="V88"/>
      <c r="W88"/>
      <c r="X88"/>
      <c r="Y88"/>
      <c r="Z88"/>
      <c r="AA88"/>
      <c r="AB88"/>
      <c r="AC88"/>
      <c r="AD88"/>
      <c r="AE88"/>
      <c r="AF88"/>
      <c r="AG88"/>
      <c r="AH88"/>
    </row>
    <row r="89" spans="1:34">
      <c r="C89" s="65"/>
      <c r="D89" s="65"/>
      <c r="E89" s="65"/>
      <c r="F89" s="65"/>
      <c r="G89" s="65"/>
      <c r="H89" s="65"/>
      <c r="I89" s="65"/>
      <c r="J89" s="65"/>
      <c r="K89" s="65"/>
      <c r="L89" s="65"/>
      <c r="M89" s="65"/>
      <c r="N89" s="65"/>
      <c r="O89" s="65"/>
      <c r="P89" s="65"/>
      <c r="Q89" s="65"/>
      <c r="R89"/>
      <c r="S89"/>
      <c r="T89"/>
      <c r="U89"/>
      <c r="V89"/>
      <c r="W89"/>
      <c r="X89"/>
      <c r="Y89"/>
      <c r="Z89"/>
      <c r="AA89"/>
      <c r="AB89"/>
      <c r="AC89"/>
      <c r="AD89"/>
      <c r="AE89"/>
      <c r="AF89"/>
      <c r="AG89"/>
      <c r="AH89"/>
    </row>
    <row r="90" spans="1:34">
      <c r="A90"/>
      <c r="B90" s="124"/>
      <c r="C90" s="74"/>
      <c r="D90" s="74"/>
      <c r="E90" s="74"/>
      <c r="F90" s="74"/>
      <c r="G90" s="74"/>
      <c r="H90" s="74"/>
      <c r="I90" s="74"/>
      <c r="J90" s="74"/>
      <c r="K90" s="74"/>
      <c r="L90" s="74"/>
      <c r="M90" s="74"/>
      <c r="N90" s="74"/>
      <c r="O90" s="74"/>
      <c r="P90"/>
      <c r="Q90"/>
      <c r="R90"/>
      <c r="S90"/>
      <c r="T90"/>
      <c r="U90"/>
      <c r="V90"/>
      <c r="W90"/>
      <c r="X90"/>
      <c r="Y90"/>
      <c r="Z90"/>
      <c r="AA90"/>
      <c r="AB90"/>
      <c r="AC90"/>
      <c r="AD90"/>
      <c r="AE90"/>
      <c r="AF90"/>
      <c r="AG90"/>
      <c r="AH90"/>
    </row>
    <row r="91" spans="1:34">
      <c r="A91" t="s">
        <v>220</v>
      </c>
      <c r="B91" s="124"/>
      <c r="C91" s="74"/>
      <c r="D91" s="74"/>
      <c r="E91" s="74"/>
      <c r="F91" s="74"/>
      <c r="G91" s="74"/>
      <c r="H91" s="74"/>
      <c r="I91" s="74"/>
      <c r="J91" s="74"/>
      <c r="K91" s="74"/>
      <c r="L91" s="74"/>
      <c r="M91" s="74"/>
      <c r="N91" s="74"/>
      <c r="O91" s="74"/>
      <c r="P91"/>
      <c r="Q91"/>
      <c r="R91"/>
      <c r="S91"/>
      <c r="T91"/>
      <c r="U91"/>
      <c r="V91"/>
      <c r="W91"/>
      <c r="X91"/>
      <c r="Y91"/>
      <c r="Z91"/>
      <c r="AA91"/>
      <c r="AB91"/>
      <c r="AC91"/>
      <c r="AD91"/>
      <c r="AE91"/>
      <c r="AF91"/>
      <c r="AG91"/>
      <c r="AH91"/>
    </row>
    <row r="92" spans="1:34">
      <c r="A92" t="s">
        <v>221</v>
      </c>
      <c r="B92" s="124"/>
      <c r="C92" s="74"/>
      <c r="D92" s="74"/>
      <c r="E92" s="74"/>
      <c r="F92" s="74"/>
      <c r="G92" s="74"/>
      <c r="H92" s="74"/>
      <c r="I92" s="74"/>
      <c r="J92" s="74"/>
      <c r="K92" s="74"/>
      <c r="L92" s="74"/>
      <c r="M92" s="74"/>
      <c r="N92" s="74"/>
      <c r="O92" s="74"/>
      <c r="P92"/>
      <c r="Q92"/>
      <c r="R92"/>
      <c r="S92"/>
      <c r="T92"/>
      <c r="U92"/>
      <c r="V92"/>
      <c r="W92"/>
      <c r="X92"/>
      <c r="Y92"/>
      <c r="Z92"/>
      <c r="AA92"/>
      <c r="AB92"/>
      <c r="AC92"/>
      <c r="AD92"/>
      <c r="AE92"/>
      <c r="AF92"/>
      <c r="AG92"/>
      <c r="AH92"/>
    </row>
    <row r="93" spans="1:34">
      <c r="A93" t="s">
        <v>222</v>
      </c>
      <c r="B93" s="123"/>
      <c r="C93" s="74"/>
      <c r="D93" s="74"/>
      <c r="E93" s="74"/>
      <c r="F93" s="74"/>
      <c r="G93" s="74"/>
      <c r="H93" s="74"/>
      <c r="I93" s="74"/>
      <c r="J93" s="74"/>
      <c r="K93" s="74"/>
      <c r="L93" s="74"/>
      <c r="M93" s="74"/>
      <c r="N93" s="74"/>
      <c r="O93" s="74"/>
      <c r="P93"/>
      <c r="Q93"/>
      <c r="R93"/>
      <c r="S93"/>
      <c r="T93"/>
      <c r="U93"/>
      <c r="V93"/>
      <c r="W93"/>
      <c r="X93"/>
      <c r="Y93"/>
      <c r="Z93"/>
      <c r="AA93"/>
      <c r="AB93"/>
      <c r="AC93"/>
      <c r="AD93"/>
      <c r="AE93"/>
      <c r="AF93"/>
      <c r="AG93"/>
      <c r="AH93"/>
    </row>
    <row r="94" spans="1:34">
      <c r="A94" s="125" t="s">
        <v>223</v>
      </c>
      <c r="B94" s="123"/>
      <c r="C94" s="74"/>
      <c r="D94" s="74"/>
      <c r="E94" s="74"/>
      <c r="F94" s="74"/>
      <c r="G94" s="74"/>
      <c r="H94" s="74"/>
      <c r="I94" s="74"/>
      <c r="J94" s="74"/>
      <c r="K94" s="74"/>
      <c r="L94" s="74"/>
      <c r="M94" s="74"/>
      <c r="N94" s="74"/>
      <c r="O94" s="74"/>
      <c r="P94"/>
      <c r="Q94"/>
      <c r="R94"/>
      <c r="S94"/>
      <c r="T94"/>
      <c r="U94"/>
      <c r="V94"/>
      <c r="W94"/>
      <c r="X94"/>
      <c r="Y94"/>
      <c r="Z94"/>
      <c r="AA94"/>
      <c r="AB94"/>
      <c r="AC94"/>
      <c r="AD94"/>
      <c r="AE94"/>
      <c r="AF94"/>
      <c r="AG94"/>
      <c r="AH94"/>
    </row>
    <row r="95" spans="1:34">
      <c r="A95" s="126" t="s">
        <v>224</v>
      </c>
      <c r="B95" s="123"/>
      <c r="C95" s="74"/>
      <c r="D95" s="74"/>
      <c r="E95" s="74"/>
      <c r="F95" s="74"/>
      <c r="G95" s="74"/>
      <c r="H95" s="74"/>
      <c r="I95" s="74"/>
      <c r="J95" s="74"/>
      <c r="K95" s="74"/>
      <c r="L95" s="74"/>
      <c r="M95" s="74"/>
      <c r="N95" s="74"/>
      <c r="O95" s="74"/>
      <c r="P95"/>
      <c r="Q95"/>
    </row>
    <row r="96" spans="1:34">
      <c r="A96" s="127" t="s">
        <v>225</v>
      </c>
      <c r="B96" s="123"/>
      <c r="C96" s="74"/>
      <c r="D96" s="74"/>
      <c r="E96" s="74"/>
      <c r="F96" s="74"/>
      <c r="G96" s="74"/>
      <c r="H96" s="74"/>
      <c r="I96" s="74"/>
      <c r="J96" s="74"/>
      <c r="K96" s="74"/>
      <c r="L96" s="74"/>
      <c r="M96" s="74"/>
      <c r="N96" s="74"/>
      <c r="O96" s="74"/>
      <c r="P96"/>
      <c r="Q96"/>
    </row>
    <row r="97" spans="1:17">
      <c r="A97" s="126" t="s">
        <v>226</v>
      </c>
      <c r="B97" s="123"/>
      <c r="C97" s="74"/>
      <c r="D97" s="74"/>
      <c r="E97" s="74"/>
      <c r="F97" s="74"/>
      <c r="G97" s="74"/>
      <c r="H97" s="74"/>
      <c r="I97" s="74"/>
      <c r="J97" s="74"/>
      <c r="K97" s="74"/>
      <c r="L97" s="74"/>
      <c r="M97" s="74"/>
      <c r="N97" s="74"/>
      <c r="O97" s="74"/>
      <c r="P97"/>
      <c r="Q97"/>
    </row>
    <row r="98" spans="1:17">
      <c r="A98" s="125" t="s">
        <v>227</v>
      </c>
      <c r="B98" s="123"/>
      <c r="C98" s="74"/>
      <c r="D98" s="74"/>
      <c r="E98" s="74"/>
      <c r="F98" s="74"/>
      <c r="G98" s="74"/>
      <c r="H98" s="74"/>
      <c r="I98" s="74"/>
      <c r="J98" s="74"/>
      <c r="K98" s="74"/>
      <c r="L98" s="74"/>
      <c r="M98" s="74"/>
      <c r="N98" s="74"/>
      <c r="O98" s="74"/>
      <c r="P98"/>
      <c r="Q98"/>
    </row>
    <row r="99" spans="1:17">
      <c r="A99" s="128" t="s">
        <v>228</v>
      </c>
      <c r="B99" s="123"/>
      <c r="C99" s="74"/>
      <c r="D99" s="74"/>
      <c r="E99" s="74"/>
      <c r="F99" s="74"/>
      <c r="G99" s="74"/>
      <c r="H99" s="74"/>
      <c r="I99" s="74"/>
      <c r="J99" s="74"/>
      <c r="K99" s="74"/>
      <c r="L99" s="74"/>
      <c r="M99" s="74"/>
      <c r="N99" s="74"/>
      <c r="O99" s="74"/>
      <c r="P99"/>
      <c r="Q99"/>
    </row>
    <row r="100" spans="1:17">
      <c r="A100" s="125" t="s">
        <v>229</v>
      </c>
      <c r="B100" s="123"/>
      <c r="C100" s="74"/>
      <c r="D100" s="74"/>
      <c r="E100" s="74"/>
      <c r="F100" s="74"/>
      <c r="G100" s="74"/>
      <c r="H100" s="74"/>
      <c r="I100" s="74"/>
      <c r="J100" s="74"/>
      <c r="K100" s="74"/>
      <c r="L100" s="74"/>
      <c r="M100" s="74"/>
      <c r="N100" s="74"/>
      <c r="O100" s="74"/>
      <c r="P100"/>
      <c r="Q100"/>
    </row>
    <row r="101" spans="1:17">
      <c r="A101" s="129" t="s">
        <v>230</v>
      </c>
      <c r="B101" s="123"/>
      <c r="C101" s="74"/>
      <c r="D101" s="74"/>
      <c r="E101" s="74"/>
      <c r="F101" s="74"/>
      <c r="G101" s="74"/>
      <c r="H101" s="74"/>
      <c r="I101" s="74"/>
      <c r="J101" s="74"/>
      <c r="K101" s="74"/>
      <c r="L101" s="74"/>
      <c r="M101" s="74"/>
      <c r="N101" s="74"/>
      <c r="O101" s="74"/>
      <c r="P101"/>
      <c r="Q101"/>
    </row>
    <row r="102" spans="1:17">
      <c r="A102" s="129" t="s">
        <v>231</v>
      </c>
      <c r="B102" s="123"/>
      <c r="C102" s="74"/>
      <c r="D102" s="74"/>
      <c r="E102" s="74"/>
      <c r="F102" s="74"/>
      <c r="G102" s="74"/>
      <c r="H102" s="74"/>
      <c r="I102" s="74"/>
      <c r="J102" s="74"/>
      <c r="K102" s="74"/>
      <c r="L102" s="74"/>
      <c r="M102" s="74"/>
      <c r="N102" s="74"/>
      <c r="O102" s="74"/>
      <c r="P102"/>
      <c r="Q102"/>
    </row>
    <row r="103" spans="1:17">
      <c r="A103" s="129" t="s">
        <v>232</v>
      </c>
      <c r="B103" s="123"/>
      <c r="C103" s="74"/>
      <c r="D103" s="74"/>
      <c r="E103" s="74"/>
      <c r="F103" s="74"/>
      <c r="G103" s="74"/>
      <c r="H103" s="74"/>
      <c r="I103" s="74"/>
      <c r="J103" s="74"/>
      <c r="K103" s="74"/>
      <c r="L103" s="74"/>
      <c r="M103" s="74"/>
      <c r="N103" s="74"/>
      <c r="O103" s="74"/>
      <c r="P103"/>
      <c r="Q103"/>
    </row>
    <row r="104" spans="1:17">
      <c r="A104" s="128" t="s">
        <v>233</v>
      </c>
      <c r="B104" s="123"/>
      <c r="C104" s="74"/>
      <c r="D104" s="74"/>
      <c r="E104" s="74"/>
      <c r="F104" s="74"/>
      <c r="G104" s="74"/>
      <c r="H104" s="74"/>
      <c r="I104" s="74"/>
      <c r="J104" s="74"/>
      <c r="K104" s="74"/>
      <c r="L104" s="74"/>
      <c r="M104" s="74"/>
      <c r="N104" s="74"/>
      <c r="O104" s="74"/>
      <c r="P104"/>
      <c r="Q104"/>
    </row>
    <row r="105" spans="1:17">
      <c r="A105" s="130" t="s">
        <v>234</v>
      </c>
      <c r="B105" s="123"/>
      <c r="C105" s="74"/>
      <c r="D105" s="74"/>
      <c r="E105" s="74"/>
      <c r="F105" s="74"/>
      <c r="G105" s="74"/>
      <c r="H105" s="74"/>
      <c r="I105" s="74"/>
      <c r="J105" s="74"/>
      <c r="K105" s="74"/>
      <c r="L105" s="74"/>
      <c r="M105" s="74"/>
      <c r="N105" s="74"/>
      <c r="O105" s="74"/>
      <c r="P105"/>
      <c r="Q105"/>
    </row>
    <row r="106" spans="1:17">
      <c r="A106" s="130" t="s">
        <v>235</v>
      </c>
      <c r="B106" s="123"/>
      <c r="C106" s="74"/>
      <c r="D106" s="74"/>
      <c r="E106" s="74"/>
      <c r="F106" s="74"/>
      <c r="G106" s="74"/>
      <c r="H106" s="74"/>
      <c r="I106" s="74"/>
      <c r="J106" s="74"/>
      <c r="K106" s="74"/>
      <c r="L106" s="74"/>
      <c r="M106" s="74"/>
      <c r="N106" s="74"/>
      <c r="O106" s="74"/>
      <c r="P106"/>
      <c r="Q106"/>
    </row>
    <row r="107" spans="1:17">
      <c r="A107" s="130" t="s">
        <v>236</v>
      </c>
      <c r="B107" s="123"/>
      <c r="C107" s="74"/>
      <c r="D107" s="74"/>
      <c r="E107" s="74"/>
      <c r="F107" s="74"/>
      <c r="G107" s="74"/>
      <c r="H107" s="74"/>
      <c r="I107" s="74"/>
      <c r="J107" s="74"/>
      <c r="K107" s="74"/>
      <c r="L107" s="74"/>
      <c r="M107" s="74"/>
      <c r="N107" s="74"/>
      <c r="O107" s="74"/>
      <c r="P107"/>
      <c r="Q107"/>
    </row>
    <row r="108" spans="1:17">
      <c r="A108" s="130" t="s">
        <v>237</v>
      </c>
      <c r="B108" s="123"/>
      <c r="C108" s="74"/>
      <c r="D108" s="74"/>
      <c r="E108" s="74"/>
      <c r="F108" s="74"/>
      <c r="G108" s="74"/>
      <c r="H108" s="74"/>
      <c r="I108" s="74"/>
      <c r="J108" s="74"/>
      <c r="K108" s="74"/>
      <c r="L108" s="74"/>
      <c r="M108" s="74"/>
      <c r="N108" s="74"/>
      <c r="O108" s="74"/>
      <c r="P108"/>
      <c r="Q108"/>
    </row>
    <row r="109" spans="1:17">
      <c r="A109"/>
      <c r="B109" s="123"/>
      <c r="C109" s="74"/>
      <c r="D109" s="74"/>
      <c r="E109" s="74"/>
      <c r="F109" s="74"/>
      <c r="G109" s="74"/>
      <c r="H109" s="74"/>
      <c r="I109" s="74"/>
      <c r="J109" s="74"/>
      <c r="K109" s="74"/>
      <c r="L109" s="74"/>
      <c r="M109" s="74"/>
      <c r="N109" s="74"/>
      <c r="O109" s="74"/>
      <c r="P109"/>
      <c r="Q109"/>
    </row>
    <row r="110" spans="1:17">
      <c r="A110" t="s">
        <v>238</v>
      </c>
      <c r="B110"/>
      <c r="C110" s="74"/>
      <c r="D110" s="74"/>
      <c r="E110" s="74"/>
      <c r="F110" s="74"/>
      <c r="G110" s="74"/>
      <c r="H110" s="74"/>
      <c r="I110" s="74"/>
      <c r="J110" s="74"/>
      <c r="K110" s="74"/>
      <c r="L110" s="74"/>
      <c r="M110" s="74"/>
      <c r="N110" s="74"/>
      <c r="O110" s="74"/>
      <c r="P110"/>
      <c r="Q110"/>
    </row>
    <row r="111" spans="1:17">
      <c r="A111" t="s">
        <v>239</v>
      </c>
      <c r="B111"/>
      <c r="C111" s="74"/>
      <c r="D111" s="74"/>
      <c r="E111" s="74"/>
      <c r="F111" s="74"/>
      <c r="G111" s="74"/>
      <c r="H111" s="74"/>
      <c r="I111" s="74"/>
      <c r="J111" s="74"/>
      <c r="K111" s="74"/>
      <c r="L111" s="74"/>
      <c r="M111" s="74"/>
      <c r="N111" s="74"/>
      <c r="O111" s="74"/>
      <c r="P111"/>
      <c r="Q111"/>
    </row>
    <row r="112" spans="1:17">
      <c r="A112" s="131" t="s">
        <v>240</v>
      </c>
      <c r="B112"/>
      <c r="C112" s="74"/>
      <c r="D112" s="74"/>
      <c r="E112" s="74"/>
      <c r="F112" s="74"/>
      <c r="G112" s="74"/>
      <c r="H112" s="74"/>
      <c r="I112" s="74"/>
      <c r="J112" s="74"/>
      <c r="K112" s="74"/>
      <c r="L112" s="74"/>
      <c r="M112" s="74"/>
      <c r="N112" s="74"/>
      <c r="O112" s="74"/>
      <c r="P112"/>
      <c r="Q112"/>
    </row>
    <row r="113" spans="1:17">
      <c r="A113"/>
      <c r="B113"/>
      <c r="C113" s="74"/>
      <c r="D113" s="74"/>
      <c r="E113" s="74"/>
      <c r="F113" s="74"/>
      <c r="G113" s="74"/>
      <c r="H113" s="74"/>
      <c r="I113" s="74"/>
      <c r="J113" s="74"/>
      <c r="K113" s="74"/>
      <c r="L113" s="74"/>
      <c r="M113" s="74"/>
      <c r="N113" s="74"/>
      <c r="O113" s="74"/>
      <c r="P113"/>
      <c r="Q113"/>
    </row>
    <row r="114" spans="1:17">
      <c r="A114" t="s">
        <v>241</v>
      </c>
      <c r="B114"/>
      <c r="C114" s="74"/>
      <c r="D114" s="74"/>
      <c r="E114" s="74"/>
      <c r="F114" s="74"/>
      <c r="G114" s="74"/>
      <c r="H114" s="74"/>
      <c r="I114" s="74"/>
      <c r="J114" s="74"/>
      <c r="K114" s="74"/>
      <c r="L114" s="74"/>
      <c r="M114" s="74"/>
      <c r="N114" s="74"/>
      <c r="O114" s="74"/>
      <c r="P114"/>
      <c r="Q114"/>
    </row>
    <row r="115" spans="1:17">
      <c r="A115"/>
      <c r="B115"/>
      <c r="C115" s="74"/>
      <c r="D115" s="74"/>
      <c r="E115" s="74"/>
      <c r="F115" s="74"/>
      <c r="G115" s="74"/>
      <c r="H115" s="74"/>
      <c r="I115" s="74"/>
      <c r="J115" s="74"/>
      <c r="K115" s="74"/>
      <c r="L115" s="74"/>
      <c r="M115" s="74"/>
      <c r="N115" s="74"/>
      <c r="O115" s="74"/>
      <c r="P115"/>
      <c r="Q115"/>
    </row>
    <row r="116" spans="1:17">
      <c r="A116" t="s">
        <v>242</v>
      </c>
      <c r="B116"/>
      <c r="C116" s="74"/>
      <c r="D116" s="74"/>
      <c r="E116" s="74"/>
      <c r="F116" s="74"/>
      <c r="G116" s="74"/>
      <c r="H116" s="74"/>
      <c r="I116" s="74"/>
      <c r="J116" s="74"/>
      <c r="K116" s="74"/>
      <c r="L116" s="74"/>
      <c r="M116" s="74"/>
      <c r="N116" s="74"/>
      <c r="O116" s="74"/>
      <c r="P116"/>
      <c r="Q116"/>
    </row>
    <row r="117" spans="1:17">
      <c r="A117"/>
      <c r="B117"/>
      <c r="C117" s="74"/>
      <c r="D117" s="74"/>
      <c r="E117" s="74"/>
      <c r="F117" s="74"/>
      <c r="G117" s="74"/>
      <c r="H117" s="74"/>
      <c r="I117" s="74"/>
      <c r="J117" s="74"/>
      <c r="K117" s="74"/>
      <c r="L117" s="74"/>
      <c r="M117" s="74"/>
      <c r="N117" s="74"/>
      <c r="O117" s="74"/>
      <c r="P117"/>
      <c r="Q117"/>
    </row>
    <row r="118" spans="1:17">
      <c r="A118" s="129"/>
      <c r="B118"/>
      <c r="C118" s="74"/>
      <c r="D118" s="74"/>
      <c r="E118" s="74"/>
      <c r="F118" s="74"/>
      <c r="G118" s="74"/>
      <c r="H118" s="74"/>
      <c r="I118" s="74"/>
      <c r="J118" s="74"/>
      <c r="K118" s="74"/>
      <c r="L118" s="74"/>
      <c r="M118" s="74"/>
      <c r="N118" s="74"/>
      <c r="O118" s="74"/>
      <c r="P118"/>
      <c r="Q118"/>
    </row>
    <row r="119" spans="1:17">
      <c r="A119" s="129"/>
      <c r="B119"/>
      <c r="C119" s="74"/>
      <c r="D119" s="74"/>
      <c r="E119" s="74"/>
      <c r="F119" s="74"/>
      <c r="G119" s="74"/>
      <c r="H119" s="74"/>
      <c r="I119" s="74"/>
      <c r="J119" s="74"/>
      <c r="K119" s="74"/>
      <c r="L119" s="74"/>
      <c r="M119" s="74"/>
      <c r="N119" s="74"/>
      <c r="O119" s="74"/>
      <c r="P119"/>
      <c r="Q119"/>
    </row>
    <row r="120" spans="1:17">
      <c r="A120" s="129"/>
      <c r="B120"/>
      <c r="C120" s="74"/>
      <c r="D120" s="74"/>
      <c r="E120" s="74"/>
      <c r="F120" s="74"/>
      <c r="G120" s="74"/>
      <c r="H120" s="74"/>
      <c r="I120" s="74"/>
      <c r="J120" s="74"/>
      <c r="K120" s="74"/>
      <c r="L120" s="74"/>
      <c r="M120" s="74"/>
      <c r="N120" s="74"/>
      <c r="O120" s="74"/>
      <c r="P120"/>
      <c r="Q120"/>
    </row>
    <row r="121" spans="1:17">
      <c r="A121"/>
      <c r="B121"/>
      <c r="C121" s="74"/>
      <c r="D121" s="74"/>
      <c r="E121" s="74"/>
      <c r="F121" s="74"/>
      <c r="G121" s="74"/>
      <c r="H121" s="74"/>
      <c r="I121" s="74"/>
      <c r="J121" s="74"/>
      <c r="K121" s="74"/>
      <c r="L121" s="74"/>
      <c r="M121" s="74"/>
      <c r="N121" s="74"/>
      <c r="O121" s="74"/>
      <c r="P121"/>
      <c r="Q121"/>
    </row>
  </sheetData>
  <mergeCells count="44">
    <mergeCell ref="A2:M2"/>
    <mergeCell ref="A3:M3"/>
    <mergeCell ref="A4:L4"/>
    <mergeCell ref="C5:H5"/>
    <mergeCell ref="I5:M5"/>
    <mergeCell ref="C6:F6"/>
    <mergeCell ref="G6:H6"/>
    <mergeCell ref="I6:K6"/>
    <mergeCell ref="L6:M6"/>
    <mergeCell ref="AU9:AX9"/>
    <mergeCell ref="AM9:AP9"/>
    <mergeCell ref="AQ9:AT9"/>
    <mergeCell ref="AI9:AL9"/>
    <mergeCell ref="AM6:AP6"/>
    <mergeCell ref="AQ6:AT6"/>
    <mergeCell ref="AU6:AX6"/>
    <mergeCell ref="AI8:AL8"/>
    <mergeCell ref="AM8:AP8"/>
    <mergeCell ref="AQ8:AT8"/>
    <mergeCell ref="AU8:AX8"/>
    <mergeCell ref="AI6:AL6"/>
    <mergeCell ref="AU10:AX10"/>
    <mergeCell ref="AU11:AX11"/>
    <mergeCell ref="AU12:AX12"/>
    <mergeCell ref="AI41:AL41"/>
    <mergeCell ref="AQ41:AT41"/>
    <mergeCell ref="AU41:AX41"/>
    <mergeCell ref="AM10:AP10"/>
    <mergeCell ref="AM11:AP11"/>
    <mergeCell ref="AM12:AP12"/>
    <mergeCell ref="AQ10:AT10"/>
    <mergeCell ref="AQ11:AT11"/>
    <mergeCell ref="AQ12:AT12"/>
    <mergeCell ref="AI10:AL10"/>
    <mergeCell ref="AI11:AL11"/>
    <mergeCell ref="AI12:AL12"/>
    <mergeCell ref="AI5:AL5"/>
    <mergeCell ref="AM4:AP4"/>
    <mergeCell ref="AQ4:AT4"/>
    <mergeCell ref="AU4:AX4"/>
    <mergeCell ref="AU5:AX5"/>
    <mergeCell ref="AQ5:AT5"/>
    <mergeCell ref="AM5:AP5"/>
    <mergeCell ref="AI4:AL4"/>
  </mergeCells>
  <hyperlinks>
    <hyperlink ref="A112" r:id="rId1" display="product report, for example. To be consistent, the figures in this table also are annualized. For more information, see the FAQ &quot;Why does BEA publish estimates at annual" xr:uid="{27627A78-5FFA-4DB1-9683-F53CB66F386D}"/>
    <hyperlink ref="A95" r:id="rId2" display="student loans. For more information, see &quot;How does the 2020 CARES Act affect BEA's estimate of personal interest payments?&quot;." xr:uid="{C186E6F3-2773-47B9-B65D-B99CAA9D1246}"/>
    <hyperlink ref="A99" r:id="rId3" xr:uid="{E0448837-857C-441C-994F-99FBB7AFB68C}"/>
    <hyperlink ref="A104" r:id="rId4" display="exhausted all available regular and extended unemployment benefits.  For more information, see &quot;How will the expansion of unemployment benefits in response to " xr:uid="{3B4F1696-FF23-4BF8-9418-AB709E083018}"/>
    <hyperlink ref="A97" r:id="rId5" xr:uid="{125F4877-F1E4-4C79-AFF8-81D8477D6F2D}"/>
    <hyperlink ref="W14" r:id="rId6" display="Q@" xr:uid="{7D79E2CD-5589-4694-B77A-601F6DC74B15}"/>
    <hyperlink ref="S14" r:id="rId7" display="Q@" xr:uid="{BFFBAD18-EA5A-467D-98CF-74C866DA08C0}"/>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67959-79F4-4212-9BFB-6DE442C08A62}">
  <dimension ref="A1:P64"/>
  <sheetViews>
    <sheetView topLeftCell="A9" workbookViewId="0">
      <selection activeCell="B14" sqref="B14"/>
    </sheetView>
  </sheetViews>
  <sheetFormatPr defaultRowHeight="14.5"/>
  <cols>
    <col min="2" max="2" width="39.6328125" customWidth="1"/>
  </cols>
  <sheetData>
    <row r="1" spans="1:16" ht="18">
      <c r="A1" s="263" t="s">
        <v>332</v>
      </c>
      <c r="B1" s="262"/>
      <c r="C1" s="262"/>
      <c r="D1" s="262"/>
      <c r="E1" s="262"/>
      <c r="F1" s="262"/>
      <c r="G1" s="262"/>
      <c r="H1" s="262"/>
    </row>
    <row r="2" spans="1:16" ht="16.5">
      <c r="A2" s="264" t="s">
        <v>333</v>
      </c>
      <c r="B2" s="262"/>
      <c r="C2" s="262"/>
      <c r="D2" s="262"/>
      <c r="E2" s="262"/>
      <c r="F2" s="262"/>
      <c r="G2" s="262"/>
      <c r="H2" s="262"/>
    </row>
    <row r="3" spans="1:16">
      <c r="A3" s="262" t="s">
        <v>334</v>
      </c>
      <c r="B3" s="262"/>
      <c r="C3" s="262"/>
      <c r="D3" s="262"/>
      <c r="E3" s="262"/>
      <c r="F3" s="262"/>
      <c r="G3" s="262"/>
      <c r="H3" s="262"/>
    </row>
    <row r="4" spans="1:16">
      <c r="A4" s="262" t="s">
        <v>335</v>
      </c>
      <c r="B4" s="262"/>
      <c r="C4" s="262"/>
      <c r="D4" s="262"/>
      <c r="E4" s="262"/>
      <c r="F4" s="262"/>
      <c r="G4" s="262"/>
      <c r="H4" s="262"/>
    </row>
    <row r="6" spans="1:16">
      <c r="A6" s="265" t="s">
        <v>159</v>
      </c>
      <c r="B6" s="265" t="s">
        <v>45</v>
      </c>
      <c r="C6" s="265" t="s">
        <v>336</v>
      </c>
      <c r="D6" s="265"/>
      <c r="E6" s="265"/>
      <c r="F6" s="265"/>
      <c r="G6" s="265" t="s">
        <v>337</v>
      </c>
      <c r="H6" s="265"/>
      <c r="L6" t="s">
        <v>338</v>
      </c>
    </row>
    <row r="7" spans="1:16">
      <c r="A7" s="265"/>
      <c r="B7" s="265"/>
      <c r="C7" s="221" t="s">
        <v>116</v>
      </c>
      <c r="D7" s="221" t="s">
        <v>160</v>
      </c>
      <c r="E7" s="221" t="s">
        <v>161</v>
      </c>
      <c r="F7" s="221" t="s">
        <v>162</v>
      </c>
      <c r="G7" s="221" t="s">
        <v>116</v>
      </c>
      <c r="H7" s="221" t="s">
        <v>160</v>
      </c>
      <c r="I7" s="221" t="s">
        <v>116</v>
      </c>
      <c r="J7" s="221" t="s">
        <v>160</v>
      </c>
      <c r="L7" s="221" t="s">
        <v>116</v>
      </c>
      <c r="M7" s="221" t="s">
        <v>160</v>
      </c>
    </row>
    <row r="8" spans="1:16">
      <c r="A8" t="s">
        <v>339</v>
      </c>
      <c r="B8" s="123" t="s">
        <v>340</v>
      </c>
      <c r="C8">
        <v>3061108</v>
      </c>
      <c r="D8">
        <v>3094847</v>
      </c>
      <c r="E8">
        <v>3119106</v>
      </c>
      <c r="F8">
        <v>3133087</v>
      </c>
      <c r="G8">
        <v>3214531</v>
      </c>
      <c r="H8">
        <v>5642346</v>
      </c>
    </row>
    <row r="9" spans="1:16">
      <c r="A9" t="s">
        <v>166</v>
      </c>
      <c r="B9" s="123" t="s">
        <v>341</v>
      </c>
      <c r="C9">
        <v>3037506</v>
      </c>
      <c r="D9">
        <v>3071046</v>
      </c>
      <c r="E9">
        <v>3094798</v>
      </c>
      <c r="F9">
        <v>3108704</v>
      </c>
      <c r="G9">
        <v>3189633</v>
      </c>
      <c r="H9">
        <v>5608849</v>
      </c>
      <c r="I9" s="29">
        <f>(G9-F9)/1000</f>
        <v>80.929000000000002</v>
      </c>
      <c r="J9" s="29">
        <f>(H9-G9)/1000</f>
        <v>2419.2159999999999</v>
      </c>
      <c r="L9" s="28">
        <f>I9</f>
        <v>80.929000000000002</v>
      </c>
      <c r="M9" s="28">
        <f>J9+I9</f>
        <v>2500.145</v>
      </c>
    </row>
    <row r="10" spans="1:16">
      <c r="A10" t="s">
        <v>168</v>
      </c>
      <c r="B10" s="123" t="s">
        <v>342</v>
      </c>
      <c r="C10">
        <v>2298792</v>
      </c>
      <c r="D10">
        <v>2315842</v>
      </c>
      <c r="E10">
        <v>2331428</v>
      </c>
      <c r="F10">
        <v>2347737</v>
      </c>
      <c r="G10">
        <v>2422546</v>
      </c>
      <c r="H10">
        <v>4790670</v>
      </c>
      <c r="I10" s="29">
        <f t="shared" ref="I10:J50" si="0">(G10-F10)/1000</f>
        <v>74.808999999999997</v>
      </c>
      <c r="J10" s="29">
        <f t="shared" si="0"/>
        <v>2368.1239999999998</v>
      </c>
      <c r="L10" s="28">
        <f t="shared" ref="L10:L50" si="1">I10</f>
        <v>74.808999999999997</v>
      </c>
      <c r="M10" s="28">
        <f t="shared" ref="M10:M50" si="2">J10+I10</f>
        <v>2442.933</v>
      </c>
      <c r="N10" s="230">
        <f>G10-G13</f>
        <v>1617891</v>
      </c>
      <c r="O10">
        <f>H10-H13</f>
        <v>3966612</v>
      </c>
    </row>
    <row r="11" spans="1:16">
      <c r="A11" t="s">
        <v>170</v>
      </c>
      <c r="B11" t="s">
        <v>343</v>
      </c>
      <c r="C11">
        <v>1837581</v>
      </c>
      <c r="D11">
        <v>1857249</v>
      </c>
      <c r="E11">
        <v>1875106</v>
      </c>
      <c r="F11">
        <v>1892192</v>
      </c>
      <c r="G11">
        <v>1939780</v>
      </c>
      <c r="H11">
        <v>2989475</v>
      </c>
      <c r="I11" s="29">
        <f t="shared" si="0"/>
        <v>47.588000000000001</v>
      </c>
      <c r="J11" s="29">
        <f t="shared" si="0"/>
        <v>1049.6949999999999</v>
      </c>
      <c r="L11" s="28">
        <f t="shared" si="1"/>
        <v>47.588000000000001</v>
      </c>
      <c r="M11" s="28">
        <f t="shared" si="2"/>
        <v>1097.2829999999999</v>
      </c>
    </row>
    <row r="12" spans="1:16">
      <c r="A12" t="s">
        <v>344</v>
      </c>
      <c r="B12" t="s">
        <v>345</v>
      </c>
      <c r="C12">
        <v>1018942</v>
      </c>
      <c r="D12">
        <v>1026708</v>
      </c>
      <c r="E12">
        <v>1034273</v>
      </c>
      <c r="F12">
        <v>1043049</v>
      </c>
      <c r="G12">
        <v>1068472</v>
      </c>
      <c r="H12">
        <v>1076774</v>
      </c>
      <c r="I12" s="29">
        <f t="shared" si="0"/>
        <v>25.422999999999998</v>
      </c>
      <c r="J12" s="29">
        <f t="shared" si="0"/>
        <v>8.3019999999999996</v>
      </c>
      <c r="L12" s="28">
        <f t="shared" si="1"/>
        <v>25.422999999999998</v>
      </c>
      <c r="M12" s="28">
        <f t="shared" si="2"/>
        <v>33.724999999999994</v>
      </c>
      <c r="O12">
        <f>H10/1000</f>
        <v>4790.67</v>
      </c>
    </row>
    <row r="13" spans="1:16">
      <c r="A13" t="s">
        <v>346</v>
      </c>
      <c r="B13" t="s">
        <v>347</v>
      </c>
      <c r="C13">
        <v>767353</v>
      </c>
      <c r="D13">
        <v>779707</v>
      </c>
      <c r="E13">
        <v>789893</v>
      </c>
      <c r="F13">
        <v>797912</v>
      </c>
      <c r="G13">
        <v>804655</v>
      </c>
      <c r="H13">
        <v>824058</v>
      </c>
      <c r="I13" s="29">
        <f t="shared" si="0"/>
        <v>6.7430000000000003</v>
      </c>
      <c r="J13" s="29">
        <f t="shared" si="0"/>
        <v>19.402999999999999</v>
      </c>
      <c r="L13" s="28">
        <v>0</v>
      </c>
      <c r="M13" s="28">
        <f>J13-7</f>
        <v>12.402999999999999</v>
      </c>
      <c r="O13">
        <f>H13/1000</f>
        <v>824.05799999999999</v>
      </c>
      <c r="P13">
        <f>H13/1000+594.9</f>
        <v>1418.9580000000001</v>
      </c>
    </row>
    <row r="14" spans="1:16">
      <c r="A14" t="s">
        <v>348</v>
      </c>
      <c r="B14" t="s">
        <v>349</v>
      </c>
      <c r="C14">
        <v>28029</v>
      </c>
      <c r="D14">
        <v>27483</v>
      </c>
      <c r="E14">
        <v>27578</v>
      </c>
      <c r="F14">
        <v>27884</v>
      </c>
      <c r="G14">
        <v>43429</v>
      </c>
      <c r="H14">
        <v>1065472</v>
      </c>
      <c r="I14" s="29">
        <f t="shared" si="0"/>
        <v>15.545</v>
      </c>
      <c r="J14" s="29">
        <f t="shared" si="0"/>
        <v>1022.043</v>
      </c>
      <c r="L14" s="28">
        <f t="shared" si="1"/>
        <v>15.545</v>
      </c>
      <c r="M14" s="28">
        <f t="shared" si="2"/>
        <v>1037.588</v>
      </c>
      <c r="N14" s="28">
        <f>M14+L14</f>
        <v>1053.133</v>
      </c>
      <c r="O14">
        <f>H14/1000</f>
        <v>1065.472</v>
      </c>
    </row>
    <row r="15" spans="1:16">
      <c r="A15" t="s">
        <v>350</v>
      </c>
      <c r="B15" t="s">
        <v>351</v>
      </c>
      <c r="C15">
        <v>27557</v>
      </c>
      <c r="D15">
        <v>27095</v>
      </c>
      <c r="E15">
        <v>27197</v>
      </c>
      <c r="F15">
        <v>27492</v>
      </c>
      <c r="G15">
        <v>43021</v>
      </c>
      <c r="H15">
        <v>1048242</v>
      </c>
      <c r="I15" s="29">
        <f t="shared" si="0"/>
        <v>15.529</v>
      </c>
      <c r="J15" s="29">
        <f t="shared" si="0"/>
        <v>1005.221</v>
      </c>
      <c r="L15" s="28">
        <f t="shared" si="1"/>
        <v>15.529</v>
      </c>
      <c r="M15" s="28">
        <f t="shared" si="2"/>
        <v>1020.75</v>
      </c>
      <c r="O15">
        <f>O14-769</f>
        <v>296.47199999999998</v>
      </c>
    </row>
    <row r="16" spans="1:16">
      <c r="A16" t="s">
        <v>352</v>
      </c>
      <c r="B16" t="s">
        <v>353</v>
      </c>
      <c r="C16">
        <v>85</v>
      </c>
      <c r="D16">
        <v>92</v>
      </c>
      <c r="E16">
        <v>102</v>
      </c>
      <c r="F16">
        <v>122</v>
      </c>
      <c r="G16">
        <v>136</v>
      </c>
      <c r="H16">
        <v>274</v>
      </c>
      <c r="I16" s="29">
        <f t="shared" si="0"/>
        <v>1.4E-2</v>
      </c>
      <c r="J16" s="29">
        <f t="shared" si="0"/>
        <v>0.13800000000000001</v>
      </c>
      <c r="L16" s="28">
        <f t="shared" si="1"/>
        <v>1.4E-2</v>
      </c>
      <c r="M16" s="28">
        <f t="shared" si="2"/>
        <v>0.15200000000000002</v>
      </c>
    </row>
    <row r="17" spans="1:13">
      <c r="A17" t="s">
        <v>354</v>
      </c>
      <c r="B17" t="s">
        <v>355</v>
      </c>
      <c r="C17">
        <v>387</v>
      </c>
      <c r="D17">
        <v>296</v>
      </c>
      <c r="E17">
        <v>279</v>
      </c>
      <c r="F17">
        <v>271</v>
      </c>
      <c r="G17">
        <v>272</v>
      </c>
      <c r="H17">
        <v>408</v>
      </c>
      <c r="I17" s="29">
        <f t="shared" si="0"/>
        <v>1E-3</v>
      </c>
      <c r="J17" s="29">
        <f t="shared" si="0"/>
        <v>0.13600000000000001</v>
      </c>
      <c r="L17" s="28">
        <f t="shared" si="1"/>
        <v>1E-3</v>
      </c>
      <c r="M17" s="28">
        <f t="shared" si="2"/>
        <v>0.13700000000000001</v>
      </c>
    </row>
    <row r="18" spans="1:13">
      <c r="A18" t="s">
        <v>356</v>
      </c>
      <c r="B18" t="s">
        <v>357</v>
      </c>
      <c r="C18">
        <v>0</v>
      </c>
      <c r="D18">
        <v>0</v>
      </c>
      <c r="E18">
        <v>0</v>
      </c>
      <c r="F18">
        <v>0</v>
      </c>
      <c r="G18">
        <v>0</v>
      </c>
      <c r="H18">
        <v>16549</v>
      </c>
      <c r="I18" s="29">
        <f t="shared" si="0"/>
        <v>0</v>
      </c>
      <c r="J18" s="29">
        <f t="shared" si="0"/>
        <v>16.548999999999999</v>
      </c>
      <c r="L18" s="28">
        <f t="shared" si="1"/>
        <v>0</v>
      </c>
      <c r="M18" s="28">
        <f t="shared" si="2"/>
        <v>16.548999999999999</v>
      </c>
    </row>
    <row r="19" spans="1:13">
      <c r="A19" t="s">
        <v>358</v>
      </c>
      <c r="B19" t="s">
        <v>359</v>
      </c>
      <c r="C19">
        <v>13017</v>
      </c>
      <c r="D19">
        <v>13009</v>
      </c>
      <c r="E19">
        <v>13013</v>
      </c>
      <c r="F19">
        <v>13057</v>
      </c>
      <c r="G19">
        <v>13070</v>
      </c>
      <c r="H19">
        <v>13132</v>
      </c>
      <c r="I19" s="29">
        <f t="shared" si="0"/>
        <v>1.2999999999999999E-2</v>
      </c>
      <c r="J19" s="29">
        <f t="shared" si="0"/>
        <v>6.2E-2</v>
      </c>
      <c r="L19" s="28">
        <f t="shared" si="1"/>
        <v>1.2999999999999999E-2</v>
      </c>
      <c r="M19" s="28">
        <f t="shared" si="2"/>
        <v>7.4999999999999997E-2</v>
      </c>
    </row>
    <row r="20" spans="1:13">
      <c r="A20" t="s">
        <v>360</v>
      </c>
      <c r="B20" t="s">
        <v>361</v>
      </c>
      <c r="C20">
        <v>654</v>
      </c>
      <c r="D20">
        <v>669</v>
      </c>
      <c r="E20">
        <v>687</v>
      </c>
      <c r="F20">
        <v>710</v>
      </c>
      <c r="G20">
        <v>738</v>
      </c>
      <c r="H20">
        <v>774</v>
      </c>
      <c r="I20" s="29">
        <f t="shared" si="0"/>
        <v>2.8000000000000001E-2</v>
      </c>
      <c r="J20" s="29">
        <f t="shared" si="0"/>
        <v>3.5999999999999997E-2</v>
      </c>
      <c r="L20" s="28">
        <f t="shared" si="1"/>
        <v>2.8000000000000001E-2</v>
      </c>
      <c r="M20" s="28">
        <f t="shared" si="2"/>
        <v>6.4000000000000001E-2</v>
      </c>
    </row>
    <row r="21" spans="1:13">
      <c r="A21" t="s">
        <v>362</v>
      </c>
      <c r="B21" t="s">
        <v>363</v>
      </c>
      <c r="C21">
        <v>920</v>
      </c>
      <c r="D21">
        <v>925</v>
      </c>
      <c r="E21">
        <v>911</v>
      </c>
      <c r="F21">
        <v>908</v>
      </c>
      <c r="G21">
        <v>883</v>
      </c>
      <c r="H21">
        <v>821</v>
      </c>
      <c r="I21" s="29">
        <f t="shared" si="0"/>
        <v>-2.5000000000000001E-2</v>
      </c>
      <c r="J21" s="29">
        <f t="shared" si="0"/>
        <v>-6.2E-2</v>
      </c>
      <c r="L21" s="28">
        <f t="shared" si="1"/>
        <v>-2.5000000000000001E-2</v>
      </c>
      <c r="M21" s="28">
        <f t="shared" si="2"/>
        <v>-8.6999999999999994E-2</v>
      </c>
    </row>
    <row r="22" spans="1:13">
      <c r="A22" t="s">
        <v>364</v>
      </c>
      <c r="B22" t="s">
        <v>365</v>
      </c>
      <c r="C22">
        <v>3242</v>
      </c>
      <c r="D22">
        <v>3236</v>
      </c>
      <c r="E22">
        <v>3233</v>
      </c>
      <c r="F22">
        <v>3234</v>
      </c>
      <c r="G22">
        <v>3238</v>
      </c>
      <c r="H22">
        <v>3241</v>
      </c>
      <c r="I22" s="29">
        <f t="shared" si="0"/>
        <v>4.0000000000000001E-3</v>
      </c>
      <c r="J22" s="29">
        <f t="shared" si="0"/>
        <v>3.0000000000000001E-3</v>
      </c>
      <c r="L22" s="28">
        <f t="shared" si="1"/>
        <v>4.0000000000000001E-3</v>
      </c>
      <c r="M22" s="28">
        <f t="shared" si="2"/>
        <v>7.0000000000000001E-3</v>
      </c>
    </row>
    <row r="23" spans="1:13">
      <c r="A23" t="s">
        <v>366</v>
      </c>
      <c r="B23" t="s">
        <v>367</v>
      </c>
      <c r="C23">
        <v>5424</v>
      </c>
      <c r="D23">
        <v>5513</v>
      </c>
      <c r="E23">
        <v>5518</v>
      </c>
      <c r="F23">
        <v>5438</v>
      </c>
      <c r="G23">
        <v>5296</v>
      </c>
      <c r="H23">
        <v>5202</v>
      </c>
      <c r="I23" s="29">
        <f t="shared" si="0"/>
        <v>-0.14199999999999999</v>
      </c>
      <c r="J23" s="29">
        <f t="shared" si="0"/>
        <v>-9.4E-2</v>
      </c>
      <c r="L23" s="28">
        <f t="shared" si="1"/>
        <v>-0.14199999999999999</v>
      </c>
      <c r="M23" s="28">
        <f t="shared" si="2"/>
        <v>-0.23599999999999999</v>
      </c>
    </row>
    <row r="24" spans="1:13">
      <c r="A24" t="s">
        <v>368</v>
      </c>
      <c r="B24" t="s">
        <v>369</v>
      </c>
      <c r="C24">
        <v>126313</v>
      </c>
      <c r="D24">
        <v>128773</v>
      </c>
      <c r="E24">
        <v>130929</v>
      </c>
      <c r="F24">
        <v>133510</v>
      </c>
      <c r="G24">
        <v>137612</v>
      </c>
      <c r="H24">
        <v>141171</v>
      </c>
      <c r="I24" s="29">
        <f t="shared" si="0"/>
        <v>4.1020000000000003</v>
      </c>
      <c r="J24" s="29">
        <f t="shared" si="0"/>
        <v>3.5590000000000002</v>
      </c>
      <c r="L24" s="28">
        <f t="shared" si="1"/>
        <v>4.1020000000000003</v>
      </c>
      <c r="M24" s="28">
        <f t="shared" si="2"/>
        <v>7.6610000000000005</v>
      </c>
    </row>
    <row r="25" spans="1:13">
      <c r="A25" t="s">
        <v>370</v>
      </c>
      <c r="B25" t="s">
        <v>371</v>
      </c>
      <c r="C25">
        <v>100052</v>
      </c>
      <c r="D25">
        <v>101789</v>
      </c>
      <c r="E25">
        <v>103332</v>
      </c>
      <c r="F25">
        <v>105411</v>
      </c>
      <c r="G25">
        <v>109080</v>
      </c>
      <c r="H25">
        <v>112219</v>
      </c>
      <c r="I25" s="29">
        <f t="shared" si="0"/>
        <v>3.669</v>
      </c>
      <c r="J25" s="29">
        <f t="shared" si="0"/>
        <v>3.1389999999999998</v>
      </c>
      <c r="L25" s="28">
        <f t="shared" si="1"/>
        <v>3.669</v>
      </c>
      <c r="M25" s="28">
        <f t="shared" si="2"/>
        <v>6.8079999999999998</v>
      </c>
    </row>
    <row r="26" spans="1:13">
      <c r="A26" t="s">
        <v>372</v>
      </c>
      <c r="B26" t="s">
        <v>373</v>
      </c>
      <c r="C26">
        <v>11314</v>
      </c>
      <c r="D26">
        <v>11417</v>
      </c>
      <c r="E26">
        <v>11572</v>
      </c>
      <c r="F26">
        <v>11778</v>
      </c>
      <c r="G26">
        <v>12021</v>
      </c>
      <c r="H26">
        <v>12234</v>
      </c>
      <c r="I26" s="29">
        <f t="shared" si="0"/>
        <v>0.24299999999999999</v>
      </c>
      <c r="J26" s="29">
        <f t="shared" si="0"/>
        <v>0.21299999999999999</v>
      </c>
      <c r="L26" s="28">
        <f t="shared" si="1"/>
        <v>0.24299999999999999</v>
      </c>
      <c r="M26" s="28">
        <f t="shared" si="2"/>
        <v>0.45599999999999996</v>
      </c>
    </row>
    <row r="27" spans="1:13">
      <c r="A27" t="s">
        <v>374</v>
      </c>
      <c r="B27" t="s">
        <v>375</v>
      </c>
      <c r="C27">
        <v>14946</v>
      </c>
      <c r="D27">
        <v>15567</v>
      </c>
      <c r="E27">
        <v>16025</v>
      </c>
      <c r="F27">
        <v>16321</v>
      </c>
      <c r="G27">
        <v>16512</v>
      </c>
      <c r="H27">
        <v>16717</v>
      </c>
      <c r="I27" s="29">
        <f t="shared" si="0"/>
        <v>0.191</v>
      </c>
      <c r="J27" s="29">
        <f t="shared" si="0"/>
        <v>0.20499999999999999</v>
      </c>
      <c r="L27" s="28">
        <f t="shared" si="1"/>
        <v>0.191</v>
      </c>
      <c r="M27" s="28">
        <f t="shared" si="2"/>
        <v>0.39600000000000002</v>
      </c>
    </row>
    <row r="28" spans="1:13">
      <c r="A28" t="s">
        <v>376</v>
      </c>
      <c r="B28" t="s">
        <v>377</v>
      </c>
      <c r="C28">
        <v>56061</v>
      </c>
      <c r="D28">
        <v>54671</v>
      </c>
      <c r="E28">
        <v>54125</v>
      </c>
      <c r="F28">
        <v>53888</v>
      </c>
      <c r="G28">
        <v>56811</v>
      </c>
      <c r="H28">
        <v>117011</v>
      </c>
      <c r="I28" s="29">
        <f t="shared" si="0"/>
        <v>2.923</v>
      </c>
      <c r="J28" s="29">
        <f t="shared" si="0"/>
        <v>60.2</v>
      </c>
      <c r="L28" s="28">
        <f t="shared" si="1"/>
        <v>2.923</v>
      </c>
      <c r="M28" s="28">
        <f t="shared" si="2"/>
        <v>63.123000000000005</v>
      </c>
    </row>
    <row r="29" spans="1:13">
      <c r="A29" t="s">
        <v>378</v>
      </c>
      <c r="B29" t="s">
        <v>379</v>
      </c>
      <c r="C29">
        <v>229</v>
      </c>
      <c r="D29">
        <v>237</v>
      </c>
      <c r="E29">
        <v>223</v>
      </c>
      <c r="F29">
        <v>232</v>
      </c>
      <c r="G29">
        <v>226</v>
      </c>
      <c r="H29">
        <v>218</v>
      </c>
      <c r="I29" s="29">
        <f t="shared" si="0"/>
        <v>-6.0000000000000001E-3</v>
      </c>
      <c r="J29" s="29">
        <f t="shared" si="0"/>
        <v>-8.0000000000000002E-3</v>
      </c>
      <c r="L29" s="28">
        <f t="shared" si="1"/>
        <v>-6.0000000000000001E-3</v>
      </c>
      <c r="M29" s="28">
        <f t="shared" si="2"/>
        <v>-1.4E-2</v>
      </c>
    </row>
    <row r="30" spans="1:13">
      <c r="A30" t="s">
        <v>380</v>
      </c>
      <c r="B30" t="s">
        <v>381</v>
      </c>
      <c r="C30">
        <v>53352</v>
      </c>
      <c r="D30">
        <v>53689</v>
      </c>
      <c r="E30">
        <v>53638</v>
      </c>
      <c r="F30">
        <v>53063</v>
      </c>
      <c r="G30">
        <v>53927</v>
      </c>
      <c r="H30">
        <v>53995</v>
      </c>
      <c r="I30" s="29">
        <f t="shared" si="0"/>
        <v>0.86399999999999999</v>
      </c>
      <c r="J30" s="29">
        <f t="shared" si="0"/>
        <v>6.8000000000000005E-2</v>
      </c>
      <c r="L30" s="28">
        <f t="shared" si="1"/>
        <v>0.86399999999999999</v>
      </c>
      <c r="M30" s="28">
        <f t="shared" si="2"/>
        <v>0.93199999999999994</v>
      </c>
    </row>
    <row r="31" spans="1:13">
      <c r="A31" t="s">
        <v>382</v>
      </c>
      <c r="B31" t="s">
        <v>383</v>
      </c>
      <c r="C31" t="s">
        <v>384</v>
      </c>
      <c r="D31" t="s">
        <v>384</v>
      </c>
      <c r="E31" t="s">
        <v>384</v>
      </c>
      <c r="F31" t="s">
        <v>384</v>
      </c>
      <c r="G31" t="s">
        <v>384</v>
      </c>
      <c r="H31" t="s">
        <v>384</v>
      </c>
      <c r="I31" s="29"/>
      <c r="J31" s="29"/>
      <c r="L31" s="28"/>
      <c r="M31" s="28"/>
    </row>
    <row r="32" spans="1:13">
      <c r="A32" t="s">
        <v>385</v>
      </c>
      <c r="B32" t="s">
        <v>386</v>
      </c>
      <c r="C32">
        <v>165106</v>
      </c>
      <c r="D32">
        <v>160839</v>
      </c>
      <c r="E32">
        <v>156398</v>
      </c>
      <c r="F32">
        <v>152320</v>
      </c>
      <c r="G32">
        <v>168044</v>
      </c>
      <c r="H32">
        <v>1241336</v>
      </c>
      <c r="I32" s="29">
        <f t="shared" si="0"/>
        <v>15.724</v>
      </c>
      <c r="J32" s="29">
        <f t="shared" si="0"/>
        <v>1073.2919999999999</v>
      </c>
      <c r="L32" s="28">
        <f t="shared" si="1"/>
        <v>15.724</v>
      </c>
      <c r="M32" s="28">
        <f t="shared" si="2"/>
        <v>1089.0159999999998</v>
      </c>
    </row>
    <row r="33" spans="1:15">
      <c r="A33" t="s">
        <v>387</v>
      </c>
      <c r="B33" t="s">
        <v>388</v>
      </c>
      <c r="C33">
        <v>60150</v>
      </c>
      <c r="D33">
        <v>60384</v>
      </c>
      <c r="E33">
        <v>61007</v>
      </c>
      <c r="F33">
        <v>62531</v>
      </c>
      <c r="G33">
        <v>66146</v>
      </c>
      <c r="H33">
        <v>247465</v>
      </c>
      <c r="I33" s="29">
        <f t="shared" si="0"/>
        <v>3.6150000000000002</v>
      </c>
      <c r="J33" s="29">
        <f t="shared" si="0"/>
        <v>181.31899999999999</v>
      </c>
      <c r="L33" s="28">
        <f t="shared" si="1"/>
        <v>3.6150000000000002</v>
      </c>
      <c r="M33" s="28">
        <f t="shared" si="2"/>
        <v>184.934</v>
      </c>
    </row>
    <row r="34" spans="1:15">
      <c r="A34" t="s">
        <v>389</v>
      </c>
      <c r="B34" s="123" t="s">
        <v>390</v>
      </c>
      <c r="C34">
        <v>738714</v>
      </c>
      <c r="D34">
        <v>755204</v>
      </c>
      <c r="E34">
        <v>763370</v>
      </c>
      <c r="F34">
        <v>760967</v>
      </c>
      <c r="G34">
        <v>767087</v>
      </c>
      <c r="H34">
        <v>818179</v>
      </c>
      <c r="I34" s="29">
        <f t="shared" si="0"/>
        <v>6.12</v>
      </c>
      <c r="J34" s="29">
        <f t="shared" si="0"/>
        <v>51.091999999999999</v>
      </c>
      <c r="L34" s="28">
        <f t="shared" si="1"/>
        <v>6.12</v>
      </c>
      <c r="M34" s="28">
        <f t="shared" si="2"/>
        <v>57.211999999999996</v>
      </c>
    </row>
    <row r="35" spans="1:15">
      <c r="A35" t="s">
        <v>391</v>
      </c>
      <c r="B35" t="s">
        <v>343</v>
      </c>
      <c r="C35">
        <v>15992</v>
      </c>
      <c r="D35">
        <v>16088</v>
      </c>
      <c r="E35">
        <v>16245</v>
      </c>
      <c r="F35">
        <v>16461</v>
      </c>
      <c r="G35">
        <v>16723</v>
      </c>
      <c r="H35">
        <v>16967</v>
      </c>
      <c r="I35" s="29">
        <f t="shared" si="0"/>
        <v>0.26200000000000001</v>
      </c>
      <c r="J35" s="29">
        <f t="shared" si="0"/>
        <v>0.24399999999999999</v>
      </c>
      <c r="L35" s="28">
        <f t="shared" si="1"/>
        <v>0.26200000000000001</v>
      </c>
      <c r="M35" s="28">
        <f t="shared" si="2"/>
        <v>0.50600000000000001</v>
      </c>
      <c r="N35" s="230">
        <f>G34/1000-G39/1000</f>
        <v>130.06499999999994</v>
      </c>
      <c r="O35" s="230">
        <f>H34/1000-H39/1000</f>
        <v>130.23099999999999</v>
      </c>
    </row>
    <row r="36" spans="1:15">
      <c r="A36" t="s">
        <v>392</v>
      </c>
      <c r="B36" t="s">
        <v>393</v>
      </c>
      <c r="C36">
        <v>8119</v>
      </c>
      <c r="D36">
        <v>8318</v>
      </c>
      <c r="E36">
        <v>8573</v>
      </c>
      <c r="F36">
        <v>8883</v>
      </c>
      <c r="G36">
        <v>9236</v>
      </c>
      <c r="H36">
        <v>9573</v>
      </c>
      <c r="I36" s="29">
        <f t="shared" si="0"/>
        <v>0.35299999999999998</v>
      </c>
      <c r="J36" s="29">
        <f t="shared" si="0"/>
        <v>0.33700000000000002</v>
      </c>
      <c r="L36" s="28">
        <f t="shared" si="1"/>
        <v>0.35299999999999998</v>
      </c>
      <c r="M36" s="28">
        <f t="shared" si="2"/>
        <v>0.69</v>
      </c>
      <c r="N36">
        <f>G15/1000</f>
        <v>43.021000000000001</v>
      </c>
    </row>
    <row r="37" spans="1:15">
      <c r="A37" t="s">
        <v>394</v>
      </c>
      <c r="B37" t="s">
        <v>365</v>
      </c>
      <c r="C37">
        <v>7873</v>
      </c>
      <c r="D37">
        <v>7770</v>
      </c>
      <c r="E37">
        <v>7672</v>
      </c>
      <c r="F37">
        <v>7578</v>
      </c>
      <c r="G37">
        <v>7487</v>
      </c>
      <c r="H37">
        <v>7394</v>
      </c>
      <c r="I37" s="29">
        <f t="shared" si="0"/>
        <v>-9.0999999999999998E-2</v>
      </c>
      <c r="J37" s="29">
        <f t="shared" si="0"/>
        <v>-9.2999999999999999E-2</v>
      </c>
      <c r="L37" s="28">
        <f t="shared" si="1"/>
        <v>-9.0999999999999998E-2</v>
      </c>
      <c r="M37" s="28">
        <f t="shared" si="2"/>
        <v>-0.184</v>
      </c>
      <c r="N37">
        <f>N36+N35</f>
        <v>173.08599999999996</v>
      </c>
    </row>
    <row r="38" spans="1:15">
      <c r="A38" t="s">
        <v>395</v>
      </c>
      <c r="B38" t="s">
        <v>396</v>
      </c>
      <c r="C38">
        <v>678158</v>
      </c>
      <c r="D38">
        <v>694075</v>
      </c>
      <c r="E38">
        <v>701717</v>
      </c>
      <c r="F38">
        <v>698838</v>
      </c>
      <c r="G38">
        <v>704527</v>
      </c>
      <c r="H38">
        <v>755217</v>
      </c>
      <c r="I38" s="29">
        <f t="shared" si="0"/>
        <v>5.6890000000000001</v>
      </c>
      <c r="J38" s="29">
        <f t="shared" si="0"/>
        <v>50.69</v>
      </c>
      <c r="L38" s="28">
        <f t="shared" si="1"/>
        <v>5.6890000000000001</v>
      </c>
      <c r="M38" s="28">
        <f t="shared" si="2"/>
        <v>56.378999999999998</v>
      </c>
    </row>
    <row r="39" spans="1:15">
      <c r="A39" t="s">
        <v>397</v>
      </c>
      <c r="B39" t="s">
        <v>398</v>
      </c>
      <c r="C39">
        <v>611842</v>
      </c>
      <c r="D39">
        <v>627508</v>
      </c>
      <c r="E39">
        <v>634894</v>
      </c>
      <c r="F39">
        <v>632124</v>
      </c>
      <c r="G39">
        <v>637022</v>
      </c>
      <c r="H39">
        <v>687948</v>
      </c>
      <c r="I39" s="29">
        <f t="shared" si="0"/>
        <v>4.8979999999999997</v>
      </c>
      <c r="J39" s="29">
        <f t="shared" si="0"/>
        <v>50.926000000000002</v>
      </c>
      <c r="L39" s="28">
        <f t="shared" si="1"/>
        <v>4.8979999999999997</v>
      </c>
      <c r="M39" s="28">
        <f t="shared" si="2"/>
        <v>55.823999999999998</v>
      </c>
    </row>
    <row r="40" spans="1:15">
      <c r="A40" t="s">
        <v>399</v>
      </c>
      <c r="B40" t="s">
        <v>400</v>
      </c>
      <c r="C40">
        <v>599372</v>
      </c>
      <c r="D40">
        <v>614976</v>
      </c>
      <c r="E40">
        <v>622265</v>
      </c>
      <c r="F40">
        <v>619362</v>
      </c>
      <c r="G40">
        <v>624096</v>
      </c>
      <c r="H40">
        <v>674847</v>
      </c>
      <c r="I40" s="29">
        <f t="shared" si="0"/>
        <v>4.734</v>
      </c>
      <c r="J40" s="29">
        <f t="shared" si="0"/>
        <v>50.750999999999998</v>
      </c>
      <c r="L40" s="28">
        <f t="shared" si="1"/>
        <v>4.734</v>
      </c>
      <c r="M40" s="28">
        <f t="shared" si="2"/>
        <v>55.484999999999999</v>
      </c>
    </row>
    <row r="41" spans="1:15">
      <c r="A41" t="s">
        <v>401</v>
      </c>
      <c r="B41" t="s">
        <v>402</v>
      </c>
      <c r="C41">
        <v>12470</v>
      </c>
      <c r="D41">
        <v>12532</v>
      </c>
      <c r="E41">
        <v>12629</v>
      </c>
      <c r="F41">
        <v>12761</v>
      </c>
      <c r="G41">
        <v>12926</v>
      </c>
      <c r="H41">
        <v>13101</v>
      </c>
      <c r="I41" s="29">
        <f t="shared" si="0"/>
        <v>0.16500000000000001</v>
      </c>
      <c r="J41" s="29">
        <f t="shared" si="0"/>
        <v>0.17499999999999999</v>
      </c>
      <c r="L41" s="28">
        <f t="shared" si="1"/>
        <v>0.16500000000000001</v>
      </c>
      <c r="M41" s="28">
        <f t="shared" si="2"/>
        <v>0.33999999999999997</v>
      </c>
    </row>
    <row r="42" spans="1:15">
      <c r="A42" t="s">
        <v>403</v>
      </c>
      <c r="B42" t="s">
        <v>404</v>
      </c>
      <c r="C42">
        <v>20083</v>
      </c>
      <c r="D42">
        <v>20148</v>
      </c>
      <c r="E42">
        <v>20226</v>
      </c>
      <c r="F42">
        <v>20315</v>
      </c>
      <c r="G42">
        <v>20417</v>
      </c>
      <c r="H42">
        <v>20524</v>
      </c>
      <c r="I42" s="29">
        <f t="shared" si="0"/>
        <v>0.10199999999999999</v>
      </c>
      <c r="J42" s="29">
        <f t="shared" si="0"/>
        <v>0.107</v>
      </c>
      <c r="L42" s="28">
        <f t="shared" si="1"/>
        <v>0.10199999999999999</v>
      </c>
      <c r="M42" s="28">
        <f t="shared" si="2"/>
        <v>0.20899999999999999</v>
      </c>
    </row>
    <row r="43" spans="1:15">
      <c r="A43" t="s">
        <v>405</v>
      </c>
      <c r="B43" t="s">
        <v>406</v>
      </c>
      <c r="C43">
        <v>4294</v>
      </c>
      <c r="D43">
        <v>4279</v>
      </c>
      <c r="E43">
        <v>4287</v>
      </c>
      <c r="F43">
        <v>4259</v>
      </c>
      <c r="G43">
        <v>4257</v>
      </c>
      <c r="H43">
        <v>4244</v>
      </c>
      <c r="I43" s="29">
        <f t="shared" si="0"/>
        <v>-2E-3</v>
      </c>
      <c r="J43" s="29">
        <f t="shared" si="0"/>
        <v>-1.2999999999999999E-2</v>
      </c>
      <c r="L43" s="28">
        <f t="shared" si="1"/>
        <v>-2E-3</v>
      </c>
      <c r="M43" s="28">
        <f t="shared" si="2"/>
        <v>-1.4999999999999999E-2</v>
      </c>
    </row>
    <row r="44" spans="1:15">
      <c r="A44" t="s">
        <v>407</v>
      </c>
      <c r="B44" t="s">
        <v>408</v>
      </c>
      <c r="C44">
        <v>20138</v>
      </c>
      <c r="D44">
        <v>20159</v>
      </c>
      <c r="E44">
        <v>20356</v>
      </c>
      <c r="F44">
        <v>20197</v>
      </c>
      <c r="G44">
        <v>20792</v>
      </c>
      <c r="H44">
        <v>20316</v>
      </c>
      <c r="I44" s="29">
        <f t="shared" si="0"/>
        <v>0.59499999999999997</v>
      </c>
      <c r="J44" s="29">
        <f t="shared" si="0"/>
        <v>-0.47599999999999998</v>
      </c>
      <c r="L44" s="28">
        <f t="shared" si="1"/>
        <v>0.59499999999999997</v>
      </c>
      <c r="M44" s="28">
        <f t="shared" si="2"/>
        <v>0.11899999999999999</v>
      </c>
    </row>
    <row r="45" spans="1:15">
      <c r="A45" t="s">
        <v>409</v>
      </c>
      <c r="B45" t="s">
        <v>410</v>
      </c>
      <c r="C45">
        <v>4052</v>
      </c>
      <c r="D45">
        <v>4128</v>
      </c>
      <c r="E45">
        <v>3996</v>
      </c>
      <c r="F45">
        <v>3932</v>
      </c>
      <c r="G45">
        <v>3932</v>
      </c>
      <c r="H45">
        <v>3932</v>
      </c>
      <c r="I45" s="29">
        <f t="shared" si="0"/>
        <v>0</v>
      </c>
      <c r="J45" s="29">
        <f t="shared" si="0"/>
        <v>0</v>
      </c>
      <c r="L45" s="28">
        <f t="shared" si="1"/>
        <v>0</v>
      </c>
      <c r="M45" s="28">
        <f t="shared" si="2"/>
        <v>0</v>
      </c>
    </row>
    <row r="46" spans="1:15">
      <c r="A46" t="s">
        <v>411</v>
      </c>
      <c r="B46" t="s">
        <v>412</v>
      </c>
      <c r="C46">
        <v>17748</v>
      </c>
      <c r="D46">
        <v>17854</v>
      </c>
      <c r="E46">
        <v>17959</v>
      </c>
      <c r="F46">
        <v>18011</v>
      </c>
      <c r="G46">
        <v>18108</v>
      </c>
      <c r="H46">
        <v>18254</v>
      </c>
      <c r="I46" s="29">
        <f t="shared" si="0"/>
        <v>9.7000000000000003E-2</v>
      </c>
      <c r="J46" s="29">
        <f t="shared" si="0"/>
        <v>0.14599999999999999</v>
      </c>
      <c r="L46" s="28">
        <f t="shared" si="1"/>
        <v>9.7000000000000003E-2</v>
      </c>
      <c r="M46" s="28">
        <f t="shared" si="2"/>
        <v>0.24299999999999999</v>
      </c>
    </row>
    <row r="47" spans="1:15">
      <c r="A47" t="s">
        <v>413</v>
      </c>
      <c r="B47" t="s">
        <v>414</v>
      </c>
      <c r="C47">
        <v>40824</v>
      </c>
      <c r="D47">
        <v>41294</v>
      </c>
      <c r="E47">
        <v>41713</v>
      </c>
      <c r="F47">
        <v>42081</v>
      </c>
      <c r="G47">
        <v>42397</v>
      </c>
      <c r="H47">
        <v>42658</v>
      </c>
      <c r="I47" s="29">
        <f t="shared" si="0"/>
        <v>0.316</v>
      </c>
      <c r="J47" s="29">
        <f t="shared" si="0"/>
        <v>0.26100000000000001</v>
      </c>
      <c r="L47" s="28">
        <f t="shared" si="1"/>
        <v>0.316</v>
      </c>
      <c r="M47" s="28">
        <f t="shared" si="2"/>
        <v>0.57699999999999996</v>
      </c>
    </row>
    <row r="48" spans="1:15">
      <c r="A48" t="s">
        <v>415</v>
      </c>
      <c r="B48" t="s">
        <v>416</v>
      </c>
      <c r="C48">
        <v>1240</v>
      </c>
      <c r="D48">
        <v>1264</v>
      </c>
      <c r="E48">
        <v>1277</v>
      </c>
      <c r="F48">
        <v>1279</v>
      </c>
      <c r="G48">
        <v>1273</v>
      </c>
      <c r="H48">
        <v>1277</v>
      </c>
      <c r="I48" s="29">
        <f t="shared" si="0"/>
        <v>-6.0000000000000001E-3</v>
      </c>
      <c r="J48" s="29">
        <f t="shared" si="0"/>
        <v>4.0000000000000001E-3</v>
      </c>
      <c r="L48" s="28">
        <f t="shared" si="1"/>
        <v>-6.0000000000000001E-3</v>
      </c>
      <c r="M48" s="28">
        <f t="shared" si="2"/>
        <v>-2E-3</v>
      </c>
    </row>
    <row r="49" spans="1:13">
      <c r="A49" t="s">
        <v>417</v>
      </c>
      <c r="B49" t="s">
        <v>418</v>
      </c>
      <c r="C49">
        <v>2500</v>
      </c>
      <c r="D49">
        <v>2482</v>
      </c>
      <c r="E49">
        <v>2418</v>
      </c>
      <c r="F49">
        <v>2308</v>
      </c>
      <c r="G49">
        <v>2166</v>
      </c>
      <c r="H49">
        <v>2059</v>
      </c>
      <c r="I49" s="29">
        <f t="shared" si="0"/>
        <v>-0.14199999999999999</v>
      </c>
      <c r="J49" s="29">
        <f t="shared" si="0"/>
        <v>-0.107</v>
      </c>
      <c r="L49" s="28">
        <f t="shared" si="1"/>
        <v>-0.14199999999999999</v>
      </c>
      <c r="M49" s="28">
        <f t="shared" si="2"/>
        <v>-0.249</v>
      </c>
    </row>
    <row r="50" spans="1:13">
      <c r="A50" t="s">
        <v>419</v>
      </c>
      <c r="B50" s="123" t="s">
        <v>420</v>
      </c>
      <c r="C50">
        <v>23602</v>
      </c>
      <c r="D50">
        <v>23801</v>
      </c>
      <c r="E50">
        <v>24308</v>
      </c>
      <c r="F50">
        <v>24383</v>
      </c>
      <c r="G50">
        <v>24898</v>
      </c>
      <c r="H50">
        <v>33497</v>
      </c>
      <c r="I50" s="29">
        <f t="shared" si="0"/>
        <v>0.51500000000000001</v>
      </c>
      <c r="J50" s="29">
        <f t="shared" si="0"/>
        <v>8.5990000000000002</v>
      </c>
      <c r="L50" s="28">
        <f t="shared" si="1"/>
        <v>0.51500000000000001</v>
      </c>
      <c r="M50" s="28">
        <f t="shared" si="2"/>
        <v>9.1140000000000008</v>
      </c>
    </row>
    <row r="51" spans="1:13" ht="15">
      <c r="A51" s="266" t="s">
        <v>421</v>
      </c>
      <c r="B51" s="262"/>
      <c r="C51" s="262"/>
      <c r="D51" s="262"/>
      <c r="E51" s="262"/>
      <c r="F51" s="262"/>
      <c r="G51" s="262"/>
      <c r="H51" s="262"/>
    </row>
    <row r="52" spans="1:13">
      <c r="A52" s="261" t="s">
        <v>422</v>
      </c>
      <c r="B52" s="262"/>
      <c r="C52" s="262"/>
      <c r="D52" s="262"/>
      <c r="E52" s="262"/>
      <c r="F52" s="262"/>
      <c r="G52" s="262"/>
      <c r="H52" s="262"/>
    </row>
    <row r="53" spans="1:13">
      <c r="A53" s="261" t="s">
        <v>423</v>
      </c>
      <c r="B53" s="262"/>
      <c r="C53" s="262"/>
      <c r="D53" s="262"/>
      <c r="E53" s="262"/>
      <c r="F53" s="262"/>
      <c r="G53" s="262"/>
      <c r="H53" s="262"/>
    </row>
    <row r="54" spans="1:13">
      <c r="A54" s="261" t="s">
        <v>424</v>
      </c>
      <c r="B54" s="262"/>
      <c r="C54" s="262"/>
      <c r="D54" s="262"/>
      <c r="E54" s="262"/>
      <c r="F54" s="262"/>
      <c r="G54" s="262"/>
      <c r="H54" s="262"/>
    </row>
    <row r="55" spans="1:13">
      <c r="A55" s="261" t="s">
        <v>425</v>
      </c>
      <c r="B55" s="262"/>
      <c r="C55" s="262"/>
      <c r="D55" s="262"/>
      <c r="E55" s="262"/>
      <c r="F55" s="262"/>
      <c r="G55" s="262"/>
      <c r="H55" s="262"/>
    </row>
    <row r="56" spans="1:13">
      <c r="A56" s="261" t="s">
        <v>426</v>
      </c>
      <c r="B56" s="262"/>
      <c r="C56" s="262"/>
      <c r="D56" s="262"/>
      <c r="E56" s="262"/>
      <c r="F56" s="262"/>
      <c r="G56" s="262"/>
      <c r="H56" s="262"/>
    </row>
    <row r="57" spans="1:13">
      <c r="A57" s="261" t="s">
        <v>427</v>
      </c>
      <c r="B57" s="262"/>
      <c r="C57" s="262"/>
      <c r="D57" s="262"/>
      <c r="E57" s="262"/>
      <c r="F57" s="262"/>
      <c r="G57" s="262"/>
      <c r="H57" s="262"/>
    </row>
    <row r="58" spans="1:13">
      <c r="A58" s="261" t="s">
        <v>428</v>
      </c>
      <c r="B58" s="262"/>
      <c r="C58" s="262"/>
      <c r="D58" s="262"/>
      <c r="E58" s="262"/>
      <c r="F58" s="262"/>
      <c r="G58" s="262"/>
      <c r="H58" s="262"/>
    </row>
    <row r="59" spans="1:13">
      <c r="A59" s="261" t="s">
        <v>429</v>
      </c>
      <c r="B59" s="262"/>
      <c r="C59" s="262"/>
      <c r="D59" s="262"/>
      <c r="E59" s="262"/>
      <c r="F59" s="262"/>
      <c r="G59" s="262"/>
      <c r="H59" s="262"/>
    </row>
    <row r="60" spans="1:13">
      <c r="A60" s="261" t="s">
        <v>430</v>
      </c>
      <c r="B60" s="262"/>
      <c r="C60" s="262"/>
      <c r="D60" s="262"/>
      <c r="E60" s="262"/>
      <c r="F60" s="262"/>
      <c r="G60" s="262"/>
      <c r="H60" s="262"/>
    </row>
    <row r="61" spans="1:13">
      <c r="A61" s="261" t="s">
        <v>431</v>
      </c>
      <c r="B61" s="262"/>
      <c r="C61" s="262"/>
      <c r="D61" s="262"/>
      <c r="E61" s="262"/>
      <c r="F61" s="262"/>
      <c r="G61" s="262"/>
      <c r="H61" s="262"/>
    </row>
    <row r="62" spans="1:13">
      <c r="A62" s="261" t="s">
        <v>432</v>
      </c>
      <c r="B62" s="262"/>
      <c r="C62" s="262"/>
      <c r="D62" s="262"/>
      <c r="E62" s="262"/>
      <c r="F62" s="262"/>
      <c r="G62" s="262"/>
      <c r="H62" s="262"/>
    </row>
    <row r="63" spans="1:13">
      <c r="A63" s="261" t="s">
        <v>433</v>
      </c>
      <c r="B63" s="262"/>
      <c r="C63" s="262"/>
      <c r="D63" s="262"/>
      <c r="E63" s="262"/>
      <c r="F63" s="262"/>
      <c r="G63" s="262"/>
      <c r="H63" s="262"/>
    </row>
    <row r="64" spans="1:13">
      <c r="A64" s="261" t="s">
        <v>434</v>
      </c>
      <c r="B64" s="262"/>
      <c r="C64" s="262"/>
      <c r="D64" s="262"/>
      <c r="E64" s="262"/>
      <c r="F64" s="262"/>
      <c r="G64" s="262"/>
      <c r="H64" s="262"/>
    </row>
  </sheetData>
  <mergeCells count="22">
    <mergeCell ref="A63:H63"/>
    <mergeCell ref="A64:H64"/>
    <mergeCell ref="A57:H57"/>
    <mergeCell ref="A58:H58"/>
    <mergeCell ref="A59:H59"/>
    <mergeCell ref="A60:H60"/>
    <mergeCell ref="A61:H61"/>
    <mergeCell ref="A62:H62"/>
    <mergeCell ref="A56:H56"/>
    <mergeCell ref="A1:H1"/>
    <mergeCell ref="A2:H2"/>
    <mergeCell ref="A3:H3"/>
    <mergeCell ref="A4:H4"/>
    <mergeCell ref="A6:A7"/>
    <mergeCell ref="B6:B7"/>
    <mergeCell ref="C6:F6"/>
    <mergeCell ref="G6:H6"/>
    <mergeCell ref="A51:H51"/>
    <mergeCell ref="A52:H52"/>
    <mergeCell ref="A53:H53"/>
    <mergeCell ref="A54:H54"/>
    <mergeCell ref="A55:H5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88AD7-4698-471B-9690-ED92AC163751}">
  <dimension ref="A1:S86"/>
  <sheetViews>
    <sheetView topLeftCell="B22" workbookViewId="0">
      <selection activeCell="O31" sqref="O31"/>
    </sheetView>
  </sheetViews>
  <sheetFormatPr defaultRowHeight="14.5"/>
  <cols>
    <col min="2" max="2" width="32.54296875" customWidth="1"/>
  </cols>
  <sheetData>
    <row r="1" spans="1:15">
      <c r="K1" s="268" t="s">
        <v>154</v>
      </c>
      <c r="L1" s="268"/>
      <c r="M1" s="268"/>
    </row>
    <row r="2" spans="1:15">
      <c r="A2" s="257" t="s">
        <v>266</v>
      </c>
      <c r="B2" s="257"/>
      <c r="C2" s="257"/>
      <c r="D2" s="257"/>
      <c r="E2" s="257"/>
      <c r="F2" s="257"/>
      <c r="G2" s="257"/>
      <c r="H2" s="257"/>
      <c r="I2" s="257"/>
      <c r="J2" s="257"/>
      <c r="K2" s="257"/>
      <c r="L2" s="257"/>
      <c r="M2" s="257"/>
    </row>
    <row r="3" spans="1:15">
      <c r="A3" s="257" t="s">
        <v>156</v>
      </c>
      <c r="B3" s="257"/>
      <c r="C3" s="257"/>
      <c r="D3" s="257"/>
      <c r="E3" s="257"/>
      <c r="F3" s="257"/>
      <c r="G3" s="257"/>
      <c r="H3" s="257"/>
      <c r="I3" s="257"/>
      <c r="J3" s="257"/>
      <c r="K3" s="257"/>
      <c r="L3" s="257"/>
      <c r="M3" s="257"/>
    </row>
    <row r="4" spans="1:15" ht="15" thickBot="1">
      <c r="A4" s="257"/>
      <c r="B4" s="257"/>
      <c r="C4" s="257"/>
      <c r="D4" s="257"/>
      <c r="E4" s="257"/>
      <c r="F4" s="257"/>
      <c r="G4" s="257"/>
      <c r="H4" s="257"/>
      <c r="I4" s="257"/>
      <c r="J4" s="257"/>
      <c r="K4" s="257"/>
      <c r="L4" s="257"/>
    </row>
    <row r="5" spans="1:15">
      <c r="A5" s="81"/>
      <c r="B5" s="82"/>
      <c r="C5" s="258" t="s">
        <v>157</v>
      </c>
      <c r="D5" s="259"/>
      <c r="E5" s="259"/>
      <c r="F5" s="259"/>
      <c r="G5" s="259"/>
      <c r="H5" s="260"/>
      <c r="I5" s="258" t="s">
        <v>158</v>
      </c>
      <c r="J5" s="259"/>
      <c r="K5" s="259"/>
      <c r="L5" s="259"/>
      <c r="M5" s="260"/>
    </row>
    <row r="6" spans="1:15">
      <c r="A6" s="74" t="s">
        <v>159</v>
      </c>
      <c r="B6" s="83"/>
      <c r="C6" s="253">
        <v>2019</v>
      </c>
      <c r="D6" s="254"/>
      <c r="E6" s="254"/>
      <c r="F6" s="254"/>
      <c r="G6" s="254">
        <v>2020</v>
      </c>
      <c r="H6" s="267"/>
      <c r="I6" s="253">
        <v>2019</v>
      </c>
      <c r="J6" s="254"/>
      <c r="K6" s="254"/>
      <c r="L6" s="254">
        <v>2020</v>
      </c>
      <c r="M6" s="267"/>
      <c r="O6" t="s">
        <v>479</v>
      </c>
    </row>
    <row r="7" spans="1:15">
      <c r="A7" s="181"/>
      <c r="B7" s="182"/>
      <c r="C7" s="183" t="s">
        <v>116</v>
      </c>
      <c r="D7" s="184" t="s">
        <v>160</v>
      </c>
      <c r="E7" s="185" t="s">
        <v>161</v>
      </c>
      <c r="F7" s="186" t="s">
        <v>162</v>
      </c>
      <c r="G7" s="186" t="s">
        <v>116</v>
      </c>
      <c r="H7" s="187" t="s">
        <v>160</v>
      </c>
      <c r="I7" s="183" t="s">
        <v>160</v>
      </c>
      <c r="J7" s="184" t="s">
        <v>161</v>
      </c>
      <c r="K7" s="185" t="s">
        <v>162</v>
      </c>
      <c r="L7" s="186" t="s">
        <v>116</v>
      </c>
      <c r="M7" s="187" t="s">
        <v>160</v>
      </c>
    </row>
    <row r="8" spans="1:15">
      <c r="A8" s="188">
        <v>1</v>
      </c>
      <c r="B8" s="189" t="s">
        <v>267</v>
      </c>
      <c r="C8" s="190">
        <v>18366.7</v>
      </c>
      <c r="D8" s="191">
        <v>18480.900000000001</v>
      </c>
      <c r="E8" s="192">
        <v>18597.599999999999</v>
      </c>
      <c r="F8" s="191">
        <v>18760.8</v>
      </c>
      <c r="G8" s="192">
        <v>18954.2</v>
      </c>
      <c r="H8" s="193">
        <v>20340.400000000001</v>
      </c>
      <c r="I8" s="190">
        <v>114.2</v>
      </c>
      <c r="J8" s="191">
        <v>116.7</v>
      </c>
      <c r="K8" s="192">
        <v>163.1</v>
      </c>
      <c r="L8" s="191">
        <v>193.4</v>
      </c>
      <c r="M8" s="193">
        <v>1386.2</v>
      </c>
      <c r="N8" s="100"/>
      <c r="O8" s="100"/>
    </row>
    <row r="9" spans="1:15">
      <c r="A9" s="66">
        <v>2</v>
      </c>
      <c r="B9" s="194" t="s">
        <v>268</v>
      </c>
      <c r="C9" s="195">
        <v>11335.3</v>
      </c>
      <c r="D9" s="196">
        <v>11391.7</v>
      </c>
      <c r="E9" s="197">
        <v>11438</v>
      </c>
      <c r="F9" s="196">
        <v>11564.8</v>
      </c>
      <c r="G9" s="197">
        <v>11678</v>
      </c>
      <c r="H9" s="198">
        <v>10883.1</v>
      </c>
      <c r="I9" s="195">
        <v>56.4</v>
      </c>
      <c r="J9" s="196">
        <v>46.3</v>
      </c>
      <c r="K9" s="197">
        <v>126.9</v>
      </c>
      <c r="L9" s="196">
        <v>113.2</v>
      </c>
      <c r="M9" s="198">
        <v>-795</v>
      </c>
      <c r="N9" s="100"/>
      <c r="O9" s="100"/>
    </row>
    <row r="10" spans="1:15">
      <c r="A10" s="171">
        <v>3</v>
      </c>
      <c r="B10" s="172" t="s">
        <v>269</v>
      </c>
      <c r="C10" s="173">
        <v>9228.7000000000007</v>
      </c>
      <c r="D10" s="116">
        <v>9274.9</v>
      </c>
      <c r="E10" s="115">
        <v>9311.2999999999993</v>
      </c>
      <c r="F10" s="116">
        <v>9422.5</v>
      </c>
      <c r="G10" s="115">
        <v>9529.5</v>
      </c>
      <c r="H10" s="117">
        <v>8849.9</v>
      </c>
      <c r="I10" s="173">
        <v>46.2</v>
      </c>
      <c r="J10" s="116">
        <v>36.4</v>
      </c>
      <c r="K10" s="115">
        <v>111.2</v>
      </c>
      <c r="L10" s="116">
        <v>107</v>
      </c>
      <c r="M10" s="117">
        <v>-679.6</v>
      </c>
      <c r="N10" s="100"/>
      <c r="O10" s="100"/>
    </row>
    <row r="11" spans="1:15">
      <c r="A11">
        <v>4</v>
      </c>
      <c r="B11" s="83" t="s">
        <v>270</v>
      </c>
      <c r="C11" s="175">
        <v>7796.4</v>
      </c>
      <c r="D11" s="176">
        <v>7832.5</v>
      </c>
      <c r="E11" s="177">
        <v>7852.3</v>
      </c>
      <c r="F11" s="176">
        <v>7953</v>
      </c>
      <c r="G11" s="177">
        <v>8047.9</v>
      </c>
      <c r="H11" s="178">
        <v>7428.2</v>
      </c>
      <c r="I11" s="175">
        <v>36.1</v>
      </c>
      <c r="J11" s="176">
        <v>19.7</v>
      </c>
      <c r="K11" s="177">
        <v>100.7</v>
      </c>
      <c r="L11" s="176">
        <v>94.9</v>
      </c>
      <c r="M11" s="178">
        <v>-619.70000000000005</v>
      </c>
      <c r="N11" s="100"/>
      <c r="O11" s="100"/>
    </row>
    <row r="12" spans="1:15">
      <c r="A12" s="171">
        <v>5</v>
      </c>
      <c r="B12" s="172" t="s">
        <v>271</v>
      </c>
      <c r="C12" s="173">
        <v>1432.3</v>
      </c>
      <c r="D12" s="116">
        <v>1442.3</v>
      </c>
      <c r="E12" s="115">
        <v>1459</v>
      </c>
      <c r="F12" s="116">
        <v>1469.5</v>
      </c>
      <c r="G12" s="115">
        <v>1481.6</v>
      </c>
      <c r="H12" s="117">
        <v>1421.7</v>
      </c>
      <c r="I12" s="173">
        <v>10.1</v>
      </c>
      <c r="J12" s="116">
        <v>16.7</v>
      </c>
      <c r="K12" s="115">
        <v>10.5</v>
      </c>
      <c r="L12" s="116">
        <v>12.1</v>
      </c>
      <c r="M12" s="117">
        <v>-59.8</v>
      </c>
      <c r="N12" s="100"/>
      <c r="O12" s="100"/>
    </row>
    <row r="13" spans="1:15">
      <c r="A13">
        <v>6</v>
      </c>
      <c r="B13" s="83" t="s">
        <v>272</v>
      </c>
      <c r="C13" s="175">
        <v>2106.6</v>
      </c>
      <c r="D13" s="176">
        <v>2116.8000000000002</v>
      </c>
      <c r="E13" s="177">
        <v>2126.6</v>
      </c>
      <c r="F13" s="176">
        <v>2142.4</v>
      </c>
      <c r="G13" s="177">
        <v>2148.6</v>
      </c>
      <c r="H13" s="178">
        <v>2033.2</v>
      </c>
      <c r="I13" s="175">
        <v>10.1</v>
      </c>
      <c r="J13" s="176">
        <v>9.9</v>
      </c>
      <c r="K13" s="177">
        <v>15.7</v>
      </c>
      <c r="L13" s="176">
        <v>6.2</v>
      </c>
      <c r="M13" s="178">
        <v>-115.4</v>
      </c>
      <c r="N13" s="100"/>
      <c r="O13" s="100"/>
    </row>
    <row r="14" spans="1:15">
      <c r="A14" s="188">
        <v>7</v>
      </c>
      <c r="B14" s="199" t="s">
        <v>273</v>
      </c>
      <c r="C14" s="200">
        <v>1627.5</v>
      </c>
      <c r="D14" s="119">
        <v>1628.5</v>
      </c>
      <c r="E14" s="118">
        <v>1677</v>
      </c>
      <c r="F14" s="119">
        <v>1697.7</v>
      </c>
      <c r="G14" s="118">
        <v>1706</v>
      </c>
      <c r="H14" s="120">
        <v>1481.6</v>
      </c>
      <c r="I14" s="200">
        <v>1</v>
      </c>
      <c r="J14" s="119">
        <v>48.5</v>
      </c>
      <c r="K14" s="118">
        <v>20.7</v>
      </c>
      <c r="L14" s="119">
        <v>8.3000000000000007</v>
      </c>
      <c r="M14" s="120">
        <v>-224.4</v>
      </c>
      <c r="N14" s="100"/>
      <c r="O14" s="100"/>
    </row>
    <row r="15" spans="1:15">
      <c r="A15">
        <v>8</v>
      </c>
      <c r="B15" s="83" t="s">
        <v>274</v>
      </c>
      <c r="C15" s="175">
        <v>44.2</v>
      </c>
      <c r="D15" s="176">
        <v>36.9</v>
      </c>
      <c r="E15" s="177">
        <v>58.9</v>
      </c>
      <c r="F15" s="176">
        <v>58.7</v>
      </c>
      <c r="G15" s="177">
        <v>56.4</v>
      </c>
      <c r="H15" s="178">
        <v>42.4</v>
      </c>
      <c r="I15" s="175">
        <v>-7.3</v>
      </c>
      <c r="J15" s="176">
        <v>22</v>
      </c>
      <c r="K15" s="177">
        <v>-0.2</v>
      </c>
      <c r="L15" s="176">
        <v>-2.2999999999999998</v>
      </c>
      <c r="M15" s="178">
        <v>-14</v>
      </c>
      <c r="N15" s="100"/>
      <c r="O15" s="100"/>
    </row>
    <row r="16" spans="1:15">
      <c r="A16" s="171"/>
      <c r="B16" s="201" t="s">
        <v>275</v>
      </c>
      <c r="C16" s="173"/>
      <c r="D16" s="116"/>
      <c r="E16" s="115"/>
      <c r="F16" s="116"/>
      <c r="G16" s="115"/>
      <c r="H16" s="117"/>
      <c r="I16" s="173"/>
      <c r="J16" s="116"/>
      <c r="K16" s="115"/>
      <c r="L16" s="116"/>
      <c r="M16" s="117"/>
      <c r="N16" s="100"/>
      <c r="O16" s="100"/>
    </row>
    <row r="17" spans="1:19" ht="16.5">
      <c r="A17" s="171">
        <v>9</v>
      </c>
      <c r="B17" s="202" t="s">
        <v>276</v>
      </c>
      <c r="C17" s="173" t="s">
        <v>174</v>
      </c>
      <c r="D17" s="116" t="s">
        <v>174</v>
      </c>
      <c r="E17" s="115" t="s">
        <v>174</v>
      </c>
      <c r="F17" s="116" t="s">
        <v>174</v>
      </c>
      <c r="G17" s="115" t="str">
        <f>D17</f>
        <v>...</v>
      </c>
      <c r="H17" s="117">
        <v>6.5</v>
      </c>
      <c r="I17" s="173" t="s">
        <v>174</v>
      </c>
      <c r="J17" s="116" t="s">
        <v>174</v>
      </c>
      <c r="K17" s="115" t="s">
        <v>174</v>
      </c>
      <c r="L17" s="116" t="s">
        <v>174</v>
      </c>
      <c r="M17" s="117">
        <v>6.5</v>
      </c>
      <c r="N17" s="100"/>
      <c r="O17" s="100"/>
    </row>
    <row r="18" spans="1:19">
      <c r="A18">
        <v>10</v>
      </c>
      <c r="B18" s="83" t="s">
        <v>277</v>
      </c>
      <c r="C18" s="175">
        <v>1583.4</v>
      </c>
      <c r="D18" s="176">
        <v>1591.6</v>
      </c>
      <c r="E18" s="177">
        <v>1618.1</v>
      </c>
      <c r="F18" s="176">
        <v>1639</v>
      </c>
      <c r="G18" s="177">
        <v>1649.6</v>
      </c>
      <c r="H18" s="178">
        <v>1439.3</v>
      </c>
      <c r="I18" s="175">
        <v>8.3000000000000007</v>
      </c>
      <c r="J18" s="176">
        <v>26.5</v>
      </c>
      <c r="K18" s="177">
        <v>20.9</v>
      </c>
      <c r="L18" s="176">
        <v>10.6</v>
      </c>
      <c r="M18" s="178">
        <v>-210.4</v>
      </c>
      <c r="N18" s="100"/>
      <c r="O18" s="100"/>
    </row>
    <row r="19" spans="1:19">
      <c r="A19" s="171"/>
      <c r="B19" s="201" t="s">
        <v>201</v>
      </c>
      <c r="C19" s="173"/>
      <c r="D19" s="116"/>
      <c r="E19" s="115"/>
      <c r="F19" s="116"/>
      <c r="G19" s="115"/>
      <c r="H19" s="117"/>
      <c r="I19" s="173"/>
      <c r="J19" s="116"/>
      <c r="K19" s="115"/>
      <c r="L19" s="116"/>
      <c r="M19" s="117"/>
      <c r="N19" s="100"/>
      <c r="O19" s="100"/>
    </row>
    <row r="20" spans="1:19" ht="16.5">
      <c r="A20" s="171">
        <v>11</v>
      </c>
      <c r="B20" s="202" t="s">
        <v>276</v>
      </c>
      <c r="C20" s="173" t="s">
        <v>174</v>
      </c>
      <c r="D20" s="116" t="s">
        <v>174</v>
      </c>
      <c r="E20" s="115" t="s">
        <v>174</v>
      </c>
      <c r="F20" s="116" t="s">
        <v>174</v>
      </c>
      <c r="G20" s="115" t="str">
        <f>D20</f>
        <v>...</v>
      </c>
      <c r="H20" s="117">
        <v>209.4</v>
      </c>
      <c r="I20" s="173" t="s">
        <v>174</v>
      </c>
      <c r="J20" s="116" t="s">
        <v>174</v>
      </c>
      <c r="K20" s="115" t="s">
        <v>174</v>
      </c>
      <c r="L20" s="116" t="s">
        <v>174</v>
      </c>
      <c r="M20" s="117">
        <v>209.4</v>
      </c>
      <c r="N20" s="100"/>
      <c r="O20" s="100"/>
    </row>
    <row r="21" spans="1:19">
      <c r="A21" s="66">
        <v>12</v>
      </c>
      <c r="B21" s="194" t="s">
        <v>278</v>
      </c>
      <c r="C21" s="195">
        <v>776.6</v>
      </c>
      <c r="D21" s="196">
        <v>786.7</v>
      </c>
      <c r="E21" s="197">
        <v>789.7</v>
      </c>
      <c r="F21" s="196">
        <v>795.5</v>
      </c>
      <c r="G21" s="197">
        <v>802.3</v>
      </c>
      <c r="H21" s="198">
        <v>799.4</v>
      </c>
      <c r="I21" s="195">
        <v>10.1</v>
      </c>
      <c r="J21" s="196">
        <v>3</v>
      </c>
      <c r="K21" s="197">
        <v>5.9</v>
      </c>
      <c r="L21" s="196">
        <v>6.8</v>
      </c>
      <c r="M21" s="198">
        <v>-2.9</v>
      </c>
      <c r="N21" s="100"/>
      <c r="O21" s="100"/>
    </row>
    <row r="22" spans="1:19">
      <c r="A22" s="188">
        <v>13</v>
      </c>
      <c r="B22" s="199" t="s">
        <v>279</v>
      </c>
      <c r="C22" s="200">
        <v>2950.7</v>
      </c>
      <c r="D22" s="119">
        <v>2970.2</v>
      </c>
      <c r="E22" s="118">
        <v>2970.1</v>
      </c>
      <c r="F22" s="119">
        <v>2980.4</v>
      </c>
      <c r="G22" s="118">
        <v>2984.3</v>
      </c>
      <c r="H22" s="120">
        <v>2902.4</v>
      </c>
      <c r="I22" s="200">
        <v>19.5</v>
      </c>
      <c r="J22" s="119">
        <v>-0.1</v>
      </c>
      <c r="K22" s="118">
        <v>10.4</v>
      </c>
      <c r="L22" s="119">
        <v>3.9</v>
      </c>
      <c r="M22" s="120">
        <v>-81.900000000000006</v>
      </c>
      <c r="N22" s="100"/>
      <c r="O22" s="100"/>
    </row>
    <row r="23" spans="1:19">
      <c r="A23">
        <v>14</v>
      </c>
      <c r="B23" s="83" t="s">
        <v>280</v>
      </c>
      <c r="C23" s="175">
        <v>1652</v>
      </c>
      <c r="D23" s="176">
        <v>1682.6</v>
      </c>
      <c r="E23" s="177">
        <v>1681.7</v>
      </c>
      <c r="F23" s="176">
        <v>1693.4</v>
      </c>
      <c r="G23" s="177">
        <v>1679.7</v>
      </c>
      <c r="H23" s="178">
        <v>1629.4</v>
      </c>
      <c r="I23" s="175">
        <v>30.6</v>
      </c>
      <c r="J23" s="176">
        <v>-0.8</v>
      </c>
      <c r="K23" s="177">
        <v>11.7</v>
      </c>
      <c r="L23" s="176">
        <v>-13.7</v>
      </c>
      <c r="M23" s="178">
        <v>-50.3</v>
      </c>
      <c r="N23" s="100"/>
      <c r="O23" s="100"/>
    </row>
    <row r="24" spans="1:19">
      <c r="A24" s="171">
        <v>15</v>
      </c>
      <c r="B24" s="172" t="s">
        <v>281</v>
      </c>
      <c r="C24" s="173">
        <v>1298.7</v>
      </c>
      <c r="D24" s="116">
        <v>1287.5999999999999</v>
      </c>
      <c r="E24" s="115">
        <v>1288.3</v>
      </c>
      <c r="F24" s="116">
        <v>1287</v>
      </c>
      <c r="G24" s="115">
        <v>1304.5999999999999</v>
      </c>
      <c r="H24" s="117">
        <v>1273</v>
      </c>
      <c r="I24" s="173">
        <v>-11.1</v>
      </c>
      <c r="J24" s="116">
        <v>0.7</v>
      </c>
      <c r="K24" s="115">
        <v>-1.3</v>
      </c>
      <c r="L24" s="116">
        <v>17.600000000000001</v>
      </c>
      <c r="M24" s="117">
        <v>-31.6</v>
      </c>
      <c r="R24" t="s">
        <v>445</v>
      </c>
    </row>
    <row r="25" spans="1:19">
      <c r="A25" s="66">
        <v>16</v>
      </c>
      <c r="B25" s="194" t="s">
        <v>282</v>
      </c>
      <c r="C25" s="195">
        <v>3085.2</v>
      </c>
      <c r="D25" s="196">
        <v>3118.6</v>
      </c>
      <c r="E25" s="197">
        <v>3141.9</v>
      </c>
      <c r="F25" s="196">
        <v>3155.2</v>
      </c>
      <c r="G25" s="197">
        <v>3235.5</v>
      </c>
      <c r="H25" s="198">
        <v>5654.6</v>
      </c>
      <c r="I25" s="195">
        <v>33.299999999999997</v>
      </c>
      <c r="J25" s="196">
        <v>23.3</v>
      </c>
      <c r="K25" s="197">
        <v>13.3</v>
      </c>
      <c r="L25" s="196">
        <v>80.3</v>
      </c>
      <c r="M25" s="198">
        <v>2419.1</v>
      </c>
      <c r="O25" s="100">
        <f>L25-K25</f>
        <v>67</v>
      </c>
      <c r="P25" s="100">
        <f>M25-L25</f>
        <v>2338.7999999999997</v>
      </c>
      <c r="R25" s="100" t="s">
        <v>105</v>
      </c>
      <c r="S25" s="100" t="s">
        <v>105</v>
      </c>
    </row>
    <row r="26" spans="1:19">
      <c r="A26" s="171">
        <v>17</v>
      </c>
      <c r="B26" s="172" t="s">
        <v>283</v>
      </c>
      <c r="C26" s="173">
        <v>3037.5</v>
      </c>
      <c r="D26" s="116">
        <v>3071</v>
      </c>
      <c r="E26" s="115">
        <v>3094.8</v>
      </c>
      <c r="F26" s="116">
        <v>3108.7</v>
      </c>
      <c r="G26" s="115">
        <v>3189.6</v>
      </c>
      <c r="H26" s="117">
        <v>5608.8</v>
      </c>
      <c r="I26" s="173">
        <v>33.5</v>
      </c>
      <c r="J26" s="116">
        <v>23.8</v>
      </c>
      <c r="K26" s="115">
        <v>13.9</v>
      </c>
      <c r="L26" s="116">
        <v>80.900000000000006</v>
      </c>
      <c r="M26" s="117">
        <v>2419.1999999999998</v>
      </c>
      <c r="O26" s="100">
        <f>L26-K26</f>
        <v>67</v>
      </c>
      <c r="P26" s="100">
        <f>M26-L26</f>
        <v>2338.2999999999997</v>
      </c>
    </row>
    <row r="27" spans="1:19">
      <c r="A27">
        <v>18</v>
      </c>
      <c r="B27" s="83" t="s">
        <v>284</v>
      </c>
      <c r="C27" s="175">
        <v>1018.9</v>
      </c>
      <c r="D27" s="176">
        <v>1026.7</v>
      </c>
      <c r="E27" s="177">
        <v>1034.3</v>
      </c>
      <c r="F27" s="176">
        <v>1043</v>
      </c>
      <c r="G27" s="177">
        <v>1068.5</v>
      </c>
      <c r="H27" s="178">
        <v>1076.8</v>
      </c>
      <c r="I27" s="175">
        <v>7.8</v>
      </c>
      <c r="J27" s="176">
        <v>7.6</v>
      </c>
      <c r="K27" s="177">
        <v>8.8000000000000007</v>
      </c>
      <c r="L27" s="176">
        <v>25.4</v>
      </c>
      <c r="M27" s="178">
        <v>8.3000000000000007</v>
      </c>
      <c r="O27" s="100">
        <f t="shared" ref="O27:O38" si="0">L27-K27</f>
        <v>16.599999999999998</v>
      </c>
      <c r="P27" s="100">
        <f t="shared" ref="P27:P38" si="1">M27-L27</f>
        <v>-17.099999999999998</v>
      </c>
      <c r="R27" s="100">
        <f>SUM(R31:R38)</f>
        <v>39.599999999999994</v>
      </c>
      <c r="S27" s="100">
        <f>SUM(S31:S38)</f>
        <v>526.20000000000027</v>
      </c>
    </row>
    <row r="28" spans="1:19">
      <c r="A28" s="171">
        <v>19</v>
      </c>
      <c r="B28" s="172" t="s">
        <v>285</v>
      </c>
      <c r="C28" s="173">
        <v>767.4</v>
      </c>
      <c r="D28" s="116">
        <v>779.7</v>
      </c>
      <c r="E28" s="115">
        <v>789.9</v>
      </c>
      <c r="F28" s="116">
        <v>797.9</v>
      </c>
      <c r="G28" s="115">
        <v>804.7</v>
      </c>
      <c r="H28" s="117">
        <v>824.1</v>
      </c>
      <c r="I28" s="173">
        <v>12.4</v>
      </c>
      <c r="J28" s="116">
        <v>10.199999999999999</v>
      </c>
      <c r="K28" s="115">
        <v>8</v>
      </c>
      <c r="L28" s="116">
        <v>6.7</v>
      </c>
      <c r="M28" s="117">
        <v>19.399999999999999</v>
      </c>
      <c r="O28" s="100">
        <f t="shared" si="0"/>
        <v>-1.2999999999999998</v>
      </c>
      <c r="P28" s="100">
        <f t="shared" si="1"/>
        <v>12.7</v>
      </c>
    </row>
    <row r="29" spans="1:19">
      <c r="A29" s="171"/>
      <c r="B29" s="201" t="s">
        <v>286</v>
      </c>
      <c r="C29" s="173"/>
      <c r="D29" s="116"/>
      <c r="E29" s="115"/>
      <c r="F29" s="116"/>
      <c r="G29" s="115"/>
      <c r="H29" s="117"/>
      <c r="I29" s="173"/>
      <c r="J29" s="116"/>
      <c r="K29" s="115"/>
      <c r="L29" s="116"/>
      <c r="M29" s="117"/>
      <c r="O29" s="100">
        <f t="shared" si="0"/>
        <v>0</v>
      </c>
      <c r="P29" s="100">
        <f t="shared" si="1"/>
        <v>0</v>
      </c>
    </row>
    <row r="30" spans="1:19" ht="16.5">
      <c r="A30" s="171">
        <v>20</v>
      </c>
      <c r="B30" s="172" t="s">
        <v>287</v>
      </c>
      <c r="C30" s="173" t="s">
        <v>174</v>
      </c>
      <c r="D30" s="116" t="s">
        <v>174</v>
      </c>
      <c r="E30" s="115" t="s">
        <v>174</v>
      </c>
      <c r="F30" s="116" t="s">
        <v>174</v>
      </c>
      <c r="G30" s="115" t="str">
        <f>E30</f>
        <v>...</v>
      </c>
      <c r="H30" s="117">
        <v>9.6999999999999993</v>
      </c>
      <c r="I30" s="173" t="s">
        <v>174</v>
      </c>
      <c r="J30" s="116" t="s">
        <v>174</v>
      </c>
      <c r="K30" s="115" t="s">
        <v>174</v>
      </c>
      <c r="L30" s="116" t="s">
        <v>174</v>
      </c>
      <c r="M30" s="117">
        <v>9.6999999999999993</v>
      </c>
      <c r="O30" s="100"/>
      <c r="P30" s="100"/>
    </row>
    <row r="31" spans="1:19">
      <c r="A31">
        <v>21</v>
      </c>
      <c r="B31" s="83" t="s">
        <v>288</v>
      </c>
      <c r="C31" s="175">
        <v>599.4</v>
      </c>
      <c r="D31" s="176">
        <v>615</v>
      </c>
      <c r="E31" s="177">
        <v>622.29999999999995</v>
      </c>
      <c r="F31" s="176">
        <v>619.4</v>
      </c>
      <c r="G31" s="177">
        <v>624.1</v>
      </c>
      <c r="H31" s="178">
        <v>674.8</v>
      </c>
      <c r="I31" s="175">
        <v>15.6</v>
      </c>
      <c r="J31" s="176">
        <v>7.3</v>
      </c>
      <c r="K31" s="177">
        <v>-2.9</v>
      </c>
      <c r="L31" s="176">
        <v>4.7</v>
      </c>
      <c r="M31" s="178">
        <v>50.8</v>
      </c>
      <c r="O31" s="100">
        <f t="shared" si="0"/>
        <v>7.6</v>
      </c>
      <c r="P31" s="100">
        <f t="shared" si="1"/>
        <v>46.099999999999994</v>
      </c>
      <c r="R31">
        <v>0</v>
      </c>
      <c r="S31" s="100">
        <f>P31</f>
        <v>46.099999999999994</v>
      </c>
    </row>
    <row r="32" spans="1:19">
      <c r="A32" s="171">
        <v>22</v>
      </c>
      <c r="B32" s="172" t="s">
        <v>245</v>
      </c>
      <c r="C32" s="173">
        <v>28</v>
      </c>
      <c r="D32" s="116">
        <v>27.5</v>
      </c>
      <c r="E32" s="115">
        <v>27.6</v>
      </c>
      <c r="F32" s="116">
        <v>27.9</v>
      </c>
      <c r="G32" s="115">
        <v>43.4</v>
      </c>
      <c r="H32" s="117">
        <v>1065.5</v>
      </c>
      <c r="I32" s="173">
        <v>-0.5</v>
      </c>
      <c r="J32" s="116">
        <v>0.1</v>
      </c>
      <c r="K32" s="115">
        <v>0.3</v>
      </c>
      <c r="L32" s="116">
        <v>15.5</v>
      </c>
      <c r="M32" s="117">
        <v>1022</v>
      </c>
      <c r="N32" s="100">
        <f>M32+L32-P34</f>
        <v>268.70000000000005</v>
      </c>
      <c r="O32" s="100">
        <f t="shared" si="0"/>
        <v>15.2</v>
      </c>
      <c r="P32" s="100">
        <f t="shared" si="1"/>
        <v>1006.5</v>
      </c>
      <c r="R32" s="100">
        <f>O32</f>
        <v>15.2</v>
      </c>
      <c r="S32" s="100">
        <f>P32-SUM(M34:M36)</f>
        <v>237.70000000000005</v>
      </c>
    </row>
    <row r="33" spans="1:19" ht="16.5">
      <c r="B33" s="174" t="s">
        <v>246</v>
      </c>
      <c r="C33" s="175"/>
      <c r="D33" s="176"/>
      <c r="E33" s="177"/>
      <c r="F33" s="176"/>
      <c r="G33" s="177"/>
      <c r="H33" s="178"/>
      <c r="I33" s="175"/>
      <c r="J33" s="176"/>
      <c r="K33" s="177"/>
      <c r="L33" s="176"/>
      <c r="M33" s="178"/>
      <c r="O33" s="100">
        <f t="shared" si="0"/>
        <v>0</v>
      </c>
      <c r="P33" s="100">
        <f t="shared" si="1"/>
        <v>0</v>
      </c>
    </row>
    <row r="34" spans="1:19">
      <c r="A34" s="171">
        <v>23</v>
      </c>
      <c r="B34" s="179" t="s">
        <v>247</v>
      </c>
      <c r="C34" s="175" t="s">
        <v>174</v>
      </c>
      <c r="D34" s="176" t="s">
        <v>174</v>
      </c>
      <c r="E34" s="177" t="s">
        <v>174</v>
      </c>
      <c r="F34" s="176" t="s">
        <v>174</v>
      </c>
      <c r="G34" s="177" t="str">
        <f>E34</f>
        <v>...</v>
      </c>
      <c r="H34" s="178">
        <v>7.1</v>
      </c>
      <c r="I34" s="175" t="s">
        <v>174</v>
      </c>
      <c r="J34" s="176" t="s">
        <v>174</v>
      </c>
      <c r="K34" s="177" t="s">
        <v>174</v>
      </c>
      <c r="L34" s="176" t="s">
        <v>174</v>
      </c>
      <c r="M34" s="178">
        <v>7.1</v>
      </c>
      <c r="O34" s="100"/>
      <c r="P34" s="100">
        <f>SUM(M34:M36)</f>
        <v>768.8</v>
      </c>
      <c r="Q34" s="100">
        <f>P32-P34</f>
        <v>237.70000000000005</v>
      </c>
    </row>
    <row r="35" spans="1:19">
      <c r="A35">
        <v>24</v>
      </c>
      <c r="B35" s="179" t="s">
        <v>248</v>
      </c>
      <c r="C35" s="175" t="s">
        <v>174</v>
      </c>
      <c r="D35" s="176" t="s">
        <v>174</v>
      </c>
      <c r="E35" s="177" t="s">
        <v>174</v>
      </c>
      <c r="F35" s="176" t="s">
        <v>174</v>
      </c>
      <c r="G35" s="177" t="str">
        <f>E35</f>
        <v>...</v>
      </c>
      <c r="H35" s="178">
        <v>122.1</v>
      </c>
      <c r="I35" s="175" t="s">
        <v>174</v>
      </c>
      <c r="J35" s="176" t="s">
        <v>174</v>
      </c>
      <c r="K35" s="177" t="s">
        <v>174</v>
      </c>
      <c r="L35" s="176" t="s">
        <v>174</v>
      </c>
      <c r="M35" s="178">
        <v>122.1</v>
      </c>
      <c r="O35" s="100"/>
      <c r="P35" s="100"/>
    </row>
    <row r="36" spans="1:19">
      <c r="A36">
        <v>25</v>
      </c>
      <c r="B36" s="179" t="s">
        <v>249</v>
      </c>
      <c r="C36" s="175" t="s">
        <v>174</v>
      </c>
      <c r="D36" s="176" t="s">
        <v>174</v>
      </c>
      <c r="E36" s="177" t="s">
        <v>174</v>
      </c>
      <c r="F36" s="176" t="s">
        <v>174</v>
      </c>
      <c r="G36" s="177" t="str">
        <f>E36</f>
        <v>...</v>
      </c>
      <c r="H36" s="178">
        <v>639.6</v>
      </c>
      <c r="I36" s="175" t="s">
        <v>174</v>
      </c>
      <c r="J36" s="176" t="s">
        <v>174</v>
      </c>
      <c r="K36" s="177" t="s">
        <v>174</v>
      </c>
      <c r="L36" s="176" t="s">
        <v>174</v>
      </c>
      <c r="M36" s="178">
        <v>639.6</v>
      </c>
      <c r="O36" s="100"/>
      <c r="P36" s="100"/>
    </row>
    <row r="37" spans="1:19">
      <c r="A37" s="171">
        <v>26</v>
      </c>
      <c r="B37" s="172" t="s">
        <v>289</v>
      </c>
      <c r="C37" s="173">
        <v>127.3</v>
      </c>
      <c r="D37" s="116">
        <v>129.80000000000001</v>
      </c>
      <c r="E37" s="115">
        <v>131.9</v>
      </c>
      <c r="F37" s="116">
        <v>134.5</v>
      </c>
      <c r="G37" s="115">
        <v>138.6</v>
      </c>
      <c r="H37" s="117">
        <v>142.1</v>
      </c>
      <c r="I37" s="173">
        <v>2.5</v>
      </c>
      <c r="J37" s="116">
        <v>2.1</v>
      </c>
      <c r="K37" s="115">
        <v>2.6</v>
      </c>
      <c r="L37" s="116">
        <v>4.0999999999999996</v>
      </c>
      <c r="M37" s="117">
        <v>3.5</v>
      </c>
      <c r="O37" s="100">
        <f t="shared" si="0"/>
        <v>1.4999999999999996</v>
      </c>
      <c r="P37" s="100">
        <f t="shared" si="1"/>
        <v>-0.59999999999999964</v>
      </c>
    </row>
    <row r="38" spans="1:19">
      <c r="A38">
        <v>27</v>
      </c>
      <c r="B38" s="83" t="s">
        <v>290</v>
      </c>
      <c r="C38" s="175">
        <v>496.5</v>
      </c>
      <c r="D38" s="176">
        <v>492.4</v>
      </c>
      <c r="E38" s="177">
        <v>488.9</v>
      </c>
      <c r="F38" s="176">
        <v>486</v>
      </c>
      <c r="G38" s="177">
        <v>510.4</v>
      </c>
      <c r="H38" s="178">
        <v>1825.6</v>
      </c>
      <c r="I38" s="175">
        <v>-4.0999999999999996</v>
      </c>
      <c r="J38" s="176">
        <v>-3.5</v>
      </c>
      <c r="K38" s="177">
        <v>-2.9</v>
      </c>
      <c r="L38" s="176">
        <v>24.4</v>
      </c>
      <c r="M38" s="178">
        <v>1315.2</v>
      </c>
      <c r="O38" s="100">
        <f t="shared" si="0"/>
        <v>27.299999999999997</v>
      </c>
      <c r="P38" s="100">
        <f t="shared" si="1"/>
        <v>1290.8</v>
      </c>
      <c r="R38" s="100">
        <f>L38</f>
        <v>24.4</v>
      </c>
      <c r="S38" s="100">
        <f>M38-SUM(M40:M41)+R38</f>
        <v>242.40000000000023</v>
      </c>
    </row>
    <row r="39" spans="1:19">
      <c r="A39" s="171"/>
      <c r="B39" s="203" t="s">
        <v>291</v>
      </c>
      <c r="C39" s="173"/>
      <c r="D39" s="116"/>
      <c r="E39" s="115"/>
      <c r="F39" s="116"/>
      <c r="G39" s="115"/>
      <c r="H39" s="117"/>
      <c r="I39" s="173"/>
      <c r="J39" s="116"/>
      <c r="K39" s="115"/>
      <c r="L39" s="116"/>
      <c r="M39" s="117"/>
    </row>
    <row r="40" spans="1:19" ht="16.5">
      <c r="A40" s="171">
        <v>28</v>
      </c>
      <c r="B40" s="204" t="s">
        <v>292</v>
      </c>
      <c r="C40" s="173" t="s">
        <v>174</v>
      </c>
      <c r="D40" s="116" t="s">
        <v>174</v>
      </c>
      <c r="E40" s="115" t="s">
        <v>174</v>
      </c>
      <c r="F40" s="116" t="s">
        <v>174</v>
      </c>
      <c r="G40" s="115" t="s">
        <v>174</v>
      </c>
      <c r="H40" s="117">
        <v>1078.0999999999999</v>
      </c>
      <c r="I40" s="173" t="s">
        <v>174</v>
      </c>
      <c r="J40" s="116" t="s">
        <v>174</v>
      </c>
      <c r="K40" s="115" t="s">
        <v>174</v>
      </c>
      <c r="L40" s="116" t="s">
        <v>174</v>
      </c>
      <c r="M40" s="117">
        <f>H40</f>
        <v>1078.0999999999999</v>
      </c>
    </row>
    <row r="41" spans="1:19" ht="16.5">
      <c r="A41" s="171">
        <v>29</v>
      </c>
      <c r="B41" s="202" t="s">
        <v>293</v>
      </c>
      <c r="C41" s="173" t="s">
        <v>174</v>
      </c>
      <c r="D41" s="116" t="s">
        <v>174</v>
      </c>
      <c r="E41" s="115" t="s">
        <v>174</v>
      </c>
      <c r="F41" s="116" t="s">
        <v>174</v>
      </c>
      <c r="G41" s="115" t="str">
        <f>F40</f>
        <v>...</v>
      </c>
      <c r="H41" s="117">
        <v>19.100000000000001</v>
      </c>
      <c r="I41" s="173" t="s">
        <v>174</v>
      </c>
      <c r="J41" s="116" t="s">
        <v>174</v>
      </c>
      <c r="K41" s="115" t="s">
        <v>174</v>
      </c>
      <c r="L41" s="116" t="s">
        <v>174</v>
      </c>
      <c r="M41" s="117">
        <v>19.100000000000001</v>
      </c>
    </row>
    <row r="42" spans="1:19">
      <c r="A42">
        <v>30</v>
      </c>
      <c r="B42" s="83" t="s">
        <v>294</v>
      </c>
      <c r="C42" s="175">
        <v>47.7</v>
      </c>
      <c r="D42" s="176">
        <v>47.5</v>
      </c>
      <c r="E42" s="177">
        <v>47.1</v>
      </c>
      <c r="F42" s="176">
        <v>46.5</v>
      </c>
      <c r="G42" s="177">
        <v>45.9</v>
      </c>
      <c r="H42" s="178">
        <v>45.8</v>
      </c>
      <c r="I42" s="175">
        <v>-0.2</v>
      </c>
      <c r="J42" s="176">
        <v>-0.4</v>
      </c>
      <c r="K42" s="177">
        <v>-0.6</v>
      </c>
      <c r="L42" s="176">
        <v>-0.6</v>
      </c>
      <c r="M42" s="178">
        <v>-0.1</v>
      </c>
    </row>
    <row r="43" spans="1:19">
      <c r="A43" s="188">
        <v>31</v>
      </c>
      <c r="B43" s="199" t="s">
        <v>295</v>
      </c>
      <c r="C43" s="200">
        <v>1408.7</v>
      </c>
      <c r="D43" s="119">
        <v>1414.7</v>
      </c>
      <c r="E43" s="118">
        <v>1419</v>
      </c>
      <c r="F43" s="119">
        <v>1432.9</v>
      </c>
      <c r="G43" s="118">
        <v>1452</v>
      </c>
      <c r="H43" s="120">
        <v>1380.7</v>
      </c>
      <c r="I43" s="200">
        <v>6.1</v>
      </c>
      <c r="J43" s="119">
        <v>4.2</v>
      </c>
      <c r="K43" s="118">
        <v>13.9</v>
      </c>
      <c r="L43" s="119">
        <v>19.100000000000001</v>
      </c>
      <c r="M43" s="120">
        <v>-71.3</v>
      </c>
      <c r="N43" s="100">
        <f>M43-L43</f>
        <v>-90.4</v>
      </c>
    </row>
    <row r="44" spans="1:19">
      <c r="A44" s="188"/>
      <c r="B44" s="199"/>
      <c r="C44" s="205">
        <f>C43/C10</f>
        <v>0.15264338422529716</v>
      </c>
      <c r="D44" s="205">
        <f t="shared" ref="D44:H44" si="2">D43/D10</f>
        <v>0.15252994641451662</v>
      </c>
      <c r="E44" s="205">
        <f t="shared" si="2"/>
        <v>0.1523954764640813</v>
      </c>
      <c r="F44" s="205">
        <f t="shared" si="2"/>
        <v>0.15207216768373574</v>
      </c>
      <c r="G44" s="205">
        <f t="shared" si="2"/>
        <v>0.15236895954667087</v>
      </c>
      <c r="H44" s="205">
        <f t="shared" si="2"/>
        <v>0.15601306229448922</v>
      </c>
      <c r="I44" s="200"/>
      <c r="J44" s="119"/>
      <c r="K44" s="118"/>
      <c r="L44" s="119"/>
      <c r="M44" s="120"/>
    </row>
    <row r="45" spans="1:19">
      <c r="A45" s="66">
        <v>32</v>
      </c>
      <c r="B45" s="194" t="s">
        <v>296</v>
      </c>
      <c r="C45" s="195">
        <v>2170.6999999999998</v>
      </c>
      <c r="D45" s="196">
        <v>2222.5</v>
      </c>
      <c r="E45" s="197">
        <v>2197.1</v>
      </c>
      <c r="F45" s="196">
        <v>2221.1999999999998</v>
      </c>
      <c r="G45" s="197">
        <v>2256.8000000000002</v>
      </c>
      <c r="H45" s="198">
        <v>2108.6</v>
      </c>
      <c r="I45" s="195">
        <v>51.8</v>
      </c>
      <c r="J45" s="196">
        <v>-25.3</v>
      </c>
      <c r="K45" s="197">
        <v>24.1</v>
      </c>
      <c r="L45" s="196">
        <v>35.6</v>
      </c>
      <c r="M45" s="198">
        <v>-148.1</v>
      </c>
      <c r="N45" s="100">
        <f>M45-L45</f>
        <v>-183.7</v>
      </c>
      <c r="O45" s="60" t="s">
        <v>480</v>
      </c>
    </row>
    <row r="46" spans="1:19">
      <c r="A46" s="188">
        <v>33</v>
      </c>
      <c r="B46" s="199" t="s">
        <v>297</v>
      </c>
      <c r="C46" s="200">
        <v>16196</v>
      </c>
      <c r="D46" s="119">
        <v>16258.4</v>
      </c>
      <c r="E46" s="118">
        <v>16400.5</v>
      </c>
      <c r="F46" s="119">
        <v>16539.599999999999</v>
      </c>
      <c r="G46" s="118">
        <v>16697.400000000001</v>
      </c>
      <c r="H46" s="120">
        <v>18231.8</v>
      </c>
      <c r="I46" s="200">
        <v>62.4</v>
      </c>
      <c r="J46" s="119">
        <v>142.1</v>
      </c>
      <c r="K46" s="118">
        <v>139.1</v>
      </c>
      <c r="L46" s="119">
        <v>157.80000000000001</v>
      </c>
      <c r="M46" s="120">
        <v>1534.4</v>
      </c>
      <c r="N46" s="100">
        <f>N45+19</f>
        <v>-164.7</v>
      </c>
    </row>
    <row r="47" spans="1:19">
      <c r="A47" s="188" t="s">
        <v>298</v>
      </c>
      <c r="B47" s="199"/>
      <c r="C47" s="200"/>
      <c r="D47" s="119"/>
      <c r="E47" s="118"/>
      <c r="F47" s="119"/>
      <c r="G47" s="118"/>
      <c r="H47" s="120"/>
      <c r="I47" s="200"/>
      <c r="J47" s="119"/>
      <c r="K47" s="118"/>
      <c r="L47" s="119"/>
      <c r="M47" s="120"/>
    </row>
    <row r="48" spans="1:19">
      <c r="A48" s="66">
        <v>34</v>
      </c>
      <c r="B48" s="194" t="s">
        <v>299</v>
      </c>
      <c r="C48" s="195">
        <v>14841.5</v>
      </c>
      <c r="D48" s="196">
        <v>15072.3</v>
      </c>
      <c r="E48" s="197">
        <v>15219.9</v>
      </c>
      <c r="F48" s="196">
        <v>15335.8</v>
      </c>
      <c r="G48" s="197">
        <v>15103.3</v>
      </c>
      <c r="H48" s="198">
        <v>13537.6</v>
      </c>
      <c r="I48" s="195">
        <v>230.8</v>
      </c>
      <c r="J48" s="196">
        <v>147.6</v>
      </c>
      <c r="K48" s="197">
        <v>115.9</v>
      </c>
      <c r="L48" s="196">
        <v>-232.5</v>
      </c>
      <c r="M48" s="198">
        <v>-1565.7</v>
      </c>
    </row>
    <row r="49" spans="1:13">
      <c r="A49" s="171">
        <v>35</v>
      </c>
      <c r="B49" s="172" t="s">
        <v>300</v>
      </c>
      <c r="C49" s="173">
        <v>14276.6</v>
      </c>
      <c r="D49" s="116">
        <v>14497.3</v>
      </c>
      <c r="E49" s="115">
        <v>14645.3</v>
      </c>
      <c r="F49" s="116">
        <v>14759.2</v>
      </c>
      <c r="G49" s="115">
        <v>14545.5</v>
      </c>
      <c r="H49" s="117">
        <v>13017.8</v>
      </c>
      <c r="I49" s="173">
        <v>220.7</v>
      </c>
      <c r="J49" s="116">
        <v>148</v>
      </c>
      <c r="K49" s="115">
        <v>113.9</v>
      </c>
      <c r="L49" s="116">
        <v>-213.7</v>
      </c>
      <c r="M49" s="117">
        <v>-1527.6</v>
      </c>
    </row>
    <row r="50" spans="1:13">
      <c r="A50">
        <v>36</v>
      </c>
      <c r="B50" s="83" t="s">
        <v>301</v>
      </c>
      <c r="C50" s="175">
        <v>355.1</v>
      </c>
      <c r="D50" s="176">
        <v>364.7</v>
      </c>
      <c r="E50" s="177">
        <v>364.9</v>
      </c>
      <c r="F50" s="176">
        <v>364.6</v>
      </c>
      <c r="G50" s="177">
        <v>352.9</v>
      </c>
      <c r="H50" s="178">
        <v>314.39999999999998</v>
      </c>
      <c r="I50" s="175">
        <v>9.6</v>
      </c>
      <c r="J50" s="176">
        <v>0.2</v>
      </c>
      <c r="K50" s="177">
        <v>-0.3</v>
      </c>
      <c r="L50" s="176">
        <v>-11.7</v>
      </c>
      <c r="M50" s="178">
        <v>-38.6</v>
      </c>
    </row>
    <row r="51" spans="1:13">
      <c r="A51" s="171"/>
      <c r="B51" s="206" t="s">
        <v>291</v>
      </c>
      <c r="C51" s="173"/>
      <c r="D51" s="116"/>
      <c r="E51" s="115"/>
      <c r="F51" s="116"/>
      <c r="G51" s="115"/>
      <c r="H51" s="117"/>
      <c r="I51" s="173"/>
      <c r="J51" s="116"/>
      <c r="K51" s="115"/>
      <c r="L51" s="116"/>
      <c r="M51" s="117"/>
    </row>
    <row r="52" spans="1:13" ht="16.5">
      <c r="A52" s="171">
        <v>37</v>
      </c>
      <c r="B52" s="207" t="s">
        <v>302</v>
      </c>
      <c r="C52" s="173" t="s">
        <v>174</v>
      </c>
      <c r="D52" s="116" t="s">
        <v>174</v>
      </c>
      <c r="E52" s="115" t="s">
        <v>174</v>
      </c>
      <c r="F52" s="116" t="s">
        <v>174</v>
      </c>
      <c r="G52" s="115">
        <v>-7.1</v>
      </c>
      <c r="H52" s="117">
        <v>-36</v>
      </c>
      <c r="I52" s="173" t="s">
        <v>174</v>
      </c>
      <c r="J52" s="116" t="s">
        <v>174</v>
      </c>
      <c r="K52" s="115" t="s">
        <v>174</v>
      </c>
      <c r="L52" s="116">
        <f>G52</f>
        <v>-7.1</v>
      </c>
      <c r="M52" s="117">
        <f>H52-G52</f>
        <v>-28.9</v>
      </c>
    </row>
    <row r="53" spans="1:13">
      <c r="A53">
        <v>38</v>
      </c>
      <c r="B53" s="83" t="s">
        <v>303</v>
      </c>
      <c r="C53" s="175">
        <v>209.8</v>
      </c>
      <c r="D53" s="176">
        <v>210.3</v>
      </c>
      <c r="E53" s="177">
        <v>209.7</v>
      </c>
      <c r="F53" s="176">
        <v>212</v>
      </c>
      <c r="G53" s="177">
        <v>204.9</v>
      </c>
      <c r="H53" s="178">
        <v>205.4</v>
      </c>
      <c r="I53" s="175">
        <v>0.5</v>
      </c>
      <c r="J53" s="176">
        <v>-0.6</v>
      </c>
      <c r="K53" s="177">
        <v>2.2999999999999998</v>
      </c>
      <c r="L53" s="176">
        <v>-7.1</v>
      </c>
      <c r="M53" s="178">
        <v>0.5</v>
      </c>
    </row>
    <row r="54" spans="1:13">
      <c r="A54" s="171">
        <v>39</v>
      </c>
      <c r="B54" s="172" t="s">
        <v>304</v>
      </c>
      <c r="C54" s="173">
        <v>114.2</v>
      </c>
      <c r="D54" s="116">
        <v>114.9</v>
      </c>
      <c r="E54" s="115">
        <v>115.5</v>
      </c>
      <c r="F54" s="116">
        <v>116</v>
      </c>
      <c r="G54" s="115">
        <v>112.2</v>
      </c>
      <c r="H54" s="117">
        <v>112.5</v>
      </c>
      <c r="I54" s="173">
        <v>0.7</v>
      </c>
      <c r="J54" s="116">
        <v>0.6</v>
      </c>
      <c r="K54" s="115">
        <v>0.5</v>
      </c>
      <c r="L54" s="116">
        <v>-3.8</v>
      </c>
      <c r="M54" s="117">
        <v>0.3</v>
      </c>
    </row>
    <row r="55" spans="1:13">
      <c r="A55">
        <v>40</v>
      </c>
      <c r="B55" s="83" t="s">
        <v>305</v>
      </c>
      <c r="C55" s="175">
        <v>95.6</v>
      </c>
      <c r="D55" s="176">
        <v>95.4</v>
      </c>
      <c r="E55" s="177">
        <v>94.2</v>
      </c>
      <c r="F55" s="176">
        <v>96</v>
      </c>
      <c r="G55" s="177">
        <v>92.7</v>
      </c>
      <c r="H55" s="178">
        <v>92.9</v>
      </c>
      <c r="I55" s="175">
        <v>-0.3</v>
      </c>
      <c r="J55" s="176">
        <v>-1.2</v>
      </c>
      <c r="K55" s="177">
        <v>1.8</v>
      </c>
      <c r="L55" s="176">
        <v>-3.4</v>
      </c>
      <c r="M55" s="178">
        <v>0.3</v>
      </c>
    </row>
    <row r="56" spans="1:13" ht="15" thickBot="1">
      <c r="A56" s="208">
        <v>41</v>
      </c>
      <c r="B56" s="209" t="s">
        <v>306</v>
      </c>
      <c r="C56" s="210">
        <v>1354.5</v>
      </c>
      <c r="D56" s="211">
        <v>1186.0999999999999</v>
      </c>
      <c r="E56" s="212">
        <v>1180.5999999999999</v>
      </c>
      <c r="F56" s="211">
        <v>1203.8</v>
      </c>
      <c r="G56" s="212">
        <v>1594.1</v>
      </c>
      <c r="H56" s="213">
        <v>4694.2</v>
      </c>
      <c r="I56" s="210">
        <v>-168.4</v>
      </c>
      <c r="J56" s="211">
        <v>-5.5</v>
      </c>
      <c r="K56" s="212">
        <v>23.2</v>
      </c>
      <c r="L56" s="211">
        <v>390.4</v>
      </c>
      <c r="M56" s="213">
        <v>3100.1</v>
      </c>
    </row>
    <row r="58" spans="1:13">
      <c r="A58" t="s">
        <v>307</v>
      </c>
      <c r="B58" s="60" t="s">
        <v>308</v>
      </c>
    </row>
    <row r="59" spans="1:13">
      <c r="A59" t="s">
        <v>309</v>
      </c>
      <c r="B59" s="60" t="s">
        <v>310</v>
      </c>
    </row>
    <row r="60" spans="1:13">
      <c r="A60" t="s">
        <v>218</v>
      </c>
      <c r="B60" s="60" t="s">
        <v>219</v>
      </c>
    </row>
    <row r="62" spans="1:13">
      <c r="A62" s="127" t="s">
        <v>311</v>
      </c>
    </row>
    <row r="63" spans="1:13">
      <c r="A63" s="127" t="s">
        <v>312</v>
      </c>
    </row>
    <row r="64" spans="1:13">
      <c r="A64" s="130" t="s">
        <v>313</v>
      </c>
    </row>
    <row r="65" spans="1:1">
      <c r="A65" s="130" t="s">
        <v>314</v>
      </c>
    </row>
    <row r="66" spans="1:1">
      <c r="A66" s="125" t="s">
        <v>315</v>
      </c>
    </row>
    <row r="67" spans="1:1">
      <c r="A67" s="129" t="s">
        <v>316</v>
      </c>
    </row>
    <row r="68" spans="1:1">
      <c r="A68" s="129" t="s">
        <v>317</v>
      </c>
    </row>
    <row r="69" spans="1:1">
      <c r="A69" s="129" t="s">
        <v>318</v>
      </c>
    </row>
    <row r="70" spans="1:1">
      <c r="A70" s="128" t="s">
        <v>319</v>
      </c>
    </row>
    <row r="71" spans="1:1">
      <c r="A71" s="125" t="s">
        <v>320</v>
      </c>
    </row>
    <row r="72" spans="1:1">
      <c r="A72" s="128" t="s">
        <v>321</v>
      </c>
    </row>
    <row r="73" spans="1:1">
      <c r="A73" s="125" t="s">
        <v>322</v>
      </c>
    </row>
    <row r="74" spans="1:1">
      <c r="A74" s="128" t="s">
        <v>323</v>
      </c>
    </row>
    <row r="76" spans="1:1">
      <c r="A76" t="s">
        <v>324</v>
      </c>
    </row>
    <row r="77" spans="1:1">
      <c r="A77" t="s">
        <v>325</v>
      </c>
    </row>
    <row r="78" spans="1:1">
      <c r="A78" s="70" t="s">
        <v>326</v>
      </c>
    </row>
    <row r="80" spans="1:1">
      <c r="A80" t="s">
        <v>241</v>
      </c>
    </row>
    <row r="82" spans="1:1">
      <c r="A82" t="s">
        <v>242</v>
      </c>
    </row>
    <row r="84" spans="1:1">
      <c r="A84" s="129"/>
    </row>
    <row r="85" spans="1:1">
      <c r="A85" s="129"/>
    </row>
    <row r="86" spans="1:1">
      <c r="A86" s="129"/>
    </row>
  </sheetData>
  <mergeCells count="10">
    <mergeCell ref="C6:F6"/>
    <mergeCell ref="G6:H6"/>
    <mergeCell ref="I6:K6"/>
    <mergeCell ref="L6:M6"/>
    <mergeCell ref="K1:M1"/>
    <mergeCell ref="A2:M2"/>
    <mergeCell ref="A3:M3"/>
    <mergeCell ref="A4:L4"/>
    <mergeCell ref="C5:H5"/>
    <mergeCell ref="I5:M5"/>
  </mergeCells>
  <hyperlinks>
    <hyperlink ref="A70" r:id="rId1" display="exhausted all available regular and extended unemployment benefits.  For more information, see &quot;How will the expansion of unemployment benefits in response to " xr:uid="{7A9294B7-B583-45B9-80AD-AAA5B5FDF6F1}"/>
    <hyperlink ref="A72" r:id="rId2" display="&quot;How are the economic impact payments for individuals authorized by the CARES Act of 2020 recorded in the NIPAs?&quot;." xr:uid="{21399876-9FE8-43E8-BCE7-E01ED8D3CB0D}"/>
    <hyperlink ref="A74" r:id="rId3" display="student loans. For more information, see &quot;How does the 2020 CARES Act affect BEA's estimate of personal interest payments?&quot;." xr:uid="{BCDED753-FC91-489B-831B-D931514C51E7}"/>
    <hyperlink ref="A78" r:id="rId4" display="product report, for example. To be consistent, the figures in this table also are annualized. For more information, see the FAQ &quot;Why does BEA publish estimates at annual" xr:uid="{26493577-3089-4CAA-86B2-0725FC2009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F6F0-2CB9-41D0-BADF-9C6797FD7760}">
  <dimension ref="A1:X87"/>
  <sheetViews>
    <sheetView zoomScaleNormal="100" workbookViewId="0">
      <selection activeCell="D24" sqref="D24"/>
    </sheetView>
  </sheetViews>
  <sheetFormatPr defaultColWidth="8.81640625" defaultRowHeight="14.5"/>
  <cols>
    <col min="1" max="1" width="15.453125" customWidth="1"/>
    <col min="2" max="3" width="9" bestFit="1" customWidth="1"/>
    <col min="4" max="10" width="11.453125" bestFit="1" customWidth="1"/>
  </cols>
  <sheetData>
    <row r="1" spans="1:13">
      <c r="B1" t="s">
        <v>80</v>
      </c>
      <c r="C1" s="20" t="s">
        <v>24</v>
      </c>
      <c r="D1" s="20" t="s">
        <v>25</v>
      </c>
      <c r="E1" s="20" t="s">
        <v>26</v>
      </c>
      <c r="F1" s="20" t="s">
        <v>27</v>
      </c>
      <c r="G1" s="20" t="s">
        <v>28</v>
      </c>
      <c r="H1" s="20" t="s">
        <v>29</v>
      </c>
      <c r="I1" s="20" t="s">
        <v>30</v>
      </c>
      <c r="J1" s="20" t="s">
        <v>31</v>
      </c>
      <c r="K1" s="42"/>
      <c r="L1" s="47"/>
      <c r="M1" s="47"/>
    </row>
    <row r="2" spans="1:13">
      <c r="A2" s="1" t="s">
        <v>81</v>
      </c>
      <c r="B2" s="1"/>
      <c r="C2" s="44">
        <v>3.8330000000000002</v>
      </c>
      <c r="D2" s="232">
        <v>13.84</v>
      </c>
      <c r="E2" s="232">
        <v>14.143000000000001</v>
      </c>
      <c r="F2" s="232">
        <v>10.51</v>
      </c>
      <c r="G2" s="232">
        <v>9.3800000000000008</v>
      </c>
      <c r="H2" s="232">
        <v>8.5980000000000008</v>
      </c>
      <c r="I2" s="232">
        <v>8.0310000000000006</v>
      </c>
      <c r="J2" s="232">
        <v>7.617</v>
      </c>
      <c r="K2" s="45"/>
    </row>
    <row r="3" spans="1:13">
      <c r="A3" s="1" t="s">
        <v>82</v>
      </c>
      <c r="B3" s="1"/>
      <c r="C3" s="44">
        <v>4.4000000000000004</v>
      </c>
      <c r="D3" s="46">
        <f>C3</f>
        <v>4.4000000000000004</v>
      </c>
      <c r="E3" s="46">
        <f t="shared" ref="E3:J3" si="0">D3</f>
        <v>4.4000000000000004</v>
      </c>
      <c r="F3" s="46">
        <f t="shared" si="0"/>
        <v>4.4000000000000004</v>
      </c>
      <c r="G3" s="46">
        <f t="shared" si="0"/>
        <v>4.4000000000000004</v>
      </c>
      <c r="H3" s="46">
        <f t="shared" si="0"/>
        <v>4.4000000000000004</v>
      </c>
      <c r="I3" s="46">
        <f t="shared" si="0"/>
        <v>4.4000000000000004</v>
      </c>
      <c r="J3" s="46">
        <f t="shared" si="0"/>
        <v>4.4000000000000004</v>
      </c>
      <c r="K3" s="45"/>
    </row>
    <row r="4" spans="1:13">
      <c r="A4" s="1" t="s">
        <v>83</v>
      </c>
      <c r="B4" s="1"/>
      <c r="C4" s="44">
        <f>C2-C3</f>
        <v>-0.56700000000000017</v>
      </c>
      <c r="D4" s="44">
        <f t="shared" ref="D4:J4" si="1">D2-D3</f>
        <v>9.44</v>
      </c>
      <c r="E4" s="44">
        <f t="shared" si="1"/>
        <v>9.7430000000000003</v>
      </c>
      <c r="F4" s="44">
        <f t="shared" si="1"/>
        <v>6.1099999999999994</v>
      </c>
      <c r="G4" s="44">
        <f t="shared" si="1"/>
        <v>4.9800000000000004</v>
      </c>
      <c r="H4" s="44">
        <f t="shared" si="1"/>
        <v>4.1980000000000004</v>
      </c>
      <c r="I4" s="44">
        <f t="shared" si="1"/>
        <v>3.6310000000000002</v>
      </c>
      <c r="J4" s="44">
        <f t="shared" si="1"/>
        <v>3.2169999999999996</v>
      </c>
      <c r="K4" s="45"/>
    </row>
    <row r="5" spans="1:13">
      <c r="A5" s="1" t="s">
        <v>84</v>
      </c>
      <c r="B5" s="1"/>
      <c r="C5" s="44">
        <f>C4</f>
        <v>-0.56700000000000017</v>
      </c>
      <c r="D5" s="44">
        <f>(C4*3+D4)/4</f>
        <v>1.9347499999999997</v>
      </c>
      <c r="E5" s="44">
        <f>(E4+D4+2*C4)/4</f>
        <v>4.5122499999999999</v>
      </c>
      <c r="F5" s="44">
        <f>AVERAGE(C4:F4)</f>
        <v>6.1814999999999998</v>
      </c>
      <c r="G5" s="44">
        <f>AVERAGE(D4:G4)</f>
        <v>7.5682499999999999</v>
      </c>
      <c r="H5" s="44">
        <f>AVERAGE(E4:H4)</f>
        <v>6.2577499999999997</v>
      </c>
      <c r="I5" s="44">
        <f>AVERAGE(F4:I4)</f>
        <v>4.7297500000000001</v>
      </c>
      <c r="J5" s="44">
        <f>AVERAGE(G4:J4)</f>
        <v>4.0065</v>
      </c>
      <c r="K5" s="45"/>
    </row>
    <row r="6" spans="1:13">
      <c r="C6">
        <v>0</v>
      </c>
      <c r="D6" s="52">
        <f t="shared" ref="D6:J6" si="2">D4-C4</f>
        <v>10.007</v>
      </c>
      <c r="E6" s="52">
        <f t="shared" si="2"/>
        <v>0.30300000000000082</v>
      </c>
      <c r="F6" s="52">
        <f t="shared" si="2"/>
        <v>-3.6330000000000009</v>
      </c>
      <c r="G6" s="52">
        <f t="shared" si="2"/>
        <v>-1.129999999999999</v>
      </c>
      <c r="H6" s="52">
        <f t="shared" si="2"/>
        <v>-0.78200000000000003</v>
      </c>
      <c r="I6" s="52">
        <f t="shared" si="2"/>
        <v>-0.56700000000000017</v>
      </c>
      <c r="J6" s="52">
        <f t="shared" si="2"/>
        <v>-0.41400000000000059</v>
      </c>
    </row>
    <row r="7" spans="1:13">
      <c r="A7" s="34" t="s">
        <v>85</v>
      </c>
      <c r="B7" t="s">
        <v>86</v>
      </c>
    </row>
    <row r="8" spans="1:13">
      <c r="B8" t="s">
        <v>87</v>
      </c>
      <c r="C8" s="14"/>
      <c r="G8">
        <f>0.6*25</f>
        <v>15</v>
      </c>
    </row>
    <row r="9" spans="1:13">
      <c r="B9" t="s">
        <v>88</v>
      </c>
      <c r="C9" s="14"/>
    </row>
    <row r="10" spans="1:13">
      <c r="B10" t="s">
        <v>89</v>
      </c>
      <c r="C10" s="14"/>
    </row>
    <row r="11" spans="1:13">
      <c r="A11" t="s">
        <v>90</v>
      </c>
      <c r="B11" s="55">
        <v>25</v>
      </c>
      <c r="C11" s="14" t="s">
        <v>91</v>
      </c>
      <c r="G11" t="s">
        <v>92</v>
      </c>
      <c r="H11" t="s">
        <v>93</v>
      </c>
      <c r="I11" t="s">
        <v>94</v>
      </c>
    </row>
    <row r="12" spans="1:13">
      <c r="A12" t="s">
        <v>95</v>
      </c>
      <c r="B12">
        <f>G12/7</f>
        <v>2.1428571428571428</v>
      </c>
      <c r="C12" t="s">
        <v>96</v>
      </c>
      <c r="G12">
        <v>15</v>
      </c>
      <c r="H12">
        <v>15</v>
      </c>
      <c r="I12">
        <v>5</v>
      </c>
    </row>
    <row r="13" spans="1:13" ht="11.5" customHeight="1">
      <c r="A13" s="55" t="s">
        <v>97</v>
      </c>
      <c r="B13" s="55">
        <f>B11-B12</f>
        <v>22.857142857142858</v>
      </c>
      <c r="C13" s="14" t="s">
        <v>91</v>
      </c>
    </row>
    <row r="14" spans="1:13">
      <c r="A14" t="s">
        <v>98</v>
      </c>
      <c r="B14" s="56">
        <f>0.6*B13</f>
        <v>13.714285714285714</v>
      </c>
      <c r="C14" s="14" t="s">
        <v>91</v>
      </c>
    </row>
    <row r="15" spans="1:13">
      <c r="A15" t="s">
        <v>99</v>
      </c>
      <c r="B15" s="56">
        <f>B13-B14</f>
        <v>9.1428571428571441</v>
      </c>
      <c r="C15" s="14" t="s">
        <v>91</v>
      </c>
      <c r="E15">
        <f>25*52</f>
        <v>1300</v>
      </c>
      <c r="F15">
        <f>800/4</f>
        <v>200</v>
      </c>
    </row>
    <row r="16" spans="1:13">
      <c r="A16" t="s">
        <v>100</v>
      </c>
      <c r="B16">
        <f>35/52</f>
        <v>0.67307692307692313</v>
      </c>
      <c r="C16" s="14">
        <v>10</v>
      </c>
      <c r="D16">
        <v>5</v>
      </c>
    </row>
    <row r="17" spans="1:15" ht="15.5">
      <c r="A17" s="43" t="s">
        <v>101</v>
      </c>
      <c r="B17" s="57">
        <f>B15-B16</f>
        <v>8.4697802197802208</v>
      </c>
      <c r="C17" s="57"/>
      <c r="D17" s="43"/>
      <c r="L17">
        <v>12</v>
      </c>
      <c r="M17">
        <v>39</v>
      </c>
      <c r="N17" t="s">
        <v>102</v>
      </c>
    </row>
    <row r="18" spans="1:15">
      <c r="C18" s="20" t="s">
        <v>24</v>
      </c>
      <c r="D18" s="20" t="s">
        <v>25</v>
      </c>
      <c r="E18" s="20" t="s">
        <v>26</v>
      </c>
      <c r="F18" s="20" t="s">
        <v>27</v>
      </c>
      <c r="G18" s="20" t="s">
        <v>28</v>
      </c>
      <c r="H18" s="20" t="s">
        <v>29</v>
      </c>
      <c r="I18" s="20" t="s">
        <v>30</v>
      </c>
      <c r="J18" s="20" t="s">
        <v>31</v>
      </c>
      <c r="L18" s="47" t="s">
        <v>71</v>
      </c>
      <c r="M18" s="47" t="s">
        <v>72</v>
      </c>
    </row>
    <row r="19" spans="1:15">
      <c r="A19" t="s">
        <v>85</v>
      </c>
      <c r="B19" t="s">
        <v>103</v>
      </c>
      <c r="C19">
        <v>1</v>
      </c>
      <c r="D19" s="71">
        <v>13</v>
      </c>
      <c r="E19" s="71">
        <v>12</v>
      </c>
      <c r="F19" s="71">
        <v>0</v>
      </c>
      <c r="G19" s="71"/>
      <c r="H19" s="71"/>
      <c r="I19" s="71"/>
      <c r="J19" s="71"/>
    </row>
    <row r="20" spans="1:15">
      <c r="B20" t="s">
        <v>104</v>
      </c>
      <c r="D20" s="71"/>
      <c r="E20" s="58">
        <v>1</v>
      </c>
      <c r="F20" s="71">
        <v>12</v>
      </c>
      <c r="G20" s="71" t="s">
        <v>105</v>
      </c>
      <c r="H20" s="71"/>
      <c r="I20" s="71"/>
      <c r="J20" t="s">
        <v>106</v>
      </c>
    </row>
    <row r="21" spans="1:15">
      <c r="B21" t="s">
        <v>107</v>
      </c>
      <c r="C21" s="53">
        <f>B17*4</f>
        <v>33.879120879120883</v>
      </c>
      <c r="D21" s="53">
        <f>269-D22</f>
        <v>252</v>
      </c>
      <c r="E21" s="53">
        <f>D21*E4/D4*E19/D19</f>
        <v>240.08174706649285</v>
      </c>
      <c r="F21" s="53">
        <f>E21/4</f>
        <v>60.020436766623213</v>
      </c>
      <c r="G21" s="53">
        <f>F21/3</f>
        <v>20.006812255541071</v>
      </c>
      <c r="H21" s="53">
        <f>G21/3</f>
        <v>6.66893741851369</v>
      </c>
      <c r="I21" s="53">
        <f>H21/3</f>
        <v>2.2229791395045635</v>
      </c>
      <c r="J21" s="53">
        <f>I21/3</f>
        <v>0.7409930465015212</v>
      </c>
    </row>
    <row r="22" spans="1:15">
      <c r="B22" t="s">
        <v>108</v>
      </c>
      <c r="C22" s="59"/>
      <c r="D22" s="53">
        <v>17</v>
      </c>
      <c r="E22" s="53">
        <f>2*E25</f>
        <v>90</v>
      </c>
      <c r="F22" s="53">
        <f>M17*8-100</f>
        <v>212</v>
      </c>
      <c r="G22">
        <v>100</v>
      </c>
    </row>
    <row r="23" spans="1:15">
      <c r="A23" t="s">
        <v>109</v>
      </c>
      <c r="C23" s="53"/>
      <c r="D23" s="53"/>
      <c r="E23" s="53">
        <f>(E22+D22)/4</f>
        <v>26.75</v>
      </c>
      <c r="F23" s="53">
        <f>(F22+G22)/4</f>
        <v>78</v>
      </c>
      <c r="G23" s="52"/>
    </row>
    <row r="24" spans="1:15">
      <c r="A24" t="s">
        <v>110</v>
      </c>
      <c r="B24" t="s">
        <v>54</v>
      </c>
      <c r="C24" s="53">
        <f>C21+0.5*C22</f>
        <v>33.879120879120883</v>
      </c>
      <c r="D24" s="53">
        <f t="shared" ref="D24:J24" si="3">D21+0.5*D22</f>
        <v>260.5</v>
      </c>
      <c r="E24" s="53">
        <f t="shared" si="3"/>
        <v>285.08174706649288</v>
      </c>
      <c r="F24" s="53">
        <f t="shared" si="3"/>
        <v>166.02043676662322</v>
      </c>
      <c r="G24" s="53">
        <f t="shared" si="3"/>
        <v>70.006812255541064</v>
      </c>
      <c r="H24" s="53">
        <f t="shared" si="3"/>
        <v>6.66893741851369</v>
      </c>
      <c r="I24" s="53">
        <f t="shared" si="3"/>
        <v>2.2229791395045635</v>
      </c>
      <c r="J24" s="53">
        <f t="shared" si="3"/>
        <v>0.7409930465015212</v>
      </c>
      <c r="L24" s="53">
        <f>SUM(D24:E24)/4</f>
        <v>136.39543676662322</v>
      </c>
      <c r="M24" s="53">
        <f>AVERAGE(F24:I24)</f>
        <v>61.229791395045631</v>
      </c>
      <c r="O24">
        <f>268-16</f>
        <v>252</v>
      </c>
    </row>
    <row r="25" spans="1:15">
      <c r="B25" t="s">
        <v>49</v>
      </c>
      <c r="C25" s="53">
        <f>0.5*C22</f>
        <v>0</v>
      </c>
      <c r="D25" s="53">
        <f t="shared" ref="D25:J25" si="4">0.5*D22</f>
        <v>8.5</v>
      </c>
      <c r="E25" s="53">
        <v>45</v>
      </c>
      <c r="F25" s="53">
        <f t="shared" si="4"/>
        <v>106</v>
      </c>
      <c r="G25" s="53">
        <f t="shared" si="4"/>
        <v>50</v>
      </c>
      <c r="H25" s="53">
        <f t="shared" si="4"/>
        <v>0</v>
      </c>
      <c r="I25" s="53">
        <f t="shared" si="4"/>
        <v>0</v>
      </c>
      <c r="J25" s="53">
        <f t="shared" si="4"/>
        <v>0</v>
      </c>
      <c r="L25" s="53">
        <f>SUM(D25:E25)/4</f>
        <v>13.375</v>
      </c>
      <c r="M25" s="53">
        <f>AVERAGE(F25:I25)</f>
        <v>39</v>
      </c>
    </row>
    <row r="26" spans="1:15">
      <c r="B26" t="s">
        <v>63</v>
      </c>
      <c r="C26" s="53">
        <f>C25+C24</f>
        <v>33.879120879120883</v>
      </c>
      <c r="D26" s="53">
        <f t="shared" ref="D26:M26" si="5">D25+D24</f>
        <v>269</v>
      </c>
      <c r="E26" s="53">
        <f t="shared" si="5"/>
        <v>330.08174706649288</v>
      </c>
      <c r="F26" s="53">
        <f t="shared" si="5"/>
        <v>272.02043676662322</v>
      </c>
      <c r="G26" s="53">
        <f t="shared" si="5"/>
        <v>120.00681225554106</v>
      </c>
      <c r="H26" s="53">
        <f t="shared" si="5"/>
        <v>6.66893741851369</v>
      </c>
      <c r="I26" s="53">
        <f t="shared" si="5"/>
        <v>2.2229791395045635</v>
      </c>
      <c r="J26" s="53">
        <f t="shared" si="5"/>
        <v>0.7409930465015212</v>
      </c>
      <c r="L26" s="53">
        <f t="shared" si="5"/>
        <v>149.77043676662322</v>
      </c>
      <c r="M26" s="53">
        <f t="shared" si="5"/>
        <v>100.22979139504562</v>
      </c>
    </row>
    <row r="27" spans="1:15">
      <c r="A27" s="34" t="s">
        <v>111</v>
      </c>
      <c r="C27" s="53"/>
      <c r="D27" s="53" t="s">
        <v>444</v>
      </c>
      <c r="E27" s="53">
        <f>SUM(E25+D25)/4</f>
        <v>13.375</v>
      </c>
      <c r="F27" s="53"/>
      <c r="G27" s="53">
        <f>SUM(F25:I25)/4</f>
        <v>39</v>
      </c>
      <c r="H27" s="53"/>
      <c r="I27" s="53"/>
      <c r="J27" s="53"/>
      <c r="L27" s="53"/>
      <c r="M27" s="53"/>
    </row>
    <row r="28" spans="1:15">
      <c r="A28" t="s">
        <v>112</v>
      </c>
      <c r="C28" s="53"/>
      <c r="D28" s="53"/>
      <c r="E28" s="53"/>
      <c r="F28" s="53"/>
      <c r="G28" s="53"/>
      <c r="H28" s="53"/>
      <c r="I28" s="53"/>
      <c r="J28" s="53"/>
      <c r="L28" s="53"/>
      <c r="M28" s="53"/>
    </row>
    <row r="29" spans="1:15">
      <c r="A29" t="s">
        <v>113</v>
      </c>
      <c r="C29" s="53"/>
      <c r="D29" s="53"/>
      <c r="E29" s="53"/>
      <c r="F29" s="53"/>
      <c r="G29" s="53"/>
      <c r="H29" s="53"/>
      <c r="I29" s="53"/>
      <c r="J29" s="53"/>
      <c r="L29" s="53"/>
      <c r="M29" s="53"/>
    </row>
    <row r="30" spans="1:15">
      <c r="A30" t="s">
        <v>114</v>
      </c>
      <c r="C30" s="53"/>
      <c r="D30" s="53"/>
      <c r="E30" s="53"/>
      <c r="F30" s="53"/>
      <c r="G30" s="53"/>
      <c r="H30" s="53"/>
      <c r="I30" s="53"/>
      <c r="J30" s="53"/>
      <c r="L30" s="53"/>
      <c r="M30" s="53"/>
    </row>
    <row r="31" spans="1:15">
      <c r="A31" t="s">
        <v>115</v>
      </c>
      <c r="C31" s="53" t="s">
        <v>116</v>
      </c>
      <c r="D31" s="53"/>
      <c r="F31" s="53"/>
      <c r="G31" s="52"/>
      <c r="L31" s="71"/>
      <c r="M31" s="71"/>
    </row>
    <row r="32" spans="1:15">
      <c r="A32" s="53">
        <v>657</v>
      </c>
      <c r="B32" t="s">
        <v>63</v>
      </c>
      <c r="D32" s="52">
        <f>A32+D33</f>
        <v>703.1</v>
      </c>
      <c r="E32" s="52">
        <f>D32+E33</f>
        <v>750.6796927966102</v>
      </c>
      <c r="F32" s="52">
        <f t="shared" ref="F32:J32" si="6">E32+F33</f>
        <v>780.51772245762709</v>
      </c>
      <c r="G32" s="52">
        <f t="shared" si="6"/>
        <v>804.83742584745755</v>
      </c>
      <c r="H32" s="52">
        <f t="shared" si="6"/>
        <v>825.33825211864405</v>
      </c>
      <c r="I32" s="52">
        <f t="shared" si="6"/>
        <v>843.07014830508479</v>
      </c>
      <c r="J32" s="52">
        <f t="shared" si="6"/>
        <v>858.78028601694916</v>
      </c>
      <c r="L32" s="53">
        <f>SUM(D33:E33)/4</f>
        <v>23.419923199152542</v>
      </c>
      <c r="M32" s="53">
        <f>AVERAGE(F33:I33)</f>
        <v>23.097613877118643</v>
      </c>
    </row>
    <row r="33" spans="1:24">
      <c r="A33" s="53"/>
      <c r="D33" s="53">
        <f>D80</f>
        <v>46.099999999999994</v>
      </c>
      <c r="E33" s="53">
        <f t="shared" ref="E33:J33" si="7">D33*E4/D4</f>
        <v>47.579692796610168</v>
      </c>
      <c r="F33" s="53">
        <f t="shared" si="7"/>
        <v>29.838029661016947</v>
      </c>
      <c r="G33" s="53">
        <f t="shared" si="7"/>
        <v>24.319703389830511</v>
      </c>
      <c r="H33" s="53">
        <f t="shared" si="7"/>
        <v>20.500826271186444</v>
      </c>
      <c r="I33" s="53">
        <f t="shared" si="7"/>
        <v>17.731896186440682</v>
      </c>
      <c r="J33" s="53">
        <f t="shared" si="7"/>
        <v>15.710137711864407</v>
      </c>
      <c r="L33" s="53"/>
      <c r="M33" s="53"/>
    </row>
    <row r="34" spans="1:24">
      <c r="B34" t="s">
        <v>49</v>
      </c>
      <c r="C34" s="53"/>
      <c r="D34" s="53">
        <f t="shared" ref="D34:J34" si="8">0.8*D33</f>
        <v>36.879999999999995</v>
      </c>
      <c r="E34" s="53">
        <f t="shared" si="8"/>
        <v>38.063754237288137</v>
      </c>
      <c r="F34" s="53">
        <f t="shared" si="8"/>
        <v>23.870423728813559</v>
      </c>
      <c r="G34" s="53">
        <f t="shared" si="8"/>
        <v>19.455762711864409</v>
      </c>
      <c r="H34" s="53">
        <f t="shared" si="8"/>
        <v>16.400661016949154</v>
      </c>
      <c r="I34" s="53">
        <f t="shared" si="8"/>
        <v>14.185516949152547</v>
      </c>
      <c r="J34" s="53">
        <f t="shared" si="8"/>
        <v>12.568110169491526</v>
      </c>
      <c r="L34" s="53">
        <f>SUM(D34:E34)/4</f>
        <v>18.735938559322033</v>
      </c>
      <c r="M34" s="53">
        <f>AVERAGE(F34:I34)</f>
        <v>18.478091101694918</v>
      </c>
    </row>
    <row r="35" spans="1:24">
      <c r="C35" s="53"/>
      <c r="D35" s="53"/>
      <c r="E35" s="53"/>
      <c r="F35" s="53"/>
      <c r="G35" s="53"/>
      <c r="H35" s="53"/>
      <c r="I35" s="53"/>
      <c r="J35" s="53"/>
      <c r="L35" s="53"/>
      <c r="M35" s="53"/>
    </row>
    <row r="36" spans="1:24">
      <c r="A36" s="53">
        <f>0.35*A32</f>
        <v>229.95</v>
      </c>
      <c r="B36" t="s">
        <v>54</v>
      </c>
      <c r="D36" s="53">
        <f t="shared" ref="D36:J36" si="9">0.2*D33</f>
        <v>9.2199999999999989</v>
      </c>
      <c r="E36" s="53">
        <f t="shared" si="9"/>
        <v>9.5159385593220343</v>
      </c>
      <c r="F36" s="53">
        <f t="shared" si="9"/>
        <v>5.9676059322033899</v>
      </c>
      <c r="G36" s="53">
        <f t="shared" si="9"/>
        <v>4.8639406779661023</v>
      </c>
      <c r="H36" s="53">
        <f t="shared" si="9"/>
        <v>4.1001652542372886</v>
      </c>
      <c r="I36" s="53">
        <f t="shared" si="9"/>
        <v>3.5463792372881366</v>
      </c>
      <c r="J36" s="53">
        <f t="shared" si="9"/>
        <v>3.1420275423728814</v>
      </c>
      <c r="L36" s="53">
        <f>SUM(D36:E36)/4</f>
        <v>4.6839846398305083</v>
      </c>
      <c r="M36" s="53">
        <f>AVERAGE(F36:I36)</f>
        <v>4.6195227754237296</v>
      </c>
    </row>
    <row r="37" spans="1:24">
      <c r="C37" s="53"/>
      <c r="D37" s="53"/>
      <c r="F37" s="53"/>
      <c r="G37" s="52"/>
      <c r="L37" s="53"/>
      <c r="M37" s="30"/>
    </row>
    <row r="38" spans="1:24">
      <c r="A38" s="34" t="s">
        <v>117</v>
      </c>
      <c r="B38" s="49"/>
      <c r="C38" s="49">
        <v>54852</v>
      </c>
      <c r="D38" s="62">
        <f>63-21</f>
        <v>42</v>
      </c>
      <c r="E38" s="53">
        <f>D38*E4/D4</f>
        <v>43.348093220338988</v>
      </c>
      <c r="F38" s="53">
        <f t="shared" ref="F38:J38" si="10">E38*F4/E4</f>
        <v>27.184322033898304</v>
      </c>
      <c r="G38" s="53">
        <f t="shared" si="10"/>
        <v>22.156779661016952</v>
      </c>
      <c r="H38" s="53">
        <f t="shared" si="10"/>
        <v>18.677542372881359</v>
      </c>
      <c r="I38" s="53">
        <f t="shared" si="10"/>
        <v>16.154872881355935</v>
      </c>
      <c r="J38" s="53">
        <f t="shared" si="10"/>
        <v>14.31292372881356</v>
      </c>
      <c r="K38" s="42"/>
      <c r="L38" s="53">
        <f>SUM(D38:E38)/4</f>
        <v>21.337023305084749</v>
      </c>
      <c r="M38" s="53">
        <f>AVERAGE(F38:I38)</f>
        <v>21.043379237288136</v>
      </c>
      <c r="P38" t="s">
        <v>442</v>
      </c>
    </row>
    <row r="39" spans="1:24">
      <c r="A39" t="s">
        <v>118</v>
      </c>
      <c r="B39" s="49"/>
      <c r="C39" s="49" t="s">
        <v>105</v>
      </c>
      <c r="X39" s="55">
        <v>550</v>
      </c>
    </row>
    <row r="40" spans="1:24">
      <c r="A40" t="s">
        <v>119</v>
      </c>
      <c r="B40" s="14" t="s">
        <v>120</v>
      </c>
    </row>
    <row r="41" spans="1:24">
      <c r="A41" s="61" t="s">
        <v>121</v>
      </c>
      <c r="B41" s="49" t="s">
        <v>122</v>
      </c>
      <c r="C41">
        <f>8551/4900</f>
        <v>1.7451020408163265</v>
      </c>
      <c r="D41" t="s">
        <v>123</v>
      </c>
      <c r="F41" t="s">
        <v>124</v>
      </c>
    </row>
    <row r="42" spans="1:24">
      <c r="C42" s="53"/>
      <c r="D42" s="53"/>
      <c r="E42" s="60"/>
    </row>
    <row r="43" spans="1:24">
      <c r="A43" s="34" t="s">
        <v>125</v>
      </c>
      <c r="C43" s="53">
        <v>3</v>
      </c>
      <c r="D43" s="53">
        <f>'Pre and Post Tax Collections'!D47</f>
        <v>-0.19765997552983094</v>
      </c>
      <c r="E43" s="53">
        <f>'Pre and Post Tax Collections'!E47</f>
        <v>5.3636442069035297</v>
      </c>
      <c r="F43" s="53">
        <f>'Pre and Post Tax Collections'!F47</f>
        <v>17.390863057944046</v>
      </c>
      <c r="G43" s="53">
        <f>'Pre and Post Tax Collections'!G47</f>
        <v>24.250041544365274</v>
      </c>
      <c r="H43" s="53">
        <f>'Pre and Post Tax Collections'!H47</f>
        <v>26.318439608227493</v>
      </c>
      <c r="I43" s="53">
        <f>'Pre and Post Tax Collections'!I47</f>
        <v>28.193695937129519</v>
      </c>
      <c r="J43" s="53">
        <f>'Pre and Post Tax Collections'!J47</f>
        <v>28.676817193609821</v>
      </c>
      <c r="L43" s="53">
        <f>SUM(C43:E43)/4</f>
        <v>2.0414960578434247</v>
      </c>
      <c r="M43" s="53">
        <f>AVERAGE(F43:I43)</f>
        <v>24.038260036916583</v>
      </c>
    </row>
    <row r="44" spans="1:24">
      <c r="C44" s="53"/>
      <c r="D44" s="53"/>
      <c r="E44" s="60"/>
    </row>
    <row r="45" spans="1:24">
      <c r="A45" t="s">
        <v>143</v>
      </c>
      <c r="C45" s="53"/>
      <c r="D45" s="53">
        <f>110</f>
        <v>110</v>
      </c>
      <c r="E45" s="53">
        <f>D45*E4/D4</f>
        <v>113.53072033898306</v>
      </c>
      <c r="F45" s="53">
        <f t="shared" ref="F45:J45" si="11">E45*F4/E4</f>
        <v>71.197033898305079</v>
      </c>
      <c r="G45" s="53">
        <f t="shared" si="11"/>
        <v>58.029661016949163</v>
      </c>
      <c r="H45" s="53">
        <f t="shared" si="11"/>
        <v>48.917372881355938</v>
      </c>
      <c r="I45" s="53">
        <f t="shared" si="11"/>
        <v>42.310381355932208</v>
      </c>
      <c r="J45" s="53">
        <f t="shared" si="11"/>
        <v>37.486228813559322</v>
      </c>
      <c r="L45" s="53">
        <f>SUM(C45:E45)/4</f>
        <v>55.882680084745765</v>
      </c>
      <c r="M45" s="53">
        <f>AVERAGE(F45:I45)</f>
        <v>55.113612288135599</v>
      </c>
    </row>
    <row r="46" spans="1:24">
      <c r="C46" s="53"/>
      <c r="D46" s="53"/>
      <c r="E46" s="60"/>
    </row>
    <row r="47" spans="1:24">
      <c r="C47" s="53"/>
      <c r="D47" s="53"/>
      <c r="E47" s="60"/>
    </row>
    <row r="48" spans="1:24">
      <c r="B48" t="s">
        <v>126</v>
      </c>
      <c r="O48">
        <f>9*52</f>
        <v>468</v>
      </c>
      <c r="P48" t="s">
        <v>127</v>
      </c>
    </row>
    <row r="49" spans="1:16">
      <c r="B49" s="244" t="s">
        <v>128</v>
      </c>
      <c r="C49" s="244"/>
      <c r="E49" s="244" t="s">
        <v>129</v>
      </c>
      <c r="F49" s="244"/>
    </row>
    <row r="50" spans="1:16">
      <c r="B50" t="s">
        <v>71</v>
      </c>
      <c r="C50" t="s">
        <v>72</v>
      </c>
      <c r="E50" t="s">
        <v>71</v>
      </c>
      <c r="F50" t="s">
        <v>72</v>
      </c>
      <c r="P50" t="s">
        <v>105</v>
      </c>
    </row>
    <row r="51" spans="1:16">
      <c r="A51" t="s">
        <v>130</v>
      </c>
      <c r="B51" s="28">
        <f>'Pre and Post Tax Collections'!L48</f>
        <v>-161.49752109186826</v>
      </c>
      <c r="C51" s="28">
        <f>'Pre and Post Tax Collections'!M48</f>
        <v>-260.44298307112751</v>
      </c>
      <c r="E51" s="28">
        <f>'Pre and Post Tax Collections'!L54</f>
        <v>18.149481957343596</v>
      </c>
      <c r="F51" s="28">
        <f>'Pre and Post Tax Collections'!M54</f>
        <v>-103.61690999073579</v>
      </c>
      <c r="H51" t="s">
        <v>105</v>
      </c>
    </row>
    <row r="52" spans="1:16">
      <c r="A52" t="s">
        <v>131</v>
      </c>
      <c r="B52" s="28">
        <f>L25+L34+L38+L43+L45</f>
        <v>111.37213800699598</v>
      </c>
      <c r="C52" s="28">
        <f>M25+M34+M38+M43+M45</f>
        <v>157.67334266403523</v>
      </c>
      <c r="E52" s="28">
        <f>L24+L36</f>
        <v>141.07942140645372</v>
      </c>
      <c r="F52" s="28">
        <f>M24+M36</f>
        <v>65.849314170469356</v>
      </c>
      <c r="H52" s="28">
        <f>E52+B52</f>
        <v>252.4515594134497</v>
      </c>
    </row>
    <row r="53" spans="1:16">
      <c r="B53" s="28">
        <f>B52-B51</f>
        <v>272.86965909886425</v>
      </c>
      <c r="C53" s="28">
        <f>C52-C51</f>
        <v>418.11632573516272</v>
      </c>
      <c r="E53" s="28">
        <f>E52-E51</f>
        <v>122.92993944911012</v>
      </c>
      <c r="F53" s="28">
        <f>F52-F51</f>
        <v>169.46622416120516</v>
      </c>
      <c r="G53" s="28"/>
    </row>
    <row r="55" spans="1:16">
      <c r="B55" t="s">
        <v>132</v>
      </c>
      <c r="C55" t="s">
        <v>133</v>
      </c>
      <c r="G55" s="28"/>
    </row>
    <row r="56" spans="1:16">
      <c r="A56" t="s">
        <v>134</v>
      </c>
      <c r="B56" s="29">
        <v>-3700</v>
      </c>
      <c r="C56" s="29">
        <v>-2100</v>
      </c>
    </row>
    <row r="57" spans="1:16">
      <c r="A57" t="s">
        <v>135</v>
      </c>
      <c r="B57" s="29">
        <v>-1073</v>
      </c>
      <c r="C57" s="29">
        <v>-1000.4210000000003</v>
      </c>
    </row>
    <row r="58" spans="1:16">
      <c r="A58" t="s">
        <v>136</v>
      </c>
      <c r="B58" s="29">
        <v>-2627</v>
      </c>
      <c r="C58" s="29">
        <v>-1099.5789999999997</v>
      </c>
      <c r="E58">
        <v>10.5</v>
      </c>
      <c r="F58">
        <v>0</v>
      </c>
    </row>
    <row r="59" spans="1:16">
      <c r="A59" t="s">
        <v>137</v>
      </c>
      <c r="B59" s="29">
        <f>PPP!D37</f>
        <v>2165.1509999999998</v>
      </c>
      <c r="C59" s="29">
        <f>PPP!E37</f>
        <v>551.92000000000007</v>
      </c>
      <c r="E59">
        <v>540</v>
      </c>
      <c r="F59">
        <v>803</v>
      </c>
    </row>
    <row r="60" spans="1:16">
      <c r="A60" t="s">
        <v>138</v>
      </c>
      <c r="B60" s="29">
        <f>B58+B59</f>
        <v>-461.84900000000016</v>
      </c>
      <c r="C60" s="29">
        <v>-590.85599999999977</v>
      </c>
      <c r="E60">
        <v>1037</v>
      </c>
      <c r="F60">
        <v>168</v>
      </c>
    </row>
    <row r="61" spans="1:16">
      <c r="A61" t="s">
        <v>478</v>
      </c>
      <c r="B61" s="29">
        <f>B60+B53</f>
        <v>-188.97934090113591</v>
      </c>
      <c r="C61" s="29">
        <f>C60+C53</f>
        <v>-172.73967426483705</v>
      </c>
      <c r="E61">
        <v>434</v>
      </c>
      <c r="F61">
        <v>0</v>
      </c>
    </row>
    <row r="62" spans="1:16">
      <c r="B62" s="29"/>
      <c r="C62" s="29"/>
      <c r="E62">
        <f>SUM(E58:E61)</f>
        <v>2021.5</v>
      </c>
      <c r="F62">
        <f>SUM(F58:F61)</f>
        <v>971</v>
      </c>
    </row>
    <row r="63" spans="1:16">
      <c r="A63" t="s">
        <v>144</v>
      </c>
      <c r="B63" s="29"/>
      <c r="C63" s="29"/>
    </row>
    <row r="64" spans="1:16">
      <c r="C64" s="20" t="s">
        <v>24</v>
      </c>
      <c r="D64" s="20" t="s">
        <v>25</v>
      </c>
      <c r="E64" s="20" t="s">
        <v>26</v>
      </c>
      <c r="F64" s="20" t="s">
        <v>27</v>
      </c>
      <c r="G64" s="20" t="s">
        <v>28</v>
      </c>
      <c r="H64" s="20" t="s">
        <v>29</v>
      </c>
      <c r="I64" s="20" t="s">
        <v>30</v>
      </c>
      <c r="J64" s="20" t="s">
        <v>31</v>
      </c>
      <c r="L64" s="47" t="s">
        <v>71</v>
      </c>
      <c r="M64" s="47" t="s">
        <v>72</v>
      </c>
    </row>
    <row r="65" spans="1:15">
      <c r="A65" t="s">
        <v>255</v>
      </c>
      <c r="C65" s="52">
        <f>C25</f>
        <v>0</v>
      </c>
      <c r="D65" s="52">
        <f>D25</f>
        <v>8.5</v>
      </c>
      <c r="E65" s="52">
        <f t="shared" ref="E65:J65" si="12">E25</f>
        <v>45</v>
      </c>
      <c r="F65" s="52">
        <f t="shared" si="12"/>
        <v>106</v>
      </c>
      <c r="G65" s="52">
        <f t="shared" si="12"/>
        <v>50</v>
      </c>
      <c r="H65" s="52">
        <f t="shared" si="12"/>
        <v>0</v>
      </c>
      <c r="I65" s="52">
        <f t="shared" si="12"/>
        <v>0</v>
      </c>
      <c r="J65" s="52">
        <f t="shared" si="12"/>
        <v>0</v>
      </c>
      <c r="L65" s="29">
        <f>SUM(C65:E65)/4</f>
        <v>13.375</v>
      </c>
      <c r="M65" s="29">
        <f>SUM(F65:I65)/4</f>
        <v>39</v>
      </c>
    </row>
    <row r="66" spans="1:15">
      <c r="A66" t="s">
        <v>257</v>
      </c>
      <c r="C66" s="52">
        <f>C34</f>
        <v>0</v>
      </c>
      <c r="D66" s="52">
        <f>D34</f>
        <v>36.879999999999995</v>
      </c>
      <c r="E66" s="52">
        <f t="shared" ref="E66:J66" si="13">E34</f>
        <v>38.063754237288137</v>
      </c>
      <c r="F66" s="52">
        <f t="shared" si="13"/>
        <v>23.870423728813559</v>
      </c>
      <c r="G66" s="52">
        <f t="shared" si="13"/>
        <v>19.455762711864409</v>
      </c>
      <c r="H66" s="52">
        <f t="shared" si="13"/>
        <v>16.400661016949154</v>
      </c>
      <c r="I66" s="52">
        <f t="shared" si="13"/>
        <v>14.185516949152547</v>
      </c>
      <c r="J66" s="52">
        <f t="shared" si="13"/>
        <v>12.568110169491526</v>
      </c>
      <c r="L66" s="29">
        <f t="shared" ref="L66:L73" si="14">SUM(C66:E66)/4</f>
        <v>18.735938559322033</v>
      </c>
      <c r="M66" s="29">
        <f t="shared" ref="M66:M73" si="15">SUM(F66:I66)/4</f>
        <v>18.478091101694918</v>
      </c>
    </row>
    <row r="67" spans="1:15">
      <c r="A67" t="s">
        <v>259</v>
      </c>
      <c r="C67" s="54">
        <v>0</v>
      </c>
      <c r="D67" s="54">
        <f>D38</f>
        <v>42</v>
      </c>
      <c r="E67" s="54">
        <f t="shared" ref="E67:J67" si="16">E38</f>
        <v>43.348093220338988</v>
      </c>
      <c r="F67" s="54">
        <f t="shared" si="16"/>
        <v>27.184322033898304</v>
      </c>
      <c r="G67" s="54">
        <f t="shared" si="16"/>
        <v>22.156779661016952</v>
      </c>
      <c r="H67" s="54">
        <f t="shared" si="16"/>
        <v>18.677542372881359</v>
      </c>
      <c r="I67" s="54">
        <f t="shared" si="16"/>
        <v>16.154872881355935</v>
      </c>
      <c r="J67" s="54">
        <f t="shared" si="16"/>
        <v>14.31292372881356</v>
      </c>
      <c r="L67" s="29">
        <f t="shared" si="14"/>
        <v>21.337023305084749</v>
      </c>
      <c r="M67" s="29">
        <f t="shared" si="15"/>
        <v>21.043379237288136</v>
      </c>
    </row>
    <row r="68" spans="1:15">
      <c r="A68" t="s">
        <v>260</v>
      </c>
      <c r="C68" s="52">
        <f>C43</f>
        <v>3</v>
      </c>
      <c r="D68" s="52">
        <f>D43</f>
        <v>-0.19765997552983094</v>
      </c>
      <c r="E68" s="52">
        <f t="shared" ref="E68:J68" si="17">E43</f>
        <v>5.3636442069035297</v>
      </c>
      <c r="F68" s="52">
        <f t="shared" si="17"/>
        <v>17.390863057944046</v>
      </c>
      <c r="G68" s="52">
        <f t="shared" si="17"/>
        <v>24.250041544365274</v>
      </c>
      <c r="H68" s="52">
        <f t="shared" si="17"/>
        <v>26.318439608227493</v>
      </c>
      <c r="I68" s="52">
        <f t="shared" si="17"/>
        <v>28.193695937129519</v>
      </c>
      <c r="J68" s="52">
        <f t="shared" si="17"/>
        <v>28.676817193609821</v>
      </c>
      <c r="L68" s="29">
        <f t="shared" si="14"/>
        <v>2.0414960578434247</v>
      </c>
      <c r="M68" s="29">
        <f t="shared" si="15"/>
        <v>24.038260036916583</v>
      </c>
    </row>
    <row r="69" spans="1:15">
      <c r="A69" t="s">
        <v>446</v>
      </c>
      <c r="C69" s="52">
        <f>C45</f>
        <v>0</v>
      </c>
      <c r="D69" s="52">
        <f t="shared" ref="D69:J69" si="18">D45</f>
        <v>110</v>
      </c>
      <c r="E69" s="52">
        <f t="shared" si="18"/>
        <v>113.53072033898306</v>
      </c>
      <c r="F69" s="52">
        <f t="shared" si="18"/>
        <v>71.197033898305079</v>
      </c>
      <c r="G69" s="52">
        <f t="shared" si="18"/>
        <v>58.029661016949163</v>
      </c>
      <c r="H69" s="52">
        <f t="shared" si="18"/>
        <v>48.917372881355938</v>
      </c>
      <c r="I69" s="52">
        <f t="shared" si="18"/>
        <v>42.310381355932208</v>
      </c>
      <c r="J69" s="52">
        <f t="shared" si="18"/>
        <v>37.486228813559322</v>
      </c>
      <c r="L69" s="29">
        <f t="shared" ref="L69" si="19">SUM(C69:E69)/4</f>
        <v>55.882680084745765</v>
      </c>
      <c r="M69" s="29">
        <f t="shared" si="15"/>
        <v>55.113612288135599</v>
      </c>
      <c r="N69" s="28">
        <f>SUM(L65:L69)</f>
        <v>111.37213800699598</v>
      </c>
      <c r="O69" s="28">
        <f>SUM(M65:M69)</f>
        <v>157.67334266403523</v>
      </c>
    </row>
    <row r="70" spans="1:15">
      <c r="A70" t="s">
        <v>256</v>
      </c>
      <c r="C70" s="52">
        <f>C24</f>
        <v>33.879120879120883</v>
      </c>
      <c r="D70" s="52">
        <f>D24</f>
        <v>260.5</v>
      </c>
      <c r="E70" s="52">
        <f t="shared" ref="E70:J70" si="20">E24</f>
        <v>285.08174706649288</v>
      </c>
      <c r="F70" s="52">
        <f t="shared" si="20"/>
        <v>166.02043676662322</v>
      </c>
      <c r="G70" s="52">
        <f t="shared" si="20"/>
        <v>70.006812255541064</v>
      </c>
      <c r="H70" s="52">
        <f t="shared" si="20"/>
        <v>6.66893741851369</v>
      </c>
      <c r="I70" s="52">
        <f t="shared" si="20"/>
        <v>2.2229791395045635</v>
      </c>
      <c r="J70" s="52">
        <f t="shared" si="20"/>
        <v>0.7409930465015212</v>
      </c>
      <c r="L70" s="29">
        <f t="shared" si="14"/>
        <v>144.86521698640342</v>
      </c>
      <c r="M70" s="29">
        <f t="shared" si="15"/>
        <v>61.229791395045631</v>
      </c>
    </row>
    <row r="71" spans="1:15">
      <c r="A71" t="s">
        <v>258</v>
      </c>
      <c r="C71">
        <f>C36</f>
        <v>0</v>
      </c>
      <c r="D71">
        <f>D36</f>
        <v>9.2199999999999989</v>
      </c>
      <c r="E71" s="52">
        <f t="shared" ref="E71:J71" si="21">E36</f>
        <v>9.5159385593220343</v>
      </c>
      <c r="F71" s="52">
        <f t="shared" si="21"/>
        <v>5.9676059322033899</v>
      </c>
      <c r="G71" s="52">
        <f t="shared" si="21"/>
        <v>4.8639406779661023</v>
      </c>
      <c r="H71" s="52">
        <f t="shared" si="21"/>
        <v>4.1001652542372886</v>
      </c>
      <c r="I71" s="52">
        <f t="shared" si="21"/>
        <v>3.5463792372881366</v>
      </c>
      <c r="J71" s="52">
        <f t="shared" si="21"/>
        <v>3.1420275423728814</v>
      </c>
      <c r="L71" s="29">
        <f t="shared" si="14"/>
        <v>4.6839846398305083</v>
      </c>
      <c r="M71" s="29">
        <f t="shared" si="15"/>
        <v>4.6195227754237296</v>
      </c>
    </row>
    <row r="72" spans="1:15">
      <c r="A72" t="s">
        <v>261</v>
      </c>
      <c r="C72" s="52">
        <f>SUM(C65:C69)+C70</f>
        <v>36.879120879120883</v>
      </c>
      <c r="D72" s="52">
        <f t="shared" ref="D72:J72" si="22">SUM(D65:D69)+D70</f>
        <v>457.68234002447014</v>
      </c>
      <c r="E72" s="52">
        <f t="shared" si="22"/>
        <v>530.38795907000656</v>
      </c>
      <c r="F72" s="52">
        <f t="shared" si="22"/>
        <v>411.66307948558421</v>
      </c>
      <c r="G72" s="52">
        <f t="shared" si="22"/>
        <v>243.89905718973685</v>
      </c>
      <c r="H72" s="52">
        <f t="shared" si="22"/>
        <v>116.98295329792764</v>
      </c>
      <c r="I72" s="52">
        <f t="shared" si="22"/>
        <v>103.06744626307477</v>
      </c>
      <c r="J72" s="52">
        <f t="shared" si="22"/>
        <v>93.785072951975749</v>
      </c>
      <c r="L72" s="29">
        <f t="shared" si="14"/>
        <v>256.23735499339938</v>
      </c>
      <c r="M72" s="29">
        <f t="shared" si="15"/>
        <v>218.90313405908088</v>
      </c>
    </row>
    <row r="73" spans="1:15">
      <c r="A73" t="s">
        <v>262</v>
      </c>
      <c r="C73" s="52">
        <f>C71+C66</f>
        <v>0</v>
      </c>
      <c r="D73" s="52">
        <f t="shared" ref="D73:J73" si="23">D71+D66</f>
        <v>46.099999999999994</v>
      </c>
      <c r="E73" s="52">
        <f t="shared" si="23"/>
        <v>47.579692796610175</v>
      </c>
      <c r="F73" s="52">
        <f t="shared" si="23"/>
        <v>29.83802966101695</v>
      </c>
      <c r="G73" s="52">
        <f t="shared" si="23"/>
        <v>24.319703389830511</v>
      </c>
      <c r="H73" s="52">
        <f t="shared" si="23"/>
        <v>20.500826271186444</v>
      </c>
      <c r="I73" s="52">
        <f t="shared" si="23"/>
        <v>17.731896186440682</v>
      </c>
      <c r="J73" s="52">
        <f t="shared" si="23"/>
        <v>15.710137711864407</v>
      </c>
      <c r="L73" s="29">
        <f t="shared" si="14"/>
        <v>23.419923199152542</v>
      </c>
      <c r="M73" s="29">
        <f t="shared" si="15"/>
        <v>23.097613877118647</v>
      </c>
    </row>
    <row r="74" spans="1:15">
      <c r="A74" t="s">
        <v>328</v>
      </c>
      <c r="C74" s="52">
        <f>C73+C72</f>
        <v>36.879120879120883</v>
      </c>
      <c r="D74" s="52">
        <f>D73+D72</f>
        <v>503.78234002447016</v>
      </c>
    </row>
    <row r="75" spans="1:15">
      <c r="A75" t="s">
        <v>331</v>
      </c>
      <c r="C75">
        <f>'eff covid on Pers Inc'!R27</f>
        <v>39.599999999999994</v>
      </c>
      <c r="D75">
        <f>'eff covid on Pers Inc'!S27</f>
        <v>526.20000000000027</v>
      </c>
    </row>
    <row r="76" spans="1:15">
      <c r="A76" t="s">
        <v>438</v>
      </c>
    </row>
    <row r="77" spans="1:15">
      <c r="A77" t="s">
        <v>256</v>
      </c>
      <c r="C77" s="28">
        <f>'soci benefits GDP Detail'!L15</f>
        <v>15.529</v>
      </c>
      <c r="D77" s="28">
        <f>'soci benefits GDP Detail'!M15</f>
        <v>1020.75</v>
      </c>
    </row>
    <row r="78" spans="1:15">
      <c r="A78" t="s">
        <v>255</v>
      </c>
      <c r="C78" s="28">
        <f>'soci benefits GDP Detail'!L18</f>
        <v>0</v>
      </c>
      <c r="D78" s="28">
        <f>'soci benefits GDP Detail'!M18</f>
        <v>16.548999999999999</v>
      </c>
    </row>
    <row r="79" spans="1:15">
      <c r="A79" t="s">
        <v>437</v>
      </c>
      <c r="C79" s="28">
        <f>'soci benefits GDP Detail'!L13</f>
        <v>0</v>
      </c>
      <c r="D79" s="28">
        <f>'soci benefits GDP Detail'!M13</f>
        <v>12.402999999999999</v>
      </c>
    </row>
    <row r="80" spans="1:15">
      <c r="A80" t="s">
        <v>443</v>
      </c>
      <c r="C80" s="28">
        <f>'eff covid on Pers Inc'!O31</f>
        <v>7.6</v>
      </c>
      <c r="D80" s="28">
        <f>'eff covid on Pers Inc'!P31</f>
        <v>46.099999999999994</v>
      </c>
    </row>
    <row r="81" spans="1:4">
      <c r="A81" t="s">
        <v>435</v>
      </c>
      <c r="C81" s="28">
        <f>'soci benefits GDP Detail'!L28</f>
        <v>2.923</v>
      </c>
      <c r="D81" s="28">
        <f>'soci benefits GDP Detail'!M28</f>
        <v>63.123000000000005</v>
      </c>
    </row>
    <row r="82" spans="1:4">
      <c r="C82" s="28">
        <f>SUM(C77:C81)</f>
        <v>26.052</v>
      </c>
      <c r="D82" s="28">
        <f>SUM(D77:D81)</f>
        <v>1158.925</v>
      </c>
    </row>
    <row r="84" spans="1:4">
      <c r="A84" t="s">
        <v>439</v>
      </c>
      <c r="D84">
        <f>'eff covid on Pers Inc'!P34</f>
        <v>768.8</v>
      </c>
    </row>
    <row r="85" spans="1:4">
      <c r="A85" t="s">
        <v>440</v>
      </c>
      <c r="D85" s="28">
        <f>D77-D84</f>
        <v>251.95000000000005</v>
      </c>
    </row>
    <row r="86" spans="1:4">
      <c r="A86" t="s">
        <v>441</v>
      </c>
      <c r="D86" s="28">
        <f>D78</f>
        <v>16.548999999999999</v>
      </c>
    </row>
    <row r="87" spans="1:4">
      <c r="D87" s="28">
        <f>D86+D85</f>
        <v>268.49900000000002</v>
      </c>
    </row>
  </sheetData>
  <mergeCells count="2">
    <mergeCell ref="B49:C49"/>
    <mergeCell ref="E49:F4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C3359-8275-472E-8E3F-19ABAC9FFE44}">
  <dimension ref="A1:U37"/>
  <sheetViews>
    <sheetView workbookViewId="0">
      <selection activeCell="K18" sqref="K18"/>
    </sheetView>
  </sheetViews>
  <sheetFormatPr defaultColWidth="8.81640625" defaultRowHeight="14.5"/>
  <cols>
    <col min="8" max="8" width="11.7265625" customWidth="1"/>
  </cols>
  <sheetData>
    <row r="1" spans="1:21">
      <c r="A1" t="s">
        <v>447</v>
      </c>
    </row>
    <row r="2" spans="1:21">
      <c r="A2" t="s">
        <v>448</v>
      </c>
    </row>
    <row r="3" spans="1:21">
      <c r="A3" t="s">
        <v>449</v>
      </c>
      <c r="F3" t="s">
        <v>453</v>
      </c>
      <c r="G3" t="s">
        <v>119</v>
      </c>
      <c r="H3" t="s">
        <v>454</v>
      </c>
      <c r="I3" t="s">
        <v>455</v>
      </c>
      <c r="J3" t="s">
        <v>456</v>
      </c>
      <c r="K3" t="s">
        <v>457</v>
      </c>
      <c r="L3" t="s">
        <v>458</v>
      </c>
      <c r="M3" t="s">
        <v>459</v>
      </c>
      <c r="O3" t="s">
        <v>63</v>
      </c>
    </row>
    <row r="4" spans="1:21">
      <c r="A4" t="s">
        <v>464</v>
      </c>
      <c r="F4">
        <v>0.5</v>
      </c>
      <c r="G4" s="60">
        <v>1</v>
      </c>
      <c r="H4">
        <v>1</v>
      </c>
      <c r="I4">
        <v>1</v>
      </c>
      <c r="J4">
        <v>1</v>
      </c>
      <c r="K4">
        <v>1</v>
      </c>
      <c r="L4">
        <v>0.5</v>
      </c>
    </row>
    <row r="5" spans="1:21">
      <c r="A5" t="s">
        <v>450</v>
      </c>
      <c r="E5" t="s">
        <v>463</v>
      </c>
      <c r="F5">
        <f>F4*330/6</f>
        <v>27.5</v>
      </c>
      <c r="G5">
        <f t="shared" ref="G5:L5" si="0">G4*330/6</f>
        <v>55</v>
      </c>
      <c r="H5">
        <f t="shared" si="0"/>
        <v>55</v>
      </c>
      <c r="I5">
        <f t="shared" si="0"/>
        <v>55</v>
      </c>
      <c r="J5">
        <f t="shared" si="0"/>
        <v>55</v>
      </c>
      <c r="K5">
        <f t="shared" si="0"/>
        <v>55</v>
      </c>
      <c r="L5">
        <f t="shared" si="0"/>
        <v>27.5</v>
      </c>
      <c r="O5">
        <f>SUM(F5:M5)</f>
        <v>330</v>
      </c>
    </row>
    <row r="7" spans="1:21">
      <c r="A7" t="s">
        <v>451</v>
      </c>
      <c r="G7">
        <v>0.5</v>
      </c>
      <c r="H7" s="60">
        <v>1</v>
      </c>
      <c r="I7">
        <v>1</v>
      </c>
      <c r="J7">
        <v>1</v>
      </c>
      <c r="K7">
        <v>1</v>
      </c>
      <c r="L7">
        <v>1</v>
      </c>
      <c r="M7">
        <v>0.5</v>
      </c>
    </row>
    <row r="8" spans="1:21">
      <c r="A8" t="s">
        <v>452</v>
      </c>
      <c r="E8" t="s">
        <v>463</v>
      </c>
      <c r="G8">
        <f>G7*188/6</f>
        <v>15.666666666666666</v>
      </c>
      <c r="H8">
        <f t="shared" ref="H8:M8" si="1">H7*188/6</f>
        <v>31.333333333333332</v>
      </c>
      <c r="I8">
        <f t="shared" si="1"/>
        <v>31.333333333333332</v>
      </c>
      <c r="J8">
        <f t="shared" si="1"/>
        <v>31.333333333333332</v>
      </c>
      <c r="K8">
        <f t="shared" si="1"/>
        <v>31.333333333333332</v>
      </c>
      <c r="L8">
        <f t="shared" si="1"/>
        <v>31.333333333333332</v>
      </c>
      <c r="M8">
        <f t="shared" si="1"/>
        <v>15.666666666666666</v>
      </c>
    </row>
    <row r="9" spans="1:21">
      <c r="Q9" t="s">
        <v>92</v>
      </c>
      <c r="R9" t="s">
        <v>93</v>
      </c>
      <c r="S9" t="s">
        <v>94</v>
      </c>
      <c r="T9" t="s">
        <v>471</v>
      </c>
    </row>
    <row r="10" spans="1:21">
      <c r="A10" t="s">
        <v>466</v>
      </c>
      <c r="E10" t="s">
        <v>63</v>
      </c>
      <c r="F10">
        <f>F5+F8</f>
        <v>27.5</v>
      </c>
      <c r="G10">
        <f t="shared" ref="G10:M10" si="2">G5+G8</f>
        <v>70.666666666666671</v>
      </c>
      <c r="H10">
        <f t="shared" si="2"/>
        <v>86.333333333333329</v>
      </c>
      <c r="I10">
        <f t="shared" si="2"/>
        <v>86.333333333333329</v>
      </c>
      <c r="J10">
        <f t="shared" si="2"/>
        <v>86.333333333333329</v>
      </c>
      <c r="K10">
        <f t="shared" si="2"/>
        <v>86.333333333333329</v>
      </c>
      <c r="L10">
        <f t="shared" si="2"/>
        <v>58.833333333333329</v>
      </c>
      <c r="M10">
        <f t="shared" si="2"/>
        <v>15.666666666666666</v>
      </c>
      <c r="Q10">
        <f>SUM(F10:H10)</f>
        <v>184.5</v>
      </c>
      <c r="R10">
        <f>SUM(I10:K10)</f>
        <v>259</v>
      </c>
      <c r="S10">
        <f>SUM(L10:M10)</f>
        <v>74.5</v>
      </c>
      <c r="U10">
        <f>SUM(Q10:T10)</f>
        <v>518</v>
      </c>
    </row>
    <row r="11" spans="1:21">
      <c r="A11" s="55">
        <v>670</v>
      </c>
      <c r="B11">
        <v>540</v>
      </c>
      <c r="H11">
        <f>SUM(F10:H10)*4</f>
        <v>738</v>
      </c>
      <c r="R11">
        <f>SUM(I18:K18)</f>
        <v>7.3333333333333321</v>
      </c>
      <c r="S11">
        <f>SUM(L18:N18)</f>
        <v>10.999999999999998</v>
      </c>
      <c r="T11">
        <f>SUM(O18:Q18)</f>
        <v>3.6666666666666661</v>
      </c>
      <c r="U11">
        <f>SUM(Q11:T11)</f>
        <v>21.999999999999993</v>
      </c>
    </row>
    <row r="12" spans="1:21">
      <c r="A12" s="55">
        <v>330</v>
      </c>
      <c r="B12" s="55">
        <v>330</v>
      </c>
      <c r="C12" t="s">
        <v>467</v>
      </c>
      <c r="F12" t="s">
        <v>460</v>
      </c>
      <c r="H12">
        <f>610+19</f>
        <v>629</v>
      </c>
      <c r="K12" t="s">
        <v>105</v>
      </c>
      <c r="N12" t="s">
        <v>105</v>
      </c>
    </row>
    <row r="13" spans="1:21">
      <c r="A13" s="55">
        <v>188</v>
      </c>
      <c r="B13" s="55">
        <v>188</v>
      </c>
      <c r="C13" t="s">
        <v>468</v>
      </c>
      <c r="F13" t="s">
        <v>461</v>
      </c>
      <c r="H13">
        <v>610</v>
      </c>
      <c r="K13" t="s">
        <v>105</v>
      </c>
      <c r="N13" t="s">
        <v>105</v>
      </c>
    </row>
    <row r="14" spans="1:21">
      <c r="A14" s="55">
        <f>A11-A12-A13</f>
        <v>152</v>
      </c>
      <c r="B14" s="55">
        <f>B11-B12-B13</f>
        <v>22</v>
      </c>
      <c r="C14" t="s">
        <v>469</v>
      </c>
      <c r="F14" t="s">
        <v>462</v>
      </c>
      <c r="H14">
        <f>H12/H11</f>
        <v>0.85230352303523038</v>
      </c>
      <c r="N14" t="s">
        <v>105</v>
      </c>
    </row>
    <row r="15" spans="1:21">
      <c r="E15" t="s">
        <v>465</v>
      </c>
      <c r="I15" s="56">
        <f>$B$14/3/6</f>
        <v>1.2222222222222221</v>
      </c>
      <c r="J15" s="56">
        <f t="shared" ref="J15:N15" si="3">$B$14/3/6</f>
        <v>1.2222222222222221</v>
      </c>
      <c r="K15" s="56">
        <f t="shared" si="3"/>
        <v>1.2222222222222221</v>
      </c>
      <c r="L15" s="56">
        <f t="shared" si="3"/>
        <v>1.2222222222222221</v>
      </c>
      <c r="M15" s="56">
        <f t="shared" si="3"/>
        <v>1.2222222222222221</v>
      </c>
      <c r="N15" s="56">
        <f t="shared" si="3"/>
        <v>1.2222222222222221</v>
      </c>
    </row>
    <row r="16" spans="1:21">
      <c r="J16">
        <f>J15</f>
        <v>1.2222222222222221</v>
      </c>
      <c r="K16">
        <f>K15</f>
        <v>1.2222222222222221</v>
      </c>
      <c r="L16">
        <f>L15</f>
        <v>1.2222222222222221</v>
      </c>
      <c r="M16">
        <f>M15</f>
        <v>1.2222222222222221</v>
      </c>
      <c r="N16">
        <f>N15</f>
        <v>1.2222222222222221</v>
      </c>
      <c r="O16">
        <f>N16</f>
        <v>1.2222222222222221</v>
      </c>
    </row>
    <row r="17" spans="4:16">
      <c r="K17">
        <f>K16</f>
        <v>1.2222222222222221</v>
      </c>
      <c r="L17">
        <f>L16</f>
        <v>1.2222222222222221</v>
      </c>
      <c r="M17">
        <f>M16</f>
        <v>1.2222222222222221</v>
      </c>
      <c r="N17">
        <f>N16</f>
        <v>1.2222222222222221</v>
      </c>
      <c r="O17">
        <f>N17</f>
        <v>1.2222222222222221</v>
      </c>
      <c r="P17">
        <f>O17</f>
        <v>1.2222222222222221</v>
      </c>
    </row>
    <row r="18" spans="4:16">
      <c r="E18" t="s">
        <v>472</v>
      </c>
      <c r="I18">
        <f t="shared" ref="I18:P18" si="4">SUM(I15:I17)</f>
        <v>1.2222222222222221</v>
      </c>
      <c r="J18">
        <f t="shared" si="4"/>
        <v>2.4444444444444442</v>
      </c>
      <c r="K18">
        <f t="shared" si="4"/>
        <v>3.6666666666666661</v>
      </c>
      <c r="L18">
        <f t="shared" si="4"/>
        <v>3.6666666666666661</v>
      </c>
      <c r="M18">
        <f t="shared" si="4"/>
        <v>3.6666666666666661</v>
      </c>
      <c r="N18">
        <f t="shared" si="4"/>
        <v>3.6666666666666661</v>
      </c>
      <c r="O18">
        <f t="shared" si="4"/>
        <v>2.4444444444444442</v>
      </c>
      <c r="P18">
        <f t="shared" si="4"/>
        <v>1.2222222222222221</v>
      </c>
    </row>
    <row r="19" spans="4:16">
      <c r="E19" t="s">
        <v>473</v>
      </c>
      <c r="F19">
        <f>F10+F18</f>
        <v>27.5</v>
      </c>
      <c r="G19">
        <f t="shared" ref="G19:P19" si="5">G10+G18</f>
        <v>70.666666666666671</v>
      </c>
      <c r="H19">
        <f t="shared" si="5"/>
        <v>86.333333333333329</v>
      </c>
      <c r="I19">
        <f t="shared" si="5"/>
        <v>87.555555555555557</v>
      </c>
      <c r="J19">
        <f t="shared" si="5"/>
        <v>88.777777777777771</v>
      </c>
      <c r="K19">
        <f t="shared" si="5"/>
        <v>90</v>
      </c>
      <c r="L19">
        <f t="shared" si="5"/>
        <v>62.499999999999993</v>
      </c>
      <c r="M19">
        <f t="shared" si="5"/>
        <v>19.333333333333332</v>
      </c>
      <c r="N19">
        <f t="shared" si="5"/>
        <v>3.6666666666666661</v>
      </c>
      <c r="O19">
        <f t="shared" si="5"/>
        <v>2.4444444444444442</v>
      </c>
      <c r="P19">
        <f t="shared" si="5"/>
        <v>1.2222222222222221</v>
      </c>
    </row>
    <row r="21" spans="4:16">
      <c r="E21" s="227"/>
      <c r="F21" s="228" t="s">
        <v>160</v>
      </c>
      <c r="G21" s="228" t="s">
        <v>161</v>
      </c>
      <c r="H21" s="228" t="s">
        <v>162</v>
      </c>
      <c r="I21" s="228" t="s">
        <v>116</v>
      </c>
      <c r="O21" s="74"/>
      <c r="P21" s="74"/>
    </row>
    <row r="22" spans="4:16">
      <c r="E22" s="227" t="s">
        <v>63</v>
      </c>
      <c r="F22" s="229">
        <f>0.8523*4*SUM(F19:H19)</f>
        <v>628.99739999999997</v>
      </c>
      <c r="G22" s="229">
        <f>0.8523*4*SUM(I19:K19)</f>
        <v>907.98359999999991</v>
      </c>
      <c r="H22" s="229">
        <f>0.8523*4*SUM(L19:N19)</f>
        <v>291.48660000000001</v>
      </c>
      <c r="I22" s="229">
        <f>0.8523*4*SUM(O19:Q19)</f>
        <v>12.500399999999997</v>
      </c>
      <c r="K22" t="s">
        <v>475</v>
      </c>
      <c r="O22" s="74"/>
      <c r="P22" s="74"/>
    </row>
    <row r="23" spans="4:16">
      <c r="E23" s="227" t="s">
        <v>470</v>
      </c>
      <c r="F23" s="229">
        <f>F22-F24</f>
        <v>609.99747853736085</v>
      </c>
      <c r="G23" s="229">
        <f>G22-G24</f>
        <v>880.5564324324323</v>
      </c>
      <c r="H23" s="229">
        <f t="shared" ref="H23:I23" si="6">H22-H24</f>
        <v>282.68175834658189</v>
      </c>
      <c r="I23" s="229">
        <f t="shared" si="6"/>
        <v>12.122804451510332</v>
      </c>
    </row>
    <row r="24" spans="4:16">
      <c r="E24" s="227" t="s">
        <v>474</v>
      </c>
      <c r="F24" s="229">
        <f>19/629*F22</f>
        <v>18.999921462639108</v>
      </c>
      <c r="G24" s="229">
        <f t="shared" ref="G24:I24" si="7">19/629*G22</f>
        <v>27.427167567567565</v>
      </c>
      <c r="H24" s="229">
        <f t="shared" si="7"/>
        <v>8.8048416534181246</v>
      </c>
      <c r="I24" s="229">
        <f t="shared" si="7"/>
        <v>0.37759554848966609</v>
      </c>
    </row>
    <row r="32" spans="4:16">
      <c r="D32" t="s">
        <v>71</v>
      </c>
      <c r="E32" t="s">
        <v>72</v>
      </c>
    </row>
    <row r="33" spans="1:9">
      <c r="A33" t="s">
        <v>139</v>
      </c>
      <c r="D33">
        <f>1.041+0.11</f>
        <v>1.151</v>
      </c>
      <c r="E33">
        <f>4.16+0.16</f>
        <v>4.32</v>
      </c>
      <c r="G33">
        <v>10.5</v>
      </c>
      <c r="H33">
        <v>0</v>
      </c>
      <c r="I33">
        <f>H33+G33</f>
        <v>10.5</v>
      </c>
    </row>
    <row r="34" spans="1:9">
      <c r="A34" t="s">
        <v>140</v>
      </c>
      <c r="D34" s="54">
        <v>134</v>
      </c>
      <c r="E34" s="54">
        <v>56.6</v>
      </c>
      <c r="G34">
        <v>540</v>
      </c>
      <c r="H34">
        <v>803</v>
      </c>
      <c r="I34">
        <f t="shared" ref="I34:I36" si="8">H34+G34</f>
        <v>1343</v>
      </c>
    </row>
    <row r="35" spans="1:9">
      <c r="A35" t="s">
        <v>141</v>
      </c>
      <c r="D35">
        <v>1596</v>
      </c>
      <c r="E35">
        <v>448</v>
      </c>
      <c r="G35">
        <v>1037</v>
      </c>
      <c r="H35">
        <v>168</v>
      </c>
      <c r="I35">
        <f t="shared" si="8"/>
        <v>1205</v>
      </c>
    </row>
    <row r="36" spans="1:9">
      <c r="A36" t="s">
        <v>142</v>
      </c>
      <c r="D36">
        <f>321+113</f>
        <v>434</v>
      </c>
      <c r="E36">
        <f>43</f>
        <v>43</v>
      </c>
      <c r="G36">
        <v>434</v>
      </c>
      <c r="H36">
        <v>0</v>
      </c>
      <c r="I36">
        <f t="shared" si="8"/>
        <v>434</v>
      </c>
    </row>
    <row r="37" spans="1:9">
      <c r="D37">
        <f>SUM(D33:D36)</f>
        <v>2165.1509999999998</v>
      </c>
      <c r="E37">
        <f>SUM(E33:E36)</f>
        <v>551.92000000000007</v>
      </c>
      <c r="G37">
        <f>SUM(G33:G36)</f>
        <v>2021.5</v>
      </c>
      <c r="H37">
        <f>SUM(H33:H36)</f>
        <v>971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66951ee6-cd93-49c7-9437-e871b2a117d6">
      <UserInfo>
        <DisplayName>Louise Sheiner</DisplayName>
        <AccountId>26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CC8BAD-CB3F-4228-83D6-955AE38D858B}">
  <ds:schemaRefs>
    <ds:schemaRef ds:uri="http://schemas.microsoft.com/sharepoint/v3/contenttype/forms"/>
  </ds:schemaRefs>
</ds:datastoreItem>
</file>

<file path=customXml/itemProps2.xml><?xml version="1.0" encoding="utf-8"?>
<ds:datastoreItem xmlns:ds="http://schemas.openxmlformats.org/officeDocument/2006/customXml" ds:itemID="{9BF13AE9-3801-4A90-9F1B-EC22C59329B0}">
  <ds:schemaRefs>
    <ds:schemaRef ds:uri="http://purl.org/dc/elements/1.1/"/>
    <ds:schemaRef ds:uri="cac5d118-ba7b-4807-b700-df6f95cfff50"/>
    <ds:schemaRef ds:uri="http://purl.org/dc/dcmitype/"/>
    <ds:schemaRef ds:uri="http://purl.org/dc/terms/"/>
    <ds:schemaRef ds:uri="http://schemas.microsoft.com/office/2006/documentManagement/types"/>
    <ds:schemaRef ds:uri="http://schemas.microsoft.com/office/infopath/2007/PartnerControls"/>
    <ds:schemaRef ds:uri="66951ee6-cd93-49c7-9437-e871b2a117d6"/>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076D731D-F4A8-4C3F-9610-4827F6FD08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GDP Changes</vt:lpstr>
      <vt:lpstr>Pre and Post Tax Collections</vt:lpstr>
      <vt:lpstr>figurin out federal </vt:lpstr>
      <vt:lpstr>eff on fed budge</vt:lpstr>
      <vt:lpstr>soci benefits GDP Detail</vt:lpstr>
      <vt:lpstr>eff covid on Pers Inc</vt:lpstr>
      <vt:lpstr>outlays and deficit check</vt:lpstr>
      <vt:lpstr>PPP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Kadija Yilla</cp:lastModifiedBy>
  <cp:revision/>
  <dcterms:created xsi:type="dcterms:W3CDTF">2020-06-19T15:25:03Z</dcterms:created>
  <dcterms:modified xsi:type="dcterms:W3CDTF">2020-09-04T23:11:07Z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