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scal-Impact-Measure/data/add-ons/"/>
    </mc:Choice>
  </mc:AlternateContent>
  <xr:revisionPtr revIDLastSave="0" documentId="13_ncr:1_{3E763444-F3CA-414F-8156-9A00FD5864D9}" xr6:coauthVersionLast="46" xr6:coauthVersionMax="46" xr10:uidLastSave="{00000000-0000-0000-0000-000000000000}"/>
  <bookViews>
    <workbookView xWindow="0" yWindow="500" windowWidth="33600" windowHeight="19500" activeTab="2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5" l="1"/>
  <c r="D22" i="5"/>
  <c r="D29" i="5"/>
  <c r="D36" i="5"/>
  <c r="D42" i="5"/>
  <c r="D48" i="5"/>
  <c r="D54" i="5"/>
  <c r="D55" i="5"/>
  <c r="O73" i="1"/>
  <c r="P73" i="1"/>
  <c r="Q73" i="1"/>
  <c r="R73" i="1"/>
  <c r="S73" i="1"/>
  <c r="L8" i="1" l="1"/>
  <c r="K8" i="1"/>
  <c r="J8" i="1"/>
  <c r="I8" i="1"/>
  <c r="H8" i="1"/>
  <c r="G8" i="1"/>
  <c r="M13" i="4" l="1"/>
  <c r="M12" i="4"/>
  <c r="M11" i="4"/>
  <c r="M10" i="4"/>
  <c r="T73" i="1"/>
  <c r="U73" i="1"/>
  <c r="V73" i="1"/>
  <c r="W73" i="1"/>
  <c r="X73" i="1"/>
  <c r="Y73" i="1"/>
  <c r="Z73" i="1"/>
  <c r="L72" i="1"/>
  <c r="I62" i="5"/>
  <c r="O8" i="9"/>
  <c r="O7" i="9"/>
  <c r="O6" i="9"/>
  <c r="O5" i="9"/>
  <c r="M3" i="9"/>
  <c r="L3" i="9"/>
  <c r="K3" i="9"/>
  <c r="L12" i="9"/>
  <c r="L11" i="9"/>
  <c r="L10" i="9"/>
  <c r="L9" i="9"/>
  <c r="N72" i="1"/>
  <c r="N21" i="1"/>
  <c r="E21" i="5" l="1"/>
  <c r="E22" i="5"/>
  <c r="F22" i="5"/>
  <c r="G22" i="5"/>
  <c r="H22" i="5"/>
  <c r="I22" i="5"/>
  <c r="J22" i="5"/>
  <c r="K22" i="5"/>
  <c r="F28" i="5"/>
  <c r="E29" i="5"/>
  <c r="F29" i="5"/>
  <c r="G29" i="5"/>
  <c r="H29" i="5"/>
  <c r="I29" i="5"/>
  <c r="J29" i="5"/>
  <c r="K29" i="5"/>
  <c r="F35" i="5"/>
  <c r="E36" i="5"/>
  <c r="F36" i="5"/>
  <c r="G36" i="5"/>
  <c r="H36" i="5"/>
  <c r="I36" i="5"/>
  <c r="J36" i="5"/>
  <c r="K36" i="5"/>
  <c r="E41" i="5"/>
  <c r="F41" i="5"/>
  <c r="E42" i="5"/>
  <c r="F42" i="5"/>
  <c r="G42" i="5"/>
  <c r="H42" i="5"/>
  <c r="I42" i="5"/>
  <c r="J42" i="5"/>
  <c r="K42" i="5"/>
  <c r="F47" i="5"/>
  <c r="E48" i="5"/>
  <c r="F48" i="5"/>
  <c r="G48" i="5"/>
  <c r="H48" i="5"/>
  <c r="I48" i="5"/>
  <c r="J48" i="5"/>
  <c r="K48" i="5"/>
  <c r="K49" i="5" l="1"/>
  <c r="F50" i="5"/>
  <c r="F37" i="5"/>
  <c r="F31" i="5"/>
  <c r="F43" i="5"/>
  <c r="N37" i="1"/>
  <c r="N71" i="1"/>
  <c r="N105" i="1"/>
  <c r="N102" i="1"/>
  <c r="N99" i="1"/>
  <c r="N96" i="1"/>
  <c r="N92" i="1"/>
  <c r="N85" i="1"/>
  <c r="N84" i="1"/>
  <c r="N68" i="1"/>
  <c r="N61" i="1"/>
  <c r="N60" i="1"/>
  <c r="N59" i="1"/>
  <c r="N57" i="1"/>
  <c r="N54" i="1"/>
  <c r="N49" i="1"/>
  <c r="N48" i="1"/>
  <c r="N41" i="1"/>
  <c r="N35" i="1"/>
  <c r="N34" i="1"/>
  <c r="N18" i="1"/>
  <c r="N15" i="1"/>
  <c r="N12" i="1"/>
  <c r="N7" i="1"/>
  <c r="N5" i="1"/>
  <c r="N29" i="1"/>
  <c r="N28" i="1"/>
  <c r="N27" i="1"/>
  <c r="L101" i="1"/>
  <c r="N8" i="1" l="1"/>
  <c r="O7" i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N103" i="1"/>
  <c r="N107" i="1"/>
  <c r="N94" i="1"/>
  <c r="N26" i="1"/>
  <c r="G35" i="5" s="1"/>
  <c r="G37" i="5" s="1"/>
  <c r="N101" i="1"/>
  <c r="N97" i="1"/>
  <c r="O97" i="1" s="1"/>
  <c r="P97" i="1" s="1"/>
  <c r="Q97" i="1" s="1"/>
  <c r="R97" i="1" s="1"/>
  <c r="S97" i="1" s="1"/>
  <c r="N111" i="1"/>
  <c r="N69" i="1"/>
  <c r="N70" i="1" s="1"/>
  <c r="N58" i="1"/>
  <c r="N47" i="1"/>
  <c r="N40" i="1"/>
  <c r="N11" i="1"/>
  <c r="N6" i="1"/>
  <c r="N30" i="1" s="1"/>
  <c r="G41" i="5" s="1"/>
  <c r="G43" i="5" s="1"/>
  <c r="N86" i="1"/>
  <c r="N82" i="1" l="1"/>
  <c r="F21" i="5"/>
  <c r="F24" i="5" s="1"/>
  <c r="G47" i="5"/>
  <c r="G50" i="5" s="1"/>
  <c r="N55" i="1"/>
  <c r="K4" i="9"/>
  <c r="N50" i="1"/>
  <c r="N31" i="1"/>
  <c r="O26" i="4"/>
  <c r="N26" i="4"/>
  <c r="L111" i="1"/>
  <c r="K111" i="1"/>
  <c r="J111" i="1"/>
  <c r="I111" i="1"/>
  <c r="H111" i="1"/>
  <c r="G111" i="1"/>
  <c r="F111" i="1"/>
  <c r="N51" i="1" l="1"/>
  <c r="B21" i="16"/>
  <c r="C20" i="16"/>
  <c r="S66" i="1" s="1"/>
  <c r="S55" i="1" s="1"/>
  <c r="C19" i="16"/>
  <c r="R39" i="1" s="1"/>
  <c r="C18" i="16"/>
  <c r="R65" i="1" s="1"/>
  <c r="C17" i="16"/>
  <c r="B16" i="16"/>
  <c r="C16" i="16" s="1"/>
  <c r="C15" i="16"/>
  <c r="P38" i="1" s="1"/>
  <c r="B13" i="16"/>
  <c r="C13" i="16" s="1"/>
  <c r="V78" i="1" s="1"/>
  <c r="B10" i="16"/>
  <c r="C10" i="16" s="1"/>
  <c r="U80" i="1" s="1"/>
  <c r="C9" i="16"/>
  <c r="P91" i="1" s="1"/>
  <c r="C8" i="16"/>
  <c r="Q90" i="1" s="1"/>
  <c r="C7" i="16"/>
  <c r="O89" i="1" s="1"/>
  <c r="C14" i="16"/>
  <c r="C12" i="16"/>
  <c r="P64" i="1" s="1"/>
  <c r="C11" i="16"/>
  <c r="C6" i="16"/>
  <c r="C5" i="16"/>
  <c r="T79" i="1" s="1"/>
  <c r="C4" i="16"/>
  <c r="O37" i="1" s="1"/>
  <c r="P5" i="9" s="1"/>
  <c r="C3" i="16"/>
  <c r="O45" i="1" s="1"/>
  <c r="C2" i="16"/>
  <c r="R91" i="1"/>
  <c r="AD92" i="1"/>
  <c r="AC92" i="1"/>
  <c r="AI92" i="1"/>
  <c r="AJ92" i="1"/>
  <c r="AK92" i="1"/>
  <c r="W93" i="1"/>
  <c r="X93" i="1"/>
  <c r="Y93" i="1"/>
  <c r="Z93" i="1"/>
  <c r="P78" i="1" l="1"/>
  <c r="P89" i="1"/>
  <c r="O78" i="1"/>
  <c r="W78" i="1"/>
  <c r="W79" i="1"/>
  <c r="T66" i="1"/>
  <c r="X79" i="1"/>
  <c r="Q89" i="1"/>
  <c r="P63" i="1"/>
  <c r="O63" i="1"/>
  <c r="Q91" i="1"/>
  <c r="Q88" i="1" s="1"/>
  <c r="Z79" i="1"/>
  <c r="X78" i="1"/>
  <c r="V80" i="1"/>
  <c r="Y78" i="1"/>
  <c r="W80" i="1"/>
  <c r="Z78" i="1"/>
  <c r="X80" i="1"/>
  <c r="Y79" i="1"/>
  <c r="O79" i="1"/>
  <c r="Y80" i="1"/>
  <c r="R89" i="1"/>
  <c r="O65" i="1"/>
  <c r="P79" i="1"/>
  <c r="Z80" i="1"/>
  <c r="P65" i="1"/>
  <c r="Q79" i="1"/>
  <c r="Q65" i="1"/>
  <c r="U79" i="1"/>
  <c r="V79" i="1"/>
  <c r="Z81" i="1"/>
  <c r="Y81" i="1"/>
  <c r="X81" i="1"/>
  <c r="W81" i="1"/>
  <c r="V81" i="1"/>
  <c r="O81" i="1"/>
  <c r="U81" i="1"/>
  <c r="T81" i="1"/>
  <c r="S81" i="1"/>
  <c r="R81" i="1"/>
  <c r="Q81" i="1"/>
  <c r="P81" i="1"/>
  <c r="O64" i="1"/>
  <c r="U66" i="1"/>
  <c r="Q64" i="1"/>
  <c r="V66" i="1"/>
  <c r="O39" i="1"/>
  <c r="O66" i="1"/>
  <c r="P39" i="1"/>
  <c r="R90" i="1"/>
  <c r="Q39" i="1"/>
  <c r="O80" i="1"/>
  <c r="Q78" i="1"/>
  <c r="P80" i="1"/>
  <c r="O38" i="1"/>
  <c r="R78" i="1"/>
  <c r="Q80" i="1"/>
  <c r="O91" i="1"/>
  <c r="R66" i="1"/>
  <c r="S78" i="1"/>
  <c r="R80" i="1"/>
  <c r="O90" i="1"/>
  <c r="Q66" i="1"/>
  <c r="T78" i="1"/>
  <c r="R79" i="1"/>
  <c r="S80" i="1"/>
  <c r="P66" i="1"/>
  <c r="U78" i="1"/>
  <c r="S79" i="1"/>
  <c r="T80" i="1"/>
  <c r="P90" i="1"/>
  <c r="P88" i="1" s="1"/>
  <c r="W54" i="1"/>
  <c r="X54" i="1"/>
  <c r="Y54" i="1"/>
  <c r="Z54" i="1"/>
  <c r="Z94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V77" i="1" l="1"/>
  <c r="V72" i="1" s="1"/>
  <c r="O55" i="1"/>
  <c r="W77" i="1"/>
  <c r="W72" i="1" s="1"/>
  <c r="Y77" i="1"/>
  <c r="Y72" i="1" s="1"/>
  <c r="Z77" i="1"/>
  <c r="Z72" i="1" s="1"/>
  <c r="U77" i="1"/>
  <c r="U72" i="1" s="1"/>
  <c r="X77" i="1"/>
  <c r="X72" i="1" s="1"/>
  <c r="P77" i="1"/>
  <c r="P72" i="1" s="1"/>
  <c r="Q77" i="1"/>
  <c r="Q72" i="1" s="1"/>
  <c r="O77" i="1"/>
  <c r="O72" i="1" s="1"/>
  <c r="T77" i="1"/>
  <c r="T72" i="1" s="1"/>
  <c r="O88" i="1"/>
  <c r="R88" i="1"/>
  <c r="S77" i="1"/>
  <c r="S72" i="1" s="1"/>
  <c r="R77" i="1"/>
  <c r="R72" i="1" s="1"/>
  <c r="D28" i="15"/>
  <c r="C15" i="15" s="1"/>
  <c r="F5" i="15"/>
  <c r="E7" i="15"/>
  <c r="E9" i="15"/>
  <c r="D19" i="15"/>
  <c r="D18" i="15"/>
  <c r="D8" i="15"/>
  <c r="D9" i="15"/>
  <c r="H17" i="15"/>
  <c r="H18" i="15" l="1"/>
  <c r="G20" i="15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O106" i="1" l="1"/>
  <c r="P106" i="1" s="1"/>
  <c r="Q106" i="1" s="1"/>
  <c r="R106" i="1" s="1"/>
  <c r="S106" i="1" s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4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AA47" i="11" l="1"/>
  <c r="O47" i="11"/>
  <c r="P47" i="1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11" i="1"/>
  <c r="X111" i="1"/>
  <c r="W111" i="1"/>
  <c r="Y110" i="1"/>
  <c r="X110" i="1"/>
  <c r="W110" i="1"/>
  <c r="G103" i="1"/>
  <c r="H103" i="1"/>
  <c r="I103" i="1"/>
  <c r="J103" i="1"/>
  <c r="K103" i="1"/>
  <c r="L103" i="1"/>
  <c r="L107" i="1"/>
  <c r="K107" i="1"/>
  <c r="W112" i="1" l="1"/>
  <c r="X112" i="1"/>
  <c r="Y112" i="1"/>
  <c r="M5" i="15"/>
  <c r="L7" i="15"/>
  <c r="L9" i="15"/>
  <c r="N5" i="15" l="1"/>
  <c r="M7" i="15"/>
  <c r="M9" i="15"/>
  <c r="L58" i="1"/>
  <c r="O5" i="15" l="1"/>
  <c r="N9" i="15"/>
  <c r="N7" i="1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Z30" i="5" s="1"/>
  <c r="AA29" i="5"/>
  <c r="AL35" i="1"/>
  <c r="AK35" i="1"/>
  <c r="AJ35" i="1"/>
  <c r="AI35" i="1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R69" i="5"/>
  <c r="S69" i="5"/>
  <c r="T69" i="5"/>
  <c r="U69" i="5"/>
  <c r="V69" i="5"/>
  <c r="W69" i="5"/>
  <c r="X69" i="5"/>
  <c r="Y69" i="5"/>
  <c r="Z69" i="5"/>
  <c r="AA69" i="5"/>
  <c r="N62" i="5"/>
  <c r="O62" i="5"/>
  <c r="P62" i="5"/>
  <c r="Q62" i="5"/>
  <c r="Q63" i="5" s="1"/>
  <c r="R62" i="5"/>
  <c r="S62" i="5"/>
  <c r="T62" i="5"/>
  <c r="U62" i="5"/>
  <c r="V62" i="5"/>
  <c r="W62" i="5"/>
  <c r="X62" i="5"/>
  <c r="Y62" i="5"/>
  <c r="Z62" i="5"/>
  <c r="AA62" i="5"/>
  <c r="M62" i="5"/>
  <c r="H50" i="1"/>
  <c r="L55" i="5"/>
  <c r="M55" i="5"/>
  <c r="N55" i="5"/>
  <c r="O55" i="5"/>
  <c r="P55" i="5"/>
  <c r="Q55" i="5"/>
  <c r="R55" i="5"/>
  <c r="S55" i="5"/>
  <c r="T55" i="5"/>
  <c r="U55" i="5"/>
  <c r="V55" i="5"/>
  <c r="W55" i="5"/>
  <c r="W56" i="5" s="1"/>
  <c r="X55" i="5"/>
  <c r="Y55" i="5"/>
  <c r="Z55" i="5"/>
  <c r="AA55" i="5"/>
  <c r="U70" i="5" l="1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69" i="5"/>
  <c r="Q69" i="5"/>
  <c r="O35" i="1" l="1"/>
  <c r="P35" i="1" s="1"/>
  <c r="Q35" i="1" s="1"/>
  <c r="R35" i="1" s="1"/>
  <c r="L4" i="10"/>
  <c r="G38" i="11" s="1"/>
  <c r="G41" i="11" s="1"/>
  <c r="Q70" i="5"/>
  <c r="R70" i="5"/>
  <c r="O69" i="5"/>
  <c r="P57" i="1"/>
  <c r="P55" i="1" s="1"/>
  <c r="Q57" i="1"/>
  <c r="Q55" i="1" s="1"/>
  <c r="R57" i="1"/>
  <c r="R55" i="1" s="1"/>
  <c r="T57" i="1"/>
  <c r="U57" i="1"/>
  <c r="V57" i="1"/>
  <c r="T58" i="1"/>
  <c r="U58" i="1"/>
  <c r="V58" i="1"/>
  <c r="V55" i="1" l="1"/>
  <c r="T55" i="1"/>
  <c r="U55" i="1"/>
  <c r="M4" i="10"/>
  <c r="H38" i="11" s="1"/>
  <c r="H41" i="11" s="1"/>
  <c r="L29" i="5"/>
  <c r="M29" i="5"/>
  <c r="L62" i="5"/>
  <c r="M63" i="5" s="1"/>
  <c r="L69" i="5"/>
  <c r="M69" i="5"/>
  <c r="N69" i="5"/>
  <c r="T17" i="4"/>
  <c r="U17" i="4"/>
  <c r="V17" i="4"/>
  <c r="W17" i="4"/>
  <c r="N4" i="10" l="1"/>
  <c r="I38" i="11" s="1"/>
  <c r="I41" i="11" s="1"/>
  <c r="N30" i="5"/>
  <c r="M30" i="5"/>
  <c r="W18" i="4"/>
  <c r="V46" i="1" s="1"/>
  <c r="M12" i="9" s="1"/>
  <c r="V18" i="4"/>
  <c r="U46" i="1" s="1"/>
  <c r="M11" i="9" s="1"/>
  <c r="U18" i="4"/>
  <c r="T46" i="1" s="1"/>
  <c r="M10" i="9" s="1"/>
  <c r="T18" i="4"/>
  <c r="S46" i="1" s="1"/>
  <c r="M9" i="9" s="1"/>
  <c r="F29" i="4"/>
  <c r="V33" i="4"/>
  <c r="V26" i="4" s="1"/>
  <c r="U33" i="4"/>
  <c r="U26" i="4" s="1"/>
  <c r="T33" i="4"/>
  <c r="T26" i="4" s="1"/>
  <c r="S33" i="4"/>
  <c r="S37" i="4" s="1"/>
  <c r="V54" i="1"/>
  <c r="U54" i="1"/>
  <c r="T54" i="1"/>
  <c r="S54" i="1"/>
  <c r="L61" i="5" s="1"/>
  <c r="U40" i="1" l="1"/>
  <c r="K11" i="9" s="1"/>
  <c r="V40" i="1"/>
  <c r="K12" i="9" s="1"/>
  <c r="S40" i="1"/>
  <c r="K9" i="9" s="1"/>
  <c r="T40" i="1"/>
  <c r="K10" i="9" s="1"/>
  <c r="O4" i="10"/>
  <c r="J38" i="11" s="1"/>
  <c r="S26" i="4"/>
  <c r="M61" i="5"/>
  <c r="L64" i="5"/>
  <c r="L26" i="1"/>
  <c r="E35" i="5" s="1"/>
  <c r="K26" i="1"/>
  <c r="J26" i="1"/>
  <c r="I26" i="1"/>
  <c r="H26" i="1"/>
  <c r="G26" i="1"/>
  <c r="F26" i="1"/>
  <c r="L6" i="1"/>
  <c r="K6" i="1"/>
  <c r="J6" i="1"/>
  <c r="I6" i="1"/>
  <c r="H6" i="1"/>
  <c r="G6" i="1"/>
  <c r="L31" i="1"/>
  <c r="K31" i="1"/>
  <c r="J31" i="1"/>
  <c r="I31" i="1"/>
  <c r="H31" i="1"/>
  <c r="G31" i="1"/>
  <c r="F31" i="1"/>
  <c r="J41" i="11" l="1"/>
  <c r="K38" i="11"/>
  <c r="S35" i="1"/>
  <c r="P4" i="10"/>
  <c r="M64" i="5"/>
  <c r="N61" i="5"/>
  <c r="T35" i="1" l="1"/>
  <c r="Q4" i="10"/>
  <c r="L38" i="11"/>
  <c r="K41" i="11"/>
  <c r="N64" i="5"/>
  <c r="O61" i="5"/>
  <c r="M38" i="11" l="1"/>
  <c r="L41" i="11"/>
  <c r="U35" i="1"/>
  <c r="R4" i="10"/>
  <c r="P61" i="5"/>
  <c r="O64" i="5"/>
  <c r="V35" i="1" l="1"/>
  <c r="S4" i="10"/>
  <c r="N38" i="11"/>
  <c r="M41" i="11"/>
  <c r="Q61" i="5"/>
  <c r="P64" i="5"/>
  <c r="O38" i="11" l="1"/>
  <c r="N41" i="11"/>
  <c r="W35" i="1"/>
  <c r="W94" i="1" s="1"/>
  <c r="T4" i="10"/>
  <c r="Q64" i="5"/>
  <c r="R61" i="5"/>
  <c r="X35" i="1" l="1"/>
  <c r="X94" i="1" s="1"/>
  <c r="U4" i="10"/>
  <c r="P38" i="11"/>
  <c r="O41" i="11"/>
  <c r="S61" i="5"/>
  <c r="R64" i="5"/>
  <c r="Q38" i="11" l="1"/>
  <c r="P41" i="11"/>
  <c r="Y35" i="1"/>
  <c r="V4" i="10"/>
  <c r="T61" i="5"/>
  <c r="S64" i="5"/>
  <c r="W4" i="10" l="1"/>
  <c r="Y94" i="1"/>
  <c r="R38" i="11"/>
  <c r="Q41" i="11"/>
  <c r="T64" i="5"/>
  <c r="U61" i="5"/>
  <c r="S38" i="11" l="1"/>
  <c r="R41" i="11"/>
  <c r="V61" i="5"/>
  <c r="U64" i="5"/>
  <c r="T38" i="11" l="1"/>
  <c r="S41" i="11"/>
  <c r="W61" i="5"/>
  <c r="V64" i="5"/>
  <c r="AD15" i="1"/>
  <c r="U38" i="11" l="1"/>
  <c r="T41" i="11"/>
  <c r="X61" i="5"/>
  <c r="W64" i="5"/>
  <c r="AC21" i="1"/>
  <c r="AC18" i="1"/>
  <c r="AC15" i="1"/>
  <c r="AC12" i="1"/>
  <c r="L11" i="1"/>
  <c r="K11" i="1"/>
  <c r="J11" i="1"/>
  <c r="I11" i="1"/>
  <c r="H11" i="1"/>
  <c r="G11" i="1"/>
  <c r="F11" i="1"/>
  <c r="O15" i="1"/>
  <c r="P15" i="1" s="1"/>
  <c r="Q15" i="1" s="1"/>
  <c r="R15" i="1" s="1"/>
  <c r="S15" i="1" s="1"/>
  <c r="T15" i="1" s="1"/>
  <c r="U15" i="1" s="1"/>
  <c r="V15" i="1" s="1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7" i="1" l="1"/>
  <c r="K97" i="1"/>
  <c r="J97" i="1"/>
  <c r="I97" i="1"/>
  <c r="H97" i="1"/>
  <c r="G97" i="1"/>
  <c r="F97" i="1"/>
  <c r="G69" i="1"/>
  <c r="H69" i="1"/>
  <c r="I69" i="1"/>
  <c r="J69" i="1"/>
  <c r="K69" i="1"/>
  <c r="L69" i="1"/>
  <c r="L70" i="1" s="1"/>
  <c r="F69" i="1"/>
  <c r="J101" i="1"/>
  <c r="K101" i="1"/>
  <c r="F15" i="7" s="1"/>
  <c r="J15" i="7" s="1"/>
  <c r="J13" i="7" s="1"/>
  <c r="G101" i="1"/>
  <c r="H101" i="1"/>
  <c r="I101" i="1"/>
  <c r="F101" i="1"/>
  <c r="L82" i="1" l="1"/>
  <c r="E68" i="5" s="1"/>
  <c r="J2" i="9" s="1"/>
  <c r="H15" i="7"/>
  <c r="H13" i="7" s="1"/>
  <c r="AJ99" i="1" s="1"/>
  <c r="K15" i="7"/>
  <c r="K13" i="7" s="1"/>
  <c r="F13" i="7"/>
  <c r="G15" i="7"/>
  <c r="G13" i="7" s="1"/>
  <c r="AI99" i="1" s="1"/>
  <c r="I15" i="7"/>
  <c r="I13" i="7" s="1"/>
  <c r="AK99" i="1" s="1"/>
  <c r="K82" i="1"/>
  <c r="T106" i="1"/>
  <c r="U106" i="1" l="1"/>
  <c r="V106" i="1" s="1"/>
  <c r="O102" i="1"/>
  <c r="P102" i="1" s="1"/>
  <c r="Q102" i="1" s="1"/>
  <c r="R102" i="1" s="1"/>
  <c r="S102" i="1" s="1"/>
  <c r="T102" i="1" s="1"/>
  <c r="U102" i="1" s="1"/>
  <c r="V102" i="1" s="1"/>
  <c r="L15" i="7"/>
  <c r="L13" i="7" s="1"/>
  <c r="AD99" i="1"/>
  <c r="F110" i="1"/>
  <c r="F112" i="1" s="1"/>
  <c r="L47" i="1"/>
  <c r="L6" i="10" l="1"/>
  <c r="G24" i="11" s="1"/>
  <c r="G27" i="11" s="1"/>
  <c r="O99" i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O47" i="1"/>
  <c r="P47" i="1"/>
  <c r="Q47" i="1"/>
  <c r="R47" i="1"/>
  <c r="M6" i="10" l="1"/>
  <c r="H24" i="11" s="1"/>
  <c r="H27" i="11" s="1"/>
  <c r="O92" i="1"/>
  <c r="P99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O70" i="1" l="1"/>
  <c r="P70" i="1" s="1"/>
  <c r="N6" i="10"/>
  <c r="I24" i="11" s="1"/>
  <c r="I27" i="11" s="1"/>
  <c r="P92" i="1"/>
  <c r="F54" i="6"/>
  <c r="Q99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92" i="1"/>
  <c r="AE92" i="1" s="1"/>
  <c r="G54" i="6"/>
  <c r="F56" i="6"/>
  <c r="F58" i="6" s="1"/>
  <c r="R99" i="1"/>
  <c r="AE99" i="1"/>
  <c r="Q70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92" i="1"/>
  <c r="G56" i="6"/>
  <c r="G58" i="6" s="1"/>
  <c r="H54" i="6"/>
  <c r="S99" i="1"/>
  <c r="R70" i="1"/>
  <c r="S70" i="1" s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92" i="1"/>
  <c r="H56" i="6"/>
  <c r="H58" i="6" s="1"/>
  <c r="I54" i="6"/>
  <c r="T99" i="1"/>
  <c r="T70" i="1"/>
  <c r="S82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92" i="1"/>
  <c r="I56" i="6"/>
  <c r="I58" i="6" s="1"/>
  <c r="J54" i="6"/>
  <c r="U99" i="1"/>
  <c r="U70" i="1"/>
  <c r="T82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92" i="1"/>
  <c r="AF92" i="1" s="1"/>
  <c r="M27" i="11"/>
  <c r="K54" i="6"/>
  <c r="K56" i="6" s="1"/>
  <c r="K58" i="6" s="1"/>
  <c r="J56" i="6"/>
  <c r="J58" i="6" s="1"/>
  <c r="O24" i="11"/>
  <c r="N27" i="11"/>
  <c r="V99" i="1"/>
  <c r="AF99" i="1"/>
  <c r="V70" i="1"/>
  <c r="U82" i="1"/>
  <c r="N68" i="5" s="1"/>
  <c r="N71" i="5" s="1"/>
  <c r="O82" i="1"/>
  <c r="P82" i="1"/>
  <c r="Q82" i="1"/>
  <c r="R82" i="1"/>
  <c r="O54" i="1"/>
  <c r="P54" i="1"/>
  <c r="Q54" i="1"/>
  <c r="R54" i="1"/>
  <c r="E69" i="5"/>
  <c r="F69" i="5"/>
  <c r="F71" i="5" s="1"/>
  <c r="G69" i="5"/>
  <c r="H69" i="5"/>
  <c r="I69" i="5"/>
  <c r="J69" i="5"/>
  <c r="K69" i="5"/>
  <c r="D69" i="5"/>
  <c r="E62" i="5"/>
  <c r="F62" i="5"/>
  <c r="G62" i="5"/>
  <c r="H62" i="5"/>
  <c r="J62" i="5"/>
  <c r="K62" i="5"/>
  <c r="D62" i="5"/>
  <c r="E55" i="5"/>
  <c r="F55" i="5"/>
  <c r="G55" i="5"/>
  <c r="H55" i="5"/>
  <c r="I55" i="5"/>
  <c r="J55" i="5"/>
  <c r="K55" i="5"/>
  <c r="L56" i="5" s="1"/>
  <c r="P36" i="1"/>
  <c r="O36" i="1"/>
  <c r="T6" i="10" l="1"/>
  <c r="V92" i="1"/>
  <c r="V111" i="1" s="1"/>
  <c r="P24" i="11"/>
  <c r="O27" i="11"/>
  <c r="L49" i="5"/>
  <c r="V82" i="1"/>
  <c r="O68" i="5" s="1"/>
  <c r="O71" i="5" s="1"/>
  <c r="W70" i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W82" i="1" l="1"/>
  <c r="P68" i="5" s="1"/>
  <c r="P71" i="5" s="1"/>
  <c r="X70" i="1"/>
  <c r="H2" i="12" a="1"/>
  <c r="H12" i="12" s="1"/>
  <c r="Q24" i="11"/>
  <c r="P27" i="11"/>
  <c r="H3" i="9" a="1"/>
  <c r="X82" i="1" l="1"/>
  <c r="Y70" i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Z70" i="1" l="1"/>
  <c r="Z82" i="1" s="1"/>
  <c r="Y82" i="1"/>
  <c r="S24" i="11"/>
  <c r="R27" i="11"/>
  <c r="R71" i="5"/>
  <c r="T24" i="11" l="1"/>
  <c r="S27" i="11"/>
  <c r="T68" i="5"/>
  <c r="S71" i="5"/>
  <c r="G110" i="1"/>
  <c r="G112" i="1" s="1"/>
  <c r="H110" i="1"/>
  <c r="H112" i="1" s="1"/>
  <c r="I110" i="1"/>
  <c r="I112" i="1" s="1"/>
  <c r="J110" i="1"/>
  <c r="J112" i="1" s="1"/>
  <c r="K110" i="1"/>
  <c r="K112" i="1" s="1"/>
  <c r="U24" i="11" l="1"/>
  <c r="T27" i="11"/>
  <c r="U68" i="5"/>
  <c r="T71" i="5"/>
  <c r="AE47" i="1"/>
  <c r="AF47" i="1"/>
  <c r="X42" i="2"/>
  <c r="F47" i="2"/>
  <c r="X41" i="2"/>
  <c r="X40" i="2"/>
  <c r="X38" i="2"/>
  <c r="X37" i="2"/>
  <c r="X36" i="2"/>
  <c r="X35" i="2"/>
  <c r="X34" i="2"/>
  <c r="S43" i="1"/>
  <c r="T43" i="1"/>
  <c r="U43" i="1"/>
  <c r="L50" i="1"/>
  <c r="K50" i="1"/>
  <c r="J50" i="1"/>
  <c r="AD47" i="1"/>
  <c r="G48" i="2"/>
  <c r="AI47" i="1" s="1"/>
  <c r="AI52" i="1" s="1"/>
  <c r="AD36" i="1"/>
  <c r="S18" i="4"/>
  <c r="R46" i="1" s="1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31" i="4"/>
  <c r="F30" i="4"/>
  <c r="G30" i="4"/>
  <c r="H30" i="4"/>
  <c r="F31" i="4"/>
  <c r="G31" i="4"/>
  <c r="H31" i="4"/>
  <c r="H32" i="4" s="1"/>
  <c r="H33" i="4" s="1"/>
  <c r="K26" i="4"/>
  <c r="K34" i="4" s="1"/>
  <c r="L30" i="4"/>
  <c r="M30" i="4"/>
  <c r="N12" i="4" s="1"/>
  <c r="L29" i="4"/>
  <c r="M29" i="4"/>
  <c r="N11" i="4" s="1"/>
  <c r="L28" i="4"/>
  <c r="L37" i="4" s="1"/>
  <c r="L17" i="4" s="1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1" i="1"/>
  <c r="J93" i="1"/>
  <c r="K93" i="1"/>
  <c r="K51" i="1"/>
  <c r="V68" i="5"/>
  <c r="U71" i="5"/>
  <c r="G47" i="2"/>
  <c r="G32" i="4"/>
  <c r="G33" i="4" s="1"/>
  <c r="K38" i="4"/>
  <c r="K18" i="4" s="1"/>
  <c r="G49" i="2"/>
  <c r="G50" i="2" s="1"/>
  <c r="X43" i="2"/>
  <c r="AF46" i="1"/>
  <c r="Q18" i="4"/>
  <c r="P46" i="1" s="1"/>
  <c r="M6" i="9" s="1"/>
  <c r="S17" i="4"/>
  <c r="R43" i="1" s="1"/>
  <c r="L26" i="4"/>
  <c r="M26" i="4"/>
  <c r="M28" i="4"/>
  <c r="Q17" i="4" l="1"/>
  <c r="P43" i="1" s="1"/>
  <c r="P42" i="1" s="1"/>
  <c r="L6" i="9" s="1"/>
  <c r="W24" i="11"/>
  <c r="V27" i="11"/>
  <c r="R17" i="4"/>
  <c r="Q43" i="1" s="1"/>
  <c r="Q42" i="1" s="1"/>
  <c r="L7" i="9" s="1"/>
  <c r="P17" i="4"/>
  <c r="O43" i="1" s="1"/>
  <c r="O42" i="1" s="1"/>
  <c r="L5" i="9" s="1"/>
  <c r="O17" i="4"/>
  <c r="N43" i="1" s="1"/>
  <c r="W68" i="5"/>
  <c r="V71" i="5"/>
  <c r="R42" i="1"/>
  <c r="L8" i="9" s="1"/>
  <c r="M33" i="4"/>
  <c r="M37" i="4" s="1"/>
  <c r="AF43" i="1"/>
  <c r="L34" i="4"/>
  <c r="L38" i="4"/>
  <c r="L18" i="4" s="1"/>
  <c r="P18" i="4"/>
  <c r="O46" i="1" s="1"/>
  <c r="M5" i="9" s="1"/>
  <c r="O18" i="4"/>
  <c r="R18" i="4"/>
  <c r="Q46" i="1" s="1"/>
  <c r="M7" i="9" s="1"/>
  <c r="N42" i="1" l="1"/>
  <c r="L4" i="9" s="1"/>
  <c r="N93" i="1"/>
  <c r="N46" i="1"/>
  <c r="M17" i="4"/>
  <c r="L43" i="1" s="1"/>
  <c r="L42" i="1" s="1"/>
  <c r="L2" i="9" s="1"/>
  <c r="P40" i="1"/>
  <c r="K6" i="9" s="1"/>
  <c r="Q40" i="1"/>
  <c r="K7" i="9" s="1"/>
  <c r="AE43" i="1"/>
  <c r="X24" i="11"/>
  <c r="W27" i="11"/>
  <c r="R40" i="1"/>
  <c r="K8" i="9" s="1"/>
  <c r="O40" i="1"/>
  <c r="K5" i="9" s="1"/>
  <c r="M34" i="4"/>
  <c r="X68" i="5"/>
  <c r="W71" i="5"/>
  <c r="N33" i="4"/>
  <c r="N10" i="4"/>
  <c r="M38" i="4"/>
  <c r="M18" i="4" s="1"/>
  <c r="L46" i="1" s="1"/>
  <c r="M2" i="9" s="1"/>
  <c r="K20" i="3"/>
  <c r="L20" i="3"/>
  <c r="M20" i="3"/>
  <c r="N20" i="3"/>
  <c r="O20" i="3"/>
  <c r="P20" i="3"/>
  <c r="Q20" i="3"/>
  <c r="R20" i="3"/>
  <c r="J20" i="3"/>
  <c r="I20" i="3"/>
  <c r="H20" i="3"/>
  <c r="AK18" i="1" s="1"/>
  <c r="G20" i="3"/>
  <c r="AJ18" i="1" s="1"/>
  <c r="F20" i="3"/>
  <c r="AI18" i="1" s="1"/>
  <c r="G21" i="3"/>
  <c r="AJ21" i="1" s="1"/>
  <c r="H21" i="3"/>
  <c r="AK21" i="1" s="1"/>
  <c r="I21" i="3"/>
  <c r="J21" i="3"/>
  <c r="K21" i="3"/>
  <c r="L21" i="3"/>
  <c r="M21" i="3"/>
  <c r="N21" i="3"/>
  <c r="O21" i="3"/>
  <c r="P21" i="3"/>
  <c r="Q21" i="3"/>
  <c r="R21" i="3"/>
  <c r="F21" i="3"/>
  <c r="AI21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AD12" i="1" s="1"/>
  <c r="G50" i="1"/>
  <c r="H93" i="1"/>
  <c r="I50" i="1"/>
  <c r="F50" i="1"/>
  <c r="AC40" i="1"/>
  <c r="I47" i="2"/>
  <c r="H47" i="2"/>
  <c r="F24" i="2"/>
  <c r="M4" i="9" l="1"/>
  <c r="N110" i="1"/>
  <c r="AF40" i="1"/>
  <c r="AE46" i="1"/>
  <c r="N37" i="4"/>
  <c r="N38" i="4" s="1"/>
  <c r="N18" i="4" s="1"/>
  <c r="L93" i="1"/>
  <c r="E54" i="5" s="1"/>
  <c r="L40" i="1"/>
  <c r="K2" i="9" s="1"/>
  <c r="Y24" i="11"/>
  <c r="X27" i="11"/>
  <c r="F93" i="1"/>
  <c r="G93" i="1"/>
  <c r="G51" i="1"/>
  <c r="H51" i="1"/>
  <c r="I93" i="1"/>
  <c r="I51" i="1"/>
  <c r="J51" i="1"/>
  <c r="Y68" i="5"/>
  <c r="X71" i="5"/>
  <c r="O18" i="1"/>
  <c r="P18" i="1" s="1"/>
  <c r="Q18" i="1" s="1"/>
  <c r="R18" i="1" s="1"/>
  <c r="S18" i="1" s="1"/>
  <c r="T18" i="1" s="1"/>
  <c r="U18" i="1" s="1"/>
  <c r="V18" i="1" s="1"/>
  <c r="AD18" i="1"/>
  <c r="N34" i="4"/>
  <c r="N35" i="4" s="1"/>
  <c r="AD46" i="1"/>
  <c r="L110" i="1"/>
  <c r="L112" i="1" s="1"/>
  <c r="E28" i="5" s="1"/>
  <c r="AE40" i="1"/>
  <c r="H49" i="2"/>
  <c r="H50" i="2" s="1"/>
  <c r="I49" i="2"/>
  <c r="I50" i="2" s="1"/>
  <c r="N112" i="1" l="1"/>
  <c r="N17" i="4"/>
  <c r="Z24" i="11"/>
  <c r="Y27" i="11"/>
  <c r="AD40" i="1"/>
  <c r="Z68" i="5"/>
  <c r="Y71" i="5"/>
  <c r="AE15" i="1"/>
  <c r="AF18" i="1"/>
  <c r="AE18" i="1"/>
  <c r="AC68" i="1"/>
  <c r="AC54" i="1"/>
  <c r="AC35" i="1"/>
  <c r="AC34" i="1"/>
  <c r="AG21" i="1"/>
  <c r="AG18" i="1"/>
  <c r="AG15" i="1"/>
  <c r="AG12" i="1"/>
  <c r="G28" i="5" l="1"/>
  <c r="G31" i="5" s="1"/>
  <c r="AD43" i="1"/>
  <c r="AA24" i="11"/>
  <c r="AA27" i="11" s="1"/>
  <c r="Z27" i="11"/>
  <c r="AJ32" i="1"/>
  <c r="AJ33" i="1" s="1"/>
  <c r="AI32" i="1"/>
  <c r="AI33" i="1" s="1"/>
  <c r="AI34" i="1"/>
  <c r="AK32" i="1"/>
  <c r="AA68" i="5"/>
  <c r="AA71" i="5" s="1"/>
  <c r="Z71" i="5"/>
  <c r="AJ34" i="1"/>
  <c r="AJ50" i="1" s="1"/>
  <c r="AK34" i="1"/>
  <c r="AK50" i="1" s="1"/>
  <c r="AF15" i="1"/>
  <c r="B2" i="12" l="1" a="1"/>
  <c r="B2" i="12" s="1"/>
  <c r="AD21" i="1"/>
  <c r="AI50" i="1"/>
  <c r="AD35" i="1"/>
  <c r="AD52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94" i="1"/>
  <c r="AC50" i="1"/>
  <c r="O21" i="1"/>
  <c r="AD50" i="1"/>
  <c r="AO50" i="1" s="1"/>
  <c r="AE35" i="1"/>
  <c r="F54" i="5" l="1"/>
  <c r="F57" i="5" s="1"/>
  <c r="AN50" i="1"/>
  <c r="P21" i="1"/>
  <c r="O12" i="1"/>
  <c r="AF35" i="1"/>
  <c r="Q21" i="1" l="1"/>
  <c r="AE21" i="1" s="1"/>
  <c r="P12" i="1"/>
  <c r="O11" i="1"/>
  <c r="R21" i="1" l="1"/>
  <c r="Q12" i="1"/>
  <c r="AE12" i="1" s="1"/>
  <c r="P11" i="1"/>
  <c r="S21" i="1" l="1"/>
  <c r="R12" i="1"/>
  <c r="Q11" i="1"/>
  <c r="T21" i="1" l="1"/>
  <c r="S12" i="1"/>
  <c r="R11" i="1"/>
  <c r="U21" i="1" l="1"/>
  <c r="T12" i="1"/>
  <c r="S11" i="1"/>
  <c r="V21" i="1" l="1"/>
  <c r="AF21" i="1"/>
  <c r="U12" i="1"/>
  <c r="T11" i="1"/>
  <c r="U11" i="1" l="1"/>
  <c r="V12" i="1"/>
  <c r="V11" i="1" s="1"/>
  <c r="AF12" i="1"/>
  <c r="G68" i="5" l="1"/>
  <c r="G71" i="5" l="1"/>
  <c r="J4" i="9"/>
  <c r="O111" i="1"/>
  <c r="G21" i="5" s="1"/>
  <c r="G24" i="5" s="1"/>
  <c r="H68" i="5"/>
  <c r="H71" i="5" s="1"/>
  <c r="O94" i="1"/>
  <c r="H47" i="5" s="1"/>
  <c r="H50" i="5" s="1"/>
  <c r="I68" i="5" l="1"/>
  <c r="I71" i="5" s="1"/>
  <c r="P111" i="1"/>
  <c r="H21" i="5" s="1"/>
  <c r="H24" i="5" s="1"/>
  <c r="P94" i="1"/>
  <c r="I47" i="5" s="1"/>
  <c r="I50" i="5" s="1"/>
  <c r="J68" i="5" l="1"/>
  <c r="J71" i="5" s="1"/>
  <c r="Q111" i="1"/>
  <c r="I21" i="5" s="1"/>
  <c r="I24" i="5" s="1"/>
  <c r="Q94" i="1"/>
  <c r="J47" i="5" s="1"/>
  <c r="K47" i="5" l="1"/>
  <c r="K50" i="5" s="1"/>
  <c r="J50" i="5"/>
  <c r="K68" i="5"/>
  <c r="K71" i="5" s="1"/>
  <c r="R94" i="1"/>
  <c r="R111" i="1"/>
  <c r="J21" i="5" s="1"/>
  <c r="J24" i="5" s="1"/>
  <c r="L47" i="5" l="1"/>
  <c r="M47" i="5" s="1"/>
  <c r="N47" i="5" s="1"/>
  <c r="O47" i="5" s="1"/>
  <c r="P47" i="5" s="1"/>
  <c r="I3" i="9" a="1"/>
  <c r="I5" i="9" s="1"/>
  <c r="I2" i="12" a="1"/>
  <c r="S111" i="1"/>
  <c r="K21" i="5" s="1"/>
  <c r="K24" i="5" s="1"/>
  <c r="S94" i="1"/>
  <c r="O50" i="5" l="1"/>
  <c r="L50" i="5"/>
  <c r="I16" i="9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T111" i="1"/>
  <c r="L21" i="5" s="1"/>
  <c r="L24" i="5" s="1"/>
  <c r="T94" i="1"/>
  <c r="M50" i="5" s="1"/>
  <c r="R47" i="5" l="1"/>
  <c r="Q50" i="5"/>
  <c r="U94" i="1"/>
  <c r="N50" i="5" s="1"/>
  <c r="U111" i="1"/>
  <c r="M21" i="5" s="1"/>
  <c r="M24" i="5" l="1"/>
  <c r="N21" i="5"/>
  <c r="S47" i="5"/>
  <c r="R50" i="5"/>
  <c r="O96" i="1" l="1"/>
  <c r="O21" i="5"/>
  <c r="N24" i="5"/>
  <c r="S50" i="5"/>
  <c r="T47" i="5"/>
  <c r="O110" i="1" l="1"/>
  <c r="M5" i="10"/>
  <c r="H31" i="11" s="1"/>
  <c r="H34" i="11" s="1"/>
  <c r="L5" i="10"/>
  <c r="G31" i="11" s="1"/>
  <c r="G34" i="11" s="1"/>
  <c r="O24" i="5"/>
  <c r="P21" i="5"/>
  <c r="T50" i="5"/>
  <c r="U47" i="5"/>
  <c r="P96" i="1"/>
  <c r="O112" i="1" l="1"/>
  <c r="H28" i="5" s="1"/>
  <c r="H31" i="5" s="1"/>
  <c r="P110" i="1"/>
  <c r="N5" i="10"/>
  <c r="I31" i="11" s="1"/>
  <c r="I34" i="11" s="1"/>
  <c r="Q21" i="5"/>
  <c r="P24" i="5"/>
  <c r="U50" i="5"/>
  <c r="V47" i="5"/>
  <c r="Q96" i="1"/>
  <c r="P112" i="1" l="1"/>
  <c r="I28" i="5" s="1"/>
  <c r="I31" i="5" s="1"/>
  <c r="Q110" i="1"/>
  <c r="O5" i="10"/>
  <c r="J31" i="11" s="1"/>
  <c r="J34" i="11" s="1"/>
  <c r="R21" i="5"/>
  <c r="Q24" i="5"/>
  <c r="W47" i="5"/>
  <c r="V50" i="5"/>
  <c r="R96" i="1"/>
  <c r="Q112" i="1" l="1"/>
  <c r="J28" i="5" s="1"/>
  <c r="J31" i="5" s="1"/>
  <c r="R110" i="1"/>
  <c r="P5" i="10"/>
  <c r="K31" i="11" s="1"/>
  <c r="K34" i="11" s="1"/>
  <c r="R24" i="5"/>
  <c r="S21" i="5"/>
  <c r="X47" i="5"/>
  <c r="W50" i="5"/>
  <c r="S96" i="1"/>
  <c r="T97" i="1"/>
  <c r="R112" i="1" l="1"/>
  <c r="K28" i="5" s="1"/>
  <c r="K31" i="5" s="1"/>
  <c r="S110" i="1"/>
  <c r="Q5" i="10"/>
  <c r="L31" i="11" s="1"/>
  <c r="S24" i="5"/>
  <c r="T21" i="5"/>
  <c r="Y47" i="5"/>
  <c r="X50" i="5"/>
  <c r="T96" i="1"/>
  <c r="U97" i="1"/>
  <c r="S112" i="1" l="1"/>
  <c r="L28" i="5" s="1"/>
  <c r="L34" i="11"/>
  <c r="M31" i="11"/>
  <c r="T110" i="1"/>
  <c r="T112" i="1" s="1"/>
  <c r="R5" i="10"/>
  <c r="U96" i="1"/>
  <c r="V97" i="1"/>
  <c r="V96" i="1" s="1"/>
  <c r="T24" i="5"/>
  <c r="U21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V110" i="1"/>
  <c r="V112" i="1" s="1"/>
  <c r="T5" i="10"/>
  <c r="U110" i="1"/>
  <c r="U112" i="1" s="1"/>
  <c r="S5" i="10"/>
  <c r="U24" i="5"/>
  <c r="V21" i="5"/>
  <c r="AA47" i="5"/>
  <c r="AA50" i="5" s="1"/>
  <c r="Z50" i="5"/>
  <c r="M31" i="5" l="1"/>
  <c r="N31" i="5"/>
  <c r="O31" i="5"/>
  <c r="O31" i="11"/>
  <c r="N34" i="11"/>
  <c r="W21" i="5"/>
  <c r="V24" i="5"/>
  <c r="P31" i="5"/>
  <c r="F3" i="9" a="1"/>
  <c r="O34" i="11" l="1"/>
  <c r="P31" i="11"/>
  <c r="W24" i="5"/>
  <c r="X21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Y21" i="5"/>
  <c r="R31" i="5"/>
  <c r="Q34" i="11" l="1"/>
  <c r="R31" i="11"/>
  <c r="Z21" i="5"/>
  <c r="Y24" i="5"/>
  <c r="S31" i="5"/>
  <c r="R34" i="11" l="1"/>
  <c r="S31" i="11"/>
  <c r="AA21" i="5"/>
  <c r="AA24" i="5" s="1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G54" i="5" l="1"/>
  <c r="G57" i="5" s="1"/>
  <c r="O50" i="1"/>
  <c r="O34" i="1" s="1"/>
  <c r="M3" i="10" s="1"/>
  <c r="H45" i="11" s="1"/>
  <c r="H48" i="11" s="1"/>
  <c r="P50" i="1" l="1"/>
  <c r="O93" i="1"/>
  <c r="H54" i="5" s="1"/>
  <c r="H57" i="5" s="1"/>
  <c r="L3" i="10"/>
  <c r="G45" i="11" s="1"/>
  <c r="G48" i="11" s="1"/>
  <c r="Q50" i="1" l="1"/>
  <c r="P34" i="1"/>
  <c r="N3" i="10" s="1"/>
  <c r="I45" i="11" s="1"/>
  <c r="I48" i="11" s="1"/>
  <c r="P93" i="1"/>
  <c r="I54" i="5" s="1"/>
  <c r="I57" i="5" s="1"/>
  <c r="Q34" i="1" l="1"/>
  <c r="O3" i="10" s="1"/>
  <c r="J45" i="11" s="1"/>
  <c r="J48" i="11" s="1"/>
  <c r="Q93" i="1"/>
  <c r="J54" i="5" s="1"/>
  <c r="J57" i="5" s="1"/>
  <c r="R50" i="1"/>
  <c r="AE50" i="1"/>
  <c r="R93" i="1" l="1"/>
  <c r="K54" i="5" s="1"/>
  <c r="S50" i="1"/>
  <c r="R34" i="1"/>
  <c r="P3" i="10" s="1"/>
  <c r="K45" i="11" s="1"/>
  <c r="K48" i="11" l="1"/>
  <c r="L45" i="11"/>
  <c r="S93" i="1"/>
  <c r="S34" i="1"/>
  <c r="Q3" i="10" s="1"/>
  <c r="T50" i="1"/>
  <c r="K57" i="5"/>
  <c r="L54" i="5"/>
  <c r="M54" i="5" l="1"/>
  <c r="L57" i="5"/>
  <c r="T93" i="1"/>
  <c r="T34" i="1"/>
  <c r="R3" i="10" s="1"/>
  <c r="U50" i="1"/>
  <c r="AF50" i="1" s="1"/>
  <c r="M45" i="11"/>
  <c r="L48" i="11"/>
  <c r="M48" i="11" l="1"/>
  <c r="N45" i="11"/>
  <c r="V50" i="1"/>
  <c r="V93" i="1" s="1"/>
  <c r="U34" i="1"/>
  <c r="S3" i="10" s="1"/>
  <c r="U93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  <c r="O29" i="1" l="1"/>
  <c r="P29" i="1" s="1"/>
  <c r="Q29" i="1" s="1"/>
  <c r="R29" i="1" s="1"/>
  <c r="S29" i="1" s="1"/>
  <c r="T29" i="1" s="1"/>
  <c r="U29" i="1" s="1"/>
  <c r="V29" i="1" s="1"/>
  <c r="O28" i="1"/>
  <c r="O30" i="1"/>
  <c r="H41" i="5" s="1"/>
  <c r="H43" i="5" s="1"/>
  <c r="O5" i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O27" i="1"/>
  <c r="P27" i="1" s="1"/>
  <c r="O26" i="1" l="1"/>
  <c r="H35" i="5" s="1"/>
  <c r="H37" i="5" s="1"/>
  <c r="Q27" i="1"/>
  <c r="P30" i="1"/>
  <c r="P28" i="1"/>
  <c r="Q28" i="1" s="1"/>
  <c r="R28" i="1" s="1"/>
  <c r="S28" i="1" s="1"/>
  <c r="T28" i="1" s="1"/>
  <c r="U28" i="1" s="1"/>
  <c r="V28" i="1" s="1"/>
  <c r="I41" i="5" l="1"/>
  <c r="I43" i="5" s="1"/>
  <c r="Q30" i="1"/>
  <c r="P26" i="1"/>
  <c r="I35" i="5" s="1"/>
  <c r="I37" i="5" s="1"/>
  <c r="Q26" i="1"/>
  <c r="J35" i="5" s="1"/>
  <c r="J37" i="5" s="1"/>
  <c r="R27" i="1"/>
  <c r="S27" i="1" l="1"/>
  <c r="R26" i="1"/>
  <c r="K35" i="5" s="1"/>
  <c r="K37" i="5" s="1"/>
  <c r="D2" i="12" s="1" a="1"/>
  <c r="J41" i="5"/>
  <c r="J43" i="5" s="1"/>
  <c r="R30" i="1"/>
  <c r="D9" i="12" l="1"/>
  <c r="D11" i="12"/>
  <c r="D18" i="12"/>
  <c r="D21" i="12"/>
  <c r="D22" i="12"/>
  <c r="D23" i="12"/>
  <c r="D3" i="12"/>
  <c r="D16" i="12"/>
  <c r="D8" i="12"/>
  <c r="D10" i="12"/>
  <c r="D17" i="12"/>
  <c r="D19" i="12"/>
  <c r="D13" i="12"/>
  <c r="D2" i="12"/>
  <c r="D20" i="12"/>
  <c r="D12" i="12"/>
  <c r="D15" i="12"/>
  <c r="D14" i="12"/>
  <c r="D4" i="12"/>
  <c r="D6" i="12"/>
  <c r="D5" i="12"/>
  <c r="D3" i="9" a="1"/>
  <c r="D8" i="9" s="1"/>
  <c r="E2" i="12" a="1"/>
  <c r="S30" i="1"/>
  <c r="T30" i="1" s="1"/>
  <c r="U30" i="1" s="1"/>
  <c r="V30" i="1" s="1"/>
  <c r="K41" i="5"/>
  <c r="K43" i="5" s="1"/>
  <c r="E3" i="9" s="1" a="1"/>
  <c r="D7" i="12"/>
  <c r="S26" i="1"/>
  <c r="T27" i="1"/>
  <c r="E14" i="9" l="1"/>
  <c r="E3" i="9"/>
  <c r="E18" i="9"/>
  <c r="E23" i="9"/>
  <c r="E11" i="9"/>
  <c r="E24" i="9"/>
  <c r="E10" i="9"/>
  <c r="E9" i="9"/>
  <c r="E22" i="9"/>
  <c r="E13" i="9"/>
  <c r="E12" i="9"/>
  <c r="E21" i="9"/>
  <c r="E20" i="9"/>
  <c r="E17" i="9"/>
  <c r="E19" i="9"/>
  <c r="E15" i="9"/>
  <c r="E16" i="9"/>
  <c r="E4" i="9"/>
  <c r="E5" i="9"/>
  <c r="E6" i="9"/>
  <c r="E7" i="9"/>
  <c r="E15" i="12"/>
  <c r="E16" i="12"/>
  <c r="E21" i="12"/>
  <c r="E19" i="12"/>
  <c r="E11" i="12"/>
  <c r="E8" i="12"/>
  <c r="E20" i="12"/>
  <c r="E17" i="12"/>
  <c r="E14" i="12"/>
  <c r="E23" i="12"/>
  <c r="E12" i="12"/>
  <c r="E13" i="12"/>
  <c r="E2" i="12"/>
  <c r="E3" i="12"/>
  <c r="E10" i="12"/>
  <c r="E22" i="12"/>
  <c r="E18" i="12"/>
  <c r="E9" i="12"/>
  <c r="E4" i="12"/>
  <c r="E5" i="12"/>
  <c r="D13" i="9"/>
  <c r="D12" i="9"/>
  <c r="D23" i="9"/>
  <c r="D19" i="9"/>
  <c r="D10" i="9"/>
  <c r="D4" i="9"/>
  <c r="D21" i="9"/>
  <c r="D24" i="9"/>
  <c r="D9" i="9"/>
  <c r="D17" i="9"/>
  <c r="D16" i="9"/>
  <c r="D11" i="9"/>
  <c r="D20" i="9"/>
  <c r="D3" i="9"/>
  <c r="D18" i="9"/>
  <c r="D22" i="9"/>
  <c r="D14" i="9"/>
  <c r="D15" i="9"/>
  <c r="D5" i="9"/>
  <c r="D6" i="9"/>
  <c r="D7" i="9"/>
  <c r="E6" i="12"/>
  <c r="U27" i="1"/>
  <c r="T26" i="1"/>
  <c r="E7" i="12"/>
  <c r="E8" i="9"/>
  <c r="V27" i="1" l="1"/>
  <c r="V26" i="1" s="1"/>
  <c r="U2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tc={D84F0053-F219-4B69-8181-0F12AE7D3FC2}</author>
    <author>tc={3B711313-D2C6-42FC-83C8-BA827015079B}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5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8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7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8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9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30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4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5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5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7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38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8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9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9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9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9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40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40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5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4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63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4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70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5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8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79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80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81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2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7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99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O109" authorId="20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09" authorId="21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<sst xmlns="http://schemas.openxmlformats.org/spreadsheetml/2006/main" count="1013" uniqueCount="382">
  <si>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</si>
  <si>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</si>
  <si>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</si>
  <si>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</si>
  <si>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</si>
  <si>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</si>
  <si>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</si>
  <si>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</si>
  <si>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</si>
  <si>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</si>
  <si>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</si>
  <si>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</si>
  <si>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</si>
  <si>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</si>
  <si>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</si>
  <si>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</si>
  <si>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</si>
  <si>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</si>
  <si>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</si>
  <si>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</si>
  <si>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</si>
  <si>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</si>
  <si>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</si>
  <si>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</si>
  <si>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</si>
  <si>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</si>
  <si>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</si>
  <si>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</si>
  <si>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</si>
  <si>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</si>
  <si>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</si>
  <si>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</si>
  <si>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</si>
  <si>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</si>
  <si>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</si>
  <si>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</si>
  <si>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</si>
  <si>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</si>
  <si>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</si>
  <si>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</si>
  <si>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</si>
  <si>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</si>
  <si>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</si>
  <si>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</si>
  <si>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</si>
  <si>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</si>
  <si>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</si>
  <si>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</si>
  <si>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</si>
  <si>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</si>
  <si>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</si>
  <si>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</si>
  <si>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</si>
  <si>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</si>
  <si>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</si>
  <si>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</si>
  <si>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</si>
  <si>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</si>
  <si>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</si>
  <si>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</si>
  <si>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</si>
  <si>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</si>
  <si>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</si>
  <si>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</si>
  <si>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</si>
  <si>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</si>
  <si>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</si>
  <si>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</si>
  <si>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</si>
  <si>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</si>
  <si>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</si>
  <si>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</si>
  <si>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</si>
  <si>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</si>
  <si>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</si>
  <si>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</si>
  <si>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</si>
  <si>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</si>
  <si>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</si>
  <si>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</si>
  <si>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</si>
  <si>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</si>
  <si>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</si>
  <si>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</si>
  <si>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</si>
  <si>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</si>
  <si>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</si>
  <si>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</si>
  <si>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</si>
  <si>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</si>
  <si>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</si>
  <si>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</si>
  <si>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</si>
  <si>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</si>
  <si>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</si>
  <si>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</si>
  <si>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</si>
  <si>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</si>
  <si>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</si>
  <si>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</si>
  <si>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</si>
  <si>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</si>
  <si>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</si>
  <si>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</si>
  <si>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</si>
  <si>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</si>
  <si>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</si>
  <si>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</si>
  <si>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</si>
  <si>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</si>
  <si>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</si>
  <si>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</si>
  <si>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</si>
  <si>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</si>
  <si>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</si>
  <si>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</si>
  <si>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</si>
  <si>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</si>
  <si>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</si>
  <si>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</si>
  <si>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</si>
  <si>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</si>
  <si>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</si>
  <si>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</si>
  <si>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</si>
  <si>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</si>
  <si>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</si>
  <si>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</si>
  <si>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</si>
  <si>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</si>
  <si>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</si>
  <si>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</si>
  <si>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</si>
  <si>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</si>
  <si>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</si>
  <si>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</si>
  <si>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</si>
  <si>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</si>
  <si>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</si>
  <si>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</si>
  <si>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</si>
  <si>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</si>
  <si>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</si>
  <si>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</si>
  <si>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</si>
  <si>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</si>
  <si>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</si>
  <si>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</si>
  <si>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</si>
  <si>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</si>
  <si>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</si>
  <si>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</si>
  <si>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</si>
  <si>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</si>
  <si>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</si>
  <si>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</si>
  <si>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</si>
  <si>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</si>
  <si>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</si>
  <si>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</si>
  <si>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</si>
  <si>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</si>
  <si>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</si>
  <si>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</si>
  <si>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</si>
  <si>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</si>
  <si>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</si>
  <si>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</si>
  <si>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</si>
  <si>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</si>
  <si>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</si>
  <si>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</si>
  <si>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</si>
  <si>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</si>
  <si>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</si>
  <si>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</si>
  <si>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</si>
  <si>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</si>
  <si>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</si>
  <si>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</si>
  <si>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</si>
  <si>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</si>
  <si>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</si>
  <si>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</si>
  <si>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</si>
  <si>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</si>
  <si>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</si>
  <si>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</si>
  <si>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</si>
  <si>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</si>
  <si>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</si>
  <si>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</si>
  <si>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</si>
  <si>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</si>
  <si>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</si>
  <si>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</si>
  <si>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</si>
  <si>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</si>
  <si>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</si>
  <si>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</si>
  <si>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</si>
  <si>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</si>
  <si>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</si>
  <si>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</si>
  <si>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</si>
  <si>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</si>
  <si>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</si>
  <si>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</si>
  <si>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</si>
  <si>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</si>
  <si>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</si>
  <si>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</si>
  <si>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</si>
  <si>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</si>
  <si>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</si>
  <si>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</si>
  <si>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</si>
  <si>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</si>
  <si>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</si>
  <si>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</si>
  <si>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</si>
  <si>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</si>
  <si>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</si>
  <si>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</si>
  <si>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</si>
  <si>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</si>
  <si>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</si>
  <si>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</si>
  <si>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</si>
  <si>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</si>
  <si>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</si>
  <si>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</si>
  <si>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</si>
  <si>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</si>
  <si>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</si>
  <si>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</si>
  <si>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</si>
  <si>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</si>
  <si>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</si>
  <si>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</si>
  <si>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</si>
  <si>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</si>
  <si>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</si>
  <si>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</si>
  <si>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</si>
  <si>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</si>
  <si>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</si>
  <si>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</si>
  <si>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</si>
  <si>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</si>
  <si>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</si>
  <si>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</si>
  <si>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</si>
  <si>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</si>
  <si>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</si>
  <si>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</si>
  <si>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</si>
  <si>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</si>
  <si>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</si>
  <si>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</si>
  <si>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</si>
  <si>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</si>
  <si>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</si>
  <si>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</si>
  <si>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</si>
  <si>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</si>
  <si>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</si>
  <si>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</si>
  <si>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</si>
  <si>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</si>
  <si>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</si>
  <si>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</si>
  <si>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</si>
  <si>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</si>
  <si>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</si>
  <si>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</si>
  <si>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</si>
  <si>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</si>
  <si>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</si>
  <si>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</si>
  <si>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</si>
  <si>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</si>
  <si>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</si>
  <si>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</si>
  <si>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</si>
  <si>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</si>
  <si>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</si>
  <si>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</si>
  <si>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</si>
  <si>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</si>
  <si>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</si>
  <si>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</si>
  <si>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</si>
  <si>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</si>
  <si>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</si>
  <si>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</si>
  <si>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</si>
  <si>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</si>
  <si>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</si>
  <si>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</si>
  <si>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</si>
  <si>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</si>
  <si>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</si>
  <si>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</si>
  <si>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</si>
  <si>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</si>
  <si>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</si>
  <si>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</si>
  <si>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</si>
  <si>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</si>
  <si>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</si>
  <si>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</si>
  <si>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</si>
  <si>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</si>
  <si>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</si>
  <si>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</si>
  <si>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</si>
  <si>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</si>
  <si>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</si>
  <si>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</si>
  <si>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</si>
  <si>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</si>
  <si>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</si>
  <si>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</si>
  <si>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</si>
  <si>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</si>
  <si>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</si>
  <si>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</si>
  <si>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</si>
  <si>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</si>
  <si>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</si>
  <si>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</si>
  <si>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</si>
  <si>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</si>
  <si>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</si>
  <si>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</si>
  <si>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</si>
  <si>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</si>
  <si>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</si>
  <si>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</si>
  <si>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</si>
  <si>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</si>
  <si>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</si>
  <si>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</si>
  <si>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</si>
  <si>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</si>
  <si>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</si>
  <si>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</si>
  <si>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</si>
  <si>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</si>
  <si>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</si>
  <si>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</si>
  <si>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</si>
  <si>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</si>
  <si>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</si>
  <si>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</si>
  <si>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</si>
  <si>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</si>
  <si>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</si>
  <si>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</si>
  <si>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</si>
  <si>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</si>
  <si>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</si>
  <si>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</si>
  <si>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</si>
  <si>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</si>
  <si>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</si>
  <si>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</si>
  <si>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</si>
  <si>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</si>
  <si>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</si>
  <si>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</si>
  <si>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</si>
  <si>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</si>
  <si>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</si>
  <si>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2020-12-31</t>
  </si>
  <si>
    <t>Before</t>
  </si>
  <si>
    <t>code growth rate</t>
  </si>
  <si>
    <t>gfegc</t>
  </si>
  <si>
    <t>gfege</t>
  </si>
  <si>
    <t>gfegv</t>
  </si>
  <si>
    <t>cbo new projections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</si>
</sst>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6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70" fontId="0" fillId="0" borderId="35" xfId="0" applyNumberFormat="1" applyFill="1" applyBorder="1"/>
    <xf numFmtId="10" fontId="27" fillId="0" borderId="35" xfId="7" applyNumberFormat="1" applyFont="1" applyFill="1" applyBorder="1"/>
    <xf numFmtId="169" fontId="20" fillId="16" borderId="35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2" fontId="33" fillId="0" borderId="0" xfId="0" applyNumberFormat="1" applyFont="1"/>
    <xf numFmtId="10" fontId="27" fillId="16" borderId="0" xfId="7" applyNumberFormat="1" applyFont="1" applyFill="1"/>
    <xf numFmtId="2" fontId="8" fillId="0" borderId="0" xfId="3" applyNumberFormat="1" applyFont="1" applyAlignment="1">
      <alignment horizontal="right"/>
    </xf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3" applyFont="1"/>
    <xf numFmtId="0" fontId="8" fillId="0" borderId="0" xfId="3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5" dT="2020-12-22T23:07:42.60" personId="{2D35AFA9-F227-4AE7-B9A7-D673D9D18C70}" id="{D4AA3B3B-1162-4A8A-A155-4B50A107D1DD}">
    <text>adding $12B for the medicare sequester (12B over 4 quarters and then annuzlied)</text>
  </threadedComment>
  <threadedComment ref="O37" dT="2020-12-21T20:20:09.37" personId="{2D35AFA9-F227-4AE7-B9A7-D673D9D18C70}" id="{6CD6C4CA-E498-4D54-9079-67C6684A7737}">
    <text>fiscal hawk: estimate of $166B. and then annualized</text>
  </threadedComment>
  <threadedComment ref="O38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8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9" dT="2020-12-22T18:00:08.03" personId="{2D35AFA9-F227-4AE7-B9A7-D673D9D18C70}" id="{4DB7FB29-2B61-4AD8-B269-05A7FEEBC5BD}">
    <text>CRFB estimates $5B over calendar year 2021</text>
  </threadedComment>
  <threadedComment ref="P39" dT="2020-12-22T18:00:08.03" personId="{2D35AFA9-F227-4AE7-B9A7-D673D9D18C70}" id="{ECAA649D-FAFF-415D-BBA3-8558E7EB5AD8}">
    <text>CRFB estimates $5B over calendar year 2021</text>
  </threadedComment>
  <threadedComment ref="Q39" dT="2020-12-22T18:00:08.03" personId="{2D35AFA9-F227-4AE7-B9A7-D673D9D18C70}" id="{7B8EF2ED-F5A7-446F-B87D-74CEED3214DC}">
    <text>CRFB estimates $5B over calendar year 2021</text>
  </threadedComment>
  <threadedComment ref="R39" dT="2020-12-22T18:00:08.03" personId="{2D35AFA9-F227-4AE7-B9A7-D673D9D18C70}" id="{93445C5E-94EA-423D-BA59-395F985BF92E}">
    <text>CRFB estimates $5B over calendar year 2021</text>
  </threadedComment>
  <threadedComment ref="M40" dT="2020-10-29T15:30:32.00" personId="{2D35AFA9-F227-4AE7-B9A7-D673D9D18C70}" id="{7314685E-335E-47AA-B478-1BA6ABF2BDA3}">
    <text>BEA has 771k for total UI but not including Trump UI. Add trump UI for the real total</text>
  </threadedComment>
  <threadedComment ref="O45" dT="2020-12-21T20:20:53.19" personId="{2D35AFA9-F227-4AE7-B9A7-D673D9D18C70}" id="{299B58A4-BA69-464A-9D14-5A970E50857A}">
    <text>CRFB: estimate of $120B. And then annualized</text>
  </threadedComment>
  <threadedComment ref="O63" dT="2020-12-17T16:13:31.41" personId="{2D35AFA9-F227-4AE7-B9A7-D673D9D18C70}" id="{C5311C2D-4764-4363-AE1C-A82227666FB7}">
    <text>estimated $300 billion next year. over three quarters = 100. annualized ( x4).</text>
  </threadedComment>
  <threadedComment ref="O63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4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70" dT="2020-09-10T19:09:05.64" personId="{2D35AFA9-F227-4AE7-B9A7-D673D9D18C70}" id="{2D81BDF9-A0D8-4A1A-915B-91D32E8E61FF}">
    <text>grow with nom purchases</text>
  </threadedComment>
  <threadedComment ref="L75" dT="2020-10-27T15:26:37.39" personId="{2D35AFA9-F227-4AE7-B9A7-D673D9D18C70}" id="{33EF6DF5-9556-47EC-86E1-A12FDBDC0AA8}">
    <text>CBO indicated 17 for q2? why do we split the quarter 3 payments into q2?</text>
  </threadedComment>
  <threadedComment ref="L75" dT="2020-10-28T16:31:53.35" personId="{2D35AFA9-F227-4AE7-B9A7-D673D9D18C70}" id="{1079BF34-6E2F-4888-8715-72B28B28D9AA}" parentId="{33EF6DF5-9556-47EC-86E1-A12FDBDC0AA8}">
    <text>we're comfortable leaving this as is</text>
  </threadedComment>
  <threadedComment ref="O78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79" dT="2020-12-21T21:00:34.35" personId="{2D35AFA9-F227-4AE7-B9A7-D673D9D18C70}" id="{DA48DE65-66E5-4DD8-819A-2F757A61D389}">
    <text>CRFB: estimates $82B. According to the Louise x Wendy, MPC is 100% over 3 years.</text>
  </threadedComment>
  <threadedComment ref="O80" dT="2020-12-21T21:03:38.65" personId="{2D35AFA9-F227-4AE7-B9A7-D673D9D18C70}" id="{1FC8F5D3-F5DD-4502-A8BF-AD36B99CFAF5}">
    <text>CRFB: estimates $63B. MPC is 100% over 12 quarters and then annualize</text>
  </threadedComment>
  <threadedComment ref="O81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7" dT="2020-09-11T20:43:00.49" personId="{2D35AFA9-F227-4AE7-B9A7-D673D9D18C70}" id="{11731043-8530-4DAC-9476-3C98D0D836BB}">
    <text>grow with S&amp;L nom purchases</text>
  </threadedComment>
  <threadedComment ref="O109" dT="2020-09-30T15:34:25.90" personId="{2D35AFA9-F227-4AE7-B9A7-D673D9D18C70}" id="{D84F0053-F219-4B69-8181-0F12AE7D3FC2}">
    <text>overide in the fim with 4%</text>
  </threadedComment>
  <threadedComment ref="O109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P109" dT="2020-09-30T15:34:25.90" personId="{2D35AFA9-F227-4AE7-B9A7-D673D9D18C70}" id="{3B711313-D2C6-42FC-83C8-BA827015079B}">
    <text>overide in the fim with 4%</text>
  </threadedComment>
  <threadedComment ref="P109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20"/>
  <sheetViews>
    <sheetView zoomScaleNormal="110" workbookViewId="0">
      <pane xSplit="2" ySplit="3" topLeftCell="J60" activePane="bottomRight" state="frozen"/>
      <selection pane="topRight" activeCell="C1" sqref="C1"/>
      <selection pane="bottomLeft" activeCell="A4" sqref="A4"/>
      <selection pane="bottomRight" activeCell="T92" sqref="T92"/>
    </sheetView>
  </sheetViews>
  <sheetFormatPr baseColWidth="10" defaultColWidth="8.83203125" defaultRowHeight="15" x14ac:dyDescent="0.2"/>
  <cols>
    <col min="1" max="1" width="32.6640625" customWidth="1"/>
    <col min="2" max="2" width="10.83203125" customWidth="1"/>
    <col min="3" max="4" width="10.83203125" style="35" customWidth="1"/>
    <col min="6" max="14" width="16.1640625" bestFit="1" customWidth="1"/>
    <col min="15" max="15" width="13.33203125" customWidth="1"/>
    <col min="16" max="22" width="16.1640625" bestFit="1" customWidth="1"/>
    <col min="23" max="23" width="16.1640625" style="35" customWidth="1"/>
    <col min="24" max="25" width="12.5" bestFit="1" customWidth="1"/>
    <col min="26" max="26" width="11.83203125" bestFit="1" customWidth="1"/>
    <col min="27" max="27" width="11.83203125" customWidth="1"/>
    <col min="28" max="32" width="8.83203125" customWidth="1"/>
    <col min="33" max="33" width="15.5" hidden="1" customWidth="1"/>
    <col min="34" max="34" width="10.5" hidden="1" customWidth="1"/>
    <col min="35" max="35" width="8.83203125" customWidth="1"/>
    <col min="39" max="39" width="8.6640625" style="146"/>
  </cols>
  <sheetData>
    <row r="1" spans="1:43" ht="19" customHeight="1" x14ac:dyDescent="0.25">
      <c r="A1" s="328" t="s">
        <v>372</v>
      </c>
      <c r="B1" s="328"/>
      <c r="C1" s="268"/>
      <c r="D1" s="268"/>
      <c r="E1" s="35"/>
      <c r="N1" t="s">
        <v>374</v>
      </c>
      <c r="AC1" s="334" t="s">
        <v>248</v>
      </c>
      <c r="AD1" s="334"/>
      <c r="AE1" s="332" t="s">
        <v>246</v>
      </c>
      <c r="AF1" s="333"/>
      <c r="AG1" t="s">
        <v>28</v>
      </c>
      <c r="AI1" s="330" t="s">
        <v>279</v>
      </c>
      <c r="AJ1" s="330"/>
      <c r="AK1" s="330"/>
      <c r="AL1" s="330"/>
      <c r="AM1" s="329" t="s">
        <v>277</v>
      </c>
      <c r="AN1" s="329"/>
      <c r="AO1" s="329"/>
      <c r="AP1" s="329"/>
    </row>
    <row r="2" spans="1:43" ht="23" customHeight="1" x14ac:dyDescent="0.2">
      <c r="F2" s="327" t="s">
        <v>21</v>
      </c>
      <c r="G2" s="327"/>
      <c r="H2" s="327"/>
      <c r="I2" s="327"/>
      <c r="J2" s="327" t="s">
        <v>9</v>
      </c>
      <c r="K2" s="327"/>
      <c r="L2" s="327"/>
      <c r="M2" s="327"/>
      <c r="N2" s="327" t="s">
        <v>10</v>
      </c>
      <c r="O2" s="327"/>
      <c r="P2" s="327"/>
      <c r="Q2" s="327"/>
      <c r="R2" s="327" t="s">
        <v>11</v>
      </c>
      <c r="S2" s="327"/>
      <c r="T2" s="327"/>
      <c r="U2" s="327"/>
      <c r="V2" s="327" t="s">
        <v>266</v>
      </c>
      <c r="W2" s="327"/>
      <c r="X2" s="327"/>
      <c r="Y2" s="327"/>
      <c r="Z2" s="221"/>
      <c r="AA2" s="283"/>
      <c r="AB2" s="221"/>
      <c r="AC2" s="327" t="s">
        <v>102</v>
      </c>
      <c r="AD2" s="327"/>
      <c r="AE2" s="327"/>
      <c r="AF2" s="327"/>
      <c r="AG2" s="327"/>
      <c r="AH2" s="327"/>
      <c r="AI2" s="327"/>
      <c r="AJ2" s="327"/>
      <c r="AK2" s="327"/>
      <c r="AL2" s="331"/>
    </row>
    <row r="3" spans="1:43" x14ac:dyDescent="0.2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6" t="s">
        <v>21</v>
      </c>
      <c r="AD3" s="317" t="s">
        <v>9</v>
      </c>
      <c r="AE3" s="178" t="s">
        <v>12</v>
      </c>
      <c r="AF3" s="132" t="s">
        <v>11</v>
      </c>
      <c r="AG3" s="2" t="s">
        <v>247</v>
      </c>
      <c r="AH3" s="2" t="s">
        <v>159</v>
      </c>
      <c r="AI3" s="181" t="s">
        <v>9</v>
      </c>
      <c r="AJ3" s="181" t="s">
        <v>12</v>
      </c>
      <c r="AK3" s="97" t="s">
        <v>11</v>
      </c>
      <c r="AL3" s="97" t="s">
        <v>266</v>
      </c>
      <c r="AN3" s="97" t="s">
        <v>12</v>
      </c>
      <c r="AO3" s="97" t="s">
        <v>11</v>
      </c>
      <c r="AP3" s="97" t="s">
        <v>266</v>
      </c>
    </row>
    <row r="4" spans="1:43" ht="19" x14ac:dyDescent="0.25">
      <c r="A4" s="326" t="s">
        <v>262</v>
      </c>
      <c r="B4" s="326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AC4" s="190"/>
      <c r="AD4" s="317"/>
      <c r="AE4" s="178"/>
      <c r="AF4" s="190"/>
      <c r="AG4" s="189"/>
      <c r="AH4" s="189"/>
      <c r="AI4" s="181"/>
      <c r="AJ4" s="181"/>
      <c r="AK4" s="97"/>
      <c r="AL4" s="97"/>
    </row>
    <row r="5" spans="1:43" x14ac:dyDescent="0.2">
      <c r="A5" t="s">
        <v>260</v>
      </c>
      <c r="B5" t="s">
        <v>281</v>
      </c>
      <c r="C5" s="35" t="s">
        <v>292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>
        <f>VLOOKUP($C$5,'Haver NA'!$A$1:$J$34,10,0)</f>
        <v>21479.5</v>
      </c>
      <c r="O5">
        <f>N5*(1+O6)</f>
        <v>21850.900000000005</v>
      </c>
      <c r="P5">
        <f t="shared" ref="P5:Z5" si="0">O5*(1+P6)</f>
        <v>22074.900000000005</v>
      </c>
      <c r="Q5">
        <f t="shared" si="0"/>
        <v>22394.500000000004</v>
      </c>
      <c r="R5">
        <f t="shared" si="0"/>
        <v>22692.200000000004</v>
      </c>
      <c r="S5">
        <f t="shared" si="0"/>
        <v>22973.900000000005</v>
      </c>
      <c r="T5">
        <f t="shared" si="0"/>
        <v>23206.500000000004</v>
      </c>
      <c r="U5">
        <f t="shared" si="0"/>
        <v>23456.200000000008</v>
      </c>
      <c r="V5">
        <f t="shared" si="0"/>
        <v>23702.600000000006</v>
      </c>
      <c r="W5">
        <f t="shared" si="0"/>
        <v>23929.400000000009</v>
      </c>
      <c r="X5">
        <f t="shared" si="0"/>
        <v>24183.200000000012</v>
      </c>
      <c r="Y5">
        <f t="shared" si="0"/>
        <v>24450.100000000009</v>
      </c>
      <c r="Z5">
        <f t="shared" si="0"/>
        <v>24725.200000000012</v>
      </c>
      <c r="AC5" s="190"/>
      <c r="AD5" s="317"/>
      <c r="AE5" s="178"/>
      <c r="AF5" s="190"/>
      <c r="AG5" s="189"/>
      <c r="AH5" s="189"/>
      <c r="AI5" s="181"/>
      <c r="AJ5" s="181"/>
      <c r="AK5" s="97"/>
      <c r="AL5" s="97"/>
    </row>
    <row r="6" spans="1:43" s="170" customFormat="1" ht="12" x14ac:dyDescent="0.15">
      <c r="A6" s="169" t="s">
        <v>215</v>
      </c>
      <c r="C6" s="269"/>
      <c r="D6" s="269"/>
      <c r="F6" s="199"/>
      <c r="G6" s="200">
        <f>G5/F5-1</f>
        <v>9.8230981496802983E-3</v>
      </c>
      <c r="H6" s="200">
        <f t="shared" ref="H6:N6" si="1">H5/G5-1</f>
        <v>1.016324655581502E-2</v>
      </c>
      <c r="I6" s="200">
        <f t="shared" si="1"/>
        <v>9.864087501582075E-3</v>
      </c>
      <c r="J6" s="200">
        <f t="shared" si="1"/>
        <v>9.6145364734938621E-3</v>
      </c>
      <c r="K6" s="200">
        <f t="shared" si="1"/>
        <v>-8.5665412876942959E-3</v>
      </c>
      <c r="L6" s="200">
        <f t="shared" si="1"/>
        <v>-9.4661218583467432E-2</v>
      </c>
      <c r="M6" s="302">
        <v>8.4538501339644911E-2</v>
      </c>
      <c r="N6" s="302">
        <f t="shared" si="1"/>
        <v>1.4605366952759269E-2</v>
      </c>
      <c r="O6" s="175">
        <v>1.7290905281780455E-2</v>
      </c>
      <c r="P6" s="175">
        <v>1.0251293997043609E-2</v>
      </c>
      <c r="Q6" s="175">
        <v>1.4477981780211868E-2</v>
      </c>
      <c r="R6" s="175">
        <v>1.3293442586349347E-2</v>
      </c>
      <c r="S6" s="175">
        <v>1.2413957218780025E-2</v>
      </c>
      <c r="T6" s="175">
        <v>1.012453262180113E-2</v>
      </c>
      <c r="U6" s="175">
        <v>1.0759916402732106E-2</v>
      </c>
      <c r="V6" s="175">
        <v>1.050468532839921E-2</v>
      </c>
      <c r="W6" s="175">
        <v>9.5685705365657903E-3</v>
      </c>
      <c r="X6" s="175">
        <v>1.0606199904719782E-2</v>
      </c>
      <c r="Y6" s="175">
        <v>1.1036587382976526E-2</v>
      </c>
      <c r="Z6" s="175">
        <v>1.1251487723976661E-2</v>
      </c>
      <c r="AA6" s="172"/>
      <c r="AB6" s="172"/>
      <c r="AC6" s="172"/>
      <c r="AD6" s="320"/>
      <c r="AE6" s="180"/>
      <c r="AF6" s="173"/>
      <c r="AG6" s="174"/>
      <c r="AI6" s="174"/>
      <c r="AJ6" s="183"/>
      <c r="AK6" s="174"/>
      <c r="AL6" s="174"/>
      <c r="AM6" s="232"/>
    </row>
    <row r="7" spans="1:43" x14ac:dyDescent="0.2">
      <c r="A7" t="s">
        <v>261</v>
      </c>
      <c r="B7" t="s">
        <v>281</v>
      </c>
      <c r="C7" s="35" t="s">
        <v>293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>
        <f>VLOOKUP($C$7,'Haver NA'!$A$1:$J$34,10,0)</f>
        <v>18780.3</v>
      </c>
      <c r="O7">
        <f>N7*(1+O8)</f>
        <v>19060.3</v>
      </c>
      <c r="P7">
        <f t="shared" ref="P7:Z7" si="2">O7*(1+P8)</f>
        <v>19178.3</v>
      </c>
      <c r="Q7">
        <f t="shared" si="2"/>
        <v>19358.3</v>
      </c>
      <c r="R7">
        <f t="shared" si="2"/>
        <v>19530.8</v>
      </c>
      <c r="S7">
        <f t="shared" si="2"/>
        <v>19672</v>
      </c>
      <c r="T7">
        <f t="shared" si="2"/>
        <v>19778.299999999996</v>
      </c>
      <c r="U7">
        <f t="shared" si="2"/>
        <v>19896.399999999998</v>
      </c>
      <c r="V7">
        <f t="shared" si="2"/>
        <v>20006.799999999996</v>
      </c>
      <c r="W7">
        <f t="shared" si="2"/>
        <v>20099.999999999996</v>
      </c>
      <c r="X7">
        <f t="shared" si="2"/>
        <v>20212.699999999993</v>
      </c>
      <c r="Y7">
        <f t="shared" si="2"/>
        <v>20333.499999999993</v>
      </c>
      <c r="Z7">
        <f t="shared" si="2"/>
        <v>20456.999999999993</v>
      </c>
      <c r="AC7" s="190"/>
      <c r="AD7" s="317"/>
      <c r="AE7" s="178"/>
      <c r="AF7" s="190"/>
      <c r="AG7" s="189"/>
      <c r="AH7" s="189"/>
      <c r="AI7" s="181"/>
      <c r="AJ7" s="181"/>
      <c r="AK7" s="97"/>
      <c r="AL7" s="97"/>
    </row>
    <row r="8" spans="1:43" s="170" customFormat="1" ht="12" x14ac:dyDescent="0.15">
      <c r="A8" s="169" t="s">
        <v>215</v>
      </c>
      <c r="C8" s="269"/>
      <c r="D8" s="269"/>
      <c r="F8" s="199"/>
      <c r="G8" s="200">
        <f>G7/F7-1</f>
        <v>7.2499588070520371E-3</v>
      </c>
      <c r="H8" s="200">
        <f t="shared" ref="H8" si="3">H7/G7-1</f>
        <v>3.7097038041613573E-3</v>
      </c>
      <c r="I8" s="200">
        <f t="shared" ref="I8" si="4">I7/H7-1</f>
        <v>6.3667812792447265E-3</v>
      </c>
      <c r="J8" s="200">
        <f t="shared" ref="J8" si="5">J7/I7-1</f>
        <v>5.8667725437133722E-3</v>
      </c>
      <c r="K8" s="200">
        <f t="shared" ref="K8" si="6">K7/J7-1</f>
        <v>-1.2631141580970229E-2</v>
      </c>
      <c r="L8" s="200">
        <f t="shared" ref="L8" si="7">L7/K7-1</f>
        <v>-8.9859448313590162E-2</v>
      </c>
      <c r="M8" s="302">
        <v>8.4538501339644911E-2</v>
      </c>
      <c r="N8" s="302">
        <f t="shared" ref="N8" si="8">N7/M7-1</f>
        <v>9.8835802435941478E-3</v>
      </c>
      <c r="O8" s="175">
        <v>1.4909240001490964E-2</v>
      </c>
      <c r="P8" s="175">
        <v>6.1908784226900604E-3</v>
      </c>
      <c r="Q8" s="175">
        <v>9.3856076920268983E-3</v>
      </c>
      <c r="R8" s="175">
        <v>8.9109064328996013E-3</v>
      </c>
      <c r="S8" s="175">
        <v>7.2296065701353829E-3</v>
      </c>
      <c r="T8" s="175">
        <v>5.4036193574622526E-3</v>
      </c>
      <c r="U8" s="175">
        <v>5.9711906483368438E-3</v>
      </c>
      <c r="V8" s="175">
        <v>5.54874248607784E-3</v>
      </c>
      <c r="W8" s="175">
        <v>4.6584161385130329E-3</v>
      </c>
      <c r="X8" s="175">
        <v>5.6069651741292859E-3</v>
      </c>
      <c r="Y8" s="175">
        <v>5.9764405547007016E-3</v>
      </c>
      <c r="Z8" s="175">
        <v>6.0737207072072419E-3</v>
      </c>
      <c r="AA8" s="172"/>
      <c r="AB8" s="172"/>
      <c r="AC8" s="172"/>
      <c r="AD8" s="320"/>
      <c r="AE8" s="180"/>
      <c r="AF8" s="173"/>
      <c r="AG8" s="174"/>
      <c r="AI8" s="174"/>
      <c r="AJ8" s="183"/>
      <c r="AK8" s="174"/>
      <c r="AL8" s="174"/>
      <c r="AM8" s="232"/>
    </row>
    <row r="9" spans="1:43" x14ac:dyDescent="0.2">
      <c r="F9" s="197"/>
      <c r="G9" s="197"/>
      <c r="H9" s="197"/>
      <c r="I9" s="197"/>
      <c r="J9" s="197"/>
      <c r="K9" s="197"/>
      <c r="L9" s="197"/>
      <c r="M9" s="301"/>
      <c r="N9" s="301"/>
      <c r="AC9" s="190"/>
      <c r="AD9" s="317"/>
      <c r="AE9" s="178"/>
      <c r="AF9" s="190"/>
      <c r="AG9" s="189"/>
      <c r="AH9" s="189"/>
      <c r="AI9" s="181"/>
      <c r="AJ9" s="181"/>
      <c r="AK9" s="97"/>
      <c r="AL9" s="97"/>
    </row>
    <row r="10" spans="1:43" x14ac:dyDescent="0.2">
      <c r="A10" t="s">
        <v>1</v>
      </c>
      <c r="F10" s="197"/>
      <c r="G10" s="197"/>
      <c r="H10" s="197"/>
      <c r="I10" s="197"/>
      <c r="J10" s="197"/>
      <c r="K10" s="197"/>
      <c r="L10" s="197"/>
      <c r="M10" s="301"/>
      <c r="N10" s="301"/>
      <c r="AD10" s="95"/>
      <c r="AE10" s="146"/>
      <c r="AI10" s="146"/>
      <c r="AJ10" s="146"/>
    </row>
    <row r="11" spans="1:43" x14ac:dyDescent="0.2">
      <c r="A11" s="176" t="s">
        <v>257</v>
      </c>
      <c r="F11" s="198">
        <f>F12+F15+F18</f>
        <v>3178</v>
      </c>
      <c r="G11" s="198">
        <f t="shared" ref="G11:V11" si="9">G12+G15+G18</f>
        <v>3259.5</v>
      </c>
      <c r="H11" s="198">
        <f t="shared" si="9"/>
        <v>3269.2</v>
      </c>
      <c r="I11" s="198">
        <f t="shared" si="9"/>
        <v>3290.6</v>
      </c>
      <c r="J11" s="198">
        <f t="shared" si="9"/>
        <v>3336.3</v>
      </c>
      <c r="K11" s="198">
        <f t="shared" si="9"/>
        <v>3376.8</v>
      </c>
      <c r="L11" s="198">
        <f t="shared" si="9"/>
        <v>3091.4840000000004</v>
      </c>
      <c r="M11" s="301">
        <v>3262.3</v>
      </c>
      <c r="N11" s="319">
        <f t="shared" ref="N11" si="10">N12+N15+N18</f>
        <v>3313.2</v>
      </c>
      <c r="O11" s="167">
        <f t="shared" si="9"/>
        <v>3442.8797500000001</v>
      </c>
      <c r="P11" s="167">
        <f t="shared" si="9"/>
        <v>3475.6492951999999</v>
      </c>
      <c r="Q11" s="167">
        <f t="shared" si="9"/>
        <v>3508.8900570496003</v>
      </c>
      <c r="R11" s="167">
        <f t="shared" si="9"/>
        <v>3571.579403677184</v>
      </c>
      <c r="S11" s="167">
        <f t="shared" si="9"/>
        <v>3612.8068631467881</v>
      </c>
      <c r="T11" s="167">
        <f t="shared" si="9"/>
        <v>3654.6670638284013</v>
      </c>
      <c r="U11" s="167">
        <f t="shared" si="9"/>
        <v>3697.1751517988364</v>
      </c>
      <c r="V11" s="167">
        <f t="shared" si="9"/>
        <v>3771.1186548348132</v>
      </c>
      <c r="W11" s="168"/>
      <c r="AD11" s="95"/>
      <c r="AE11" s="146"/>
      <c r="AI11" s="146"/>
      <c r="AJ11" s="146"/>
    </row>
    <row r="12" spans="1:43" x14ac:dyDescent="0.2">
      <c r="A12" s="211" t="s">
        <v>25</v>
      </c>
      <c r="B12" t="s">
        <v>281</v>
      </c>
      <c r="C12" t="s">
        <v>294</v>
      </c>
      <c r="D12"/>
      <c r="F12" s="198">
        <v>1634.2</v>
      </c>
      <c r="G12" s="198">
        <v>1695.5</v>
      </c>
      <c r="H12" s="198">
        <v>1703.1</v>
      </c>
      <c r="I12" s="198">
        <v>1713.2</v>
      </c>
      <c r="J12" s="198">
        <v>1740.2</v>
      </c>
      <c r="K12" s="198">
        <v>1756.6</v>
      </c>
      <c r="L12" s="198">
        <v>1599.3</v>
      </c>
      <c r="M12" s="301">
        <v>1687.4</v>
      </c>
      <c r="N12" s="319">
        <f>VLOOKUP($C$12,'Haver NA'!$A$1:$J$34,10,0)</f>
        <v>1710.3</v>
      </c>
      <c r="O12" s="168">
        <f>N12*(1+O14)</f>
        <v>1816.3386</v>
      </c>
      <c r="P12" s="168">
        <f t="shared" ref="P12:U12" si="11">O12*(1+P14)</f>
        <v>1830.8693088</v>
      </c>
      <c r="Q12" s="168">
        <f t="shared" si="11"/>
        <v>1845.5162632704</v>
      </c>
      <c r="R12" s="168">
        <f t="shared" si="11"/>
        <v>1863.9714259031041</v>
      </c>
      <c r="S12" s="168">
        <f t="shared" si="11"/>
        <v>1882.6111401621351</v>
      </c>
      <c r="T12" s="168">
        <f t="shared" si="11"/>
        <v>1901.4372515637565</v>
      </c>
      <c r="U12" s="168">
        <f t="shared" si="11"/>
        <v>1920.4516240793942</v>
      </c>
      <c r="V12" s="168">
        <f>U12*(1+V14)</f>
        <v>1958.8606565609821</v>
      </c>
      <c r="W12" s="168"/>
      <c r="X12" s="44"/>
      <c r="Y12" s="44"/>
      <c r="Z12" s="44"/>
      <c r="AA12" s="44"/>
      <c r="AB12" s="44"/>
      <c r="AC12" s="44">
        <f>AVERAGE(F12:I12)</f>
        <v>1686.4999999999998</v>
      </c>
      <c r="AD12" s="321">
        <f>AVERAGE(J12,K12,L12,M12)</f>
        <v>1695.875</v>
      </c>
      <c r="AE12" s="179">
        <f>AVERAGE(N12:Q12)</f>
        <v>1800.7560430175999</v>
      </c>
      <c r="AF12" s="45">
        <f>AVERAGE(R12:U12)</f>
        <v>1892.1178604270976</v>
      </c>
      <c r="AG12" s="3">
        <f>AVERAGE(F12:I12)</f>
        <v>1686.4999999999998</v>
      </c>
      <c r="AH12">
        <v>1653</v>
      </c>
      <c r="AI12" s="182">
        <f>$AC12/'figuring NIPA tax changes'!$E19*'figuring NIPA tax changes'!F19</f>
        <v>1649.4616519302829</v>
      </c>
      <c r="AJ12" s="182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x14ac:dyDescent="0.2">
      <c r="A13" s="212" t="s">
        <v>377</v>
      </c>
      <c r="C13"/>
      <c r="D13"/>
      <c r="F13" s="198"/>
      <c r="G13" s="198"/>
      <c r="H13" s="198"/>
      <c r="I13" s="198"/>
      <c r="J13" s="198"/>
      <c r="K13" s="198"/>
      <c r="L13" s="198"/>
      <c r="M13" s="301"/>
      <c r="N13" s="319"/>
      <c r="O13" s="175">
        <v>4.3314158288976197E-3</v>
      </c>
      <c r="P13" s="175">
        <v>4.3127355777503604E-3</v>
      </c>
      <c r="Q13" s="175">
        <v>4.2942157606606903E-3</v>
      </c>
      <c r="R13" s="175">
        <v>1.2538420626855101E-2</v>
      </c>
      <c r="S13" s="175">
        <v>1.23831554155671E-2</v>
      </c>
      <c r="T13" s="175">
        <v>1.22316885156828E-2</v>
      </c>
      <c r="U13" s="175">
        <v>1.20838822321585E-2</v>
      </c>
      <c r="V13" s="175">
        <v>1.2600908344585699E-2</v>
      </c>
      <c r="W13" s="175">
        <v>1.24441013638688E-2</v>
      </c>
      <c r="X13" s="175">
        <v>1.2291149059098901E-2</v>
      </c>
      <c r="Y13" s="175">
        <v>1.2141911020879101E-2</v>
      </c>
      <c r="Z13" s="175">
        <v>9.0474778965847803E-3</v>
      </c>
      <c r="AA13" s="44"/>
      <c r="AB13" s="44"/>
      <c r="AC13" s="44"/>
      <c r="AD13" s="321"/>
      <c r="AE13" s="179"/>
      <c r="AF13" s="45"/>
      <c r="AG13" s="3"/>
      <c r="AI13" s="182"/>
      <c r="AJ13" s="182"/>
      <c r="AK13" s="3"/>
      <c r="AL13" s="3"/>
    </row>
    <row r="14" spans="1:43" s="170" customFormat="1" x14ac:dyDescent="0.2">
      <c r="A14" s="212" t="s">
        <v>373</v>
      </c>
      <c r="C14" s="269"/>
      <c r="D14" s="269"/>
      <c r="F14" s="199"/>
      <c r="G14" s="199"/>
      <c r="H14" s="199"/>
      <c r="I14" s="199"/>
      <c r="J14" s="199"/>
      <c r="K14" s="199"/>
      <c r="L14" s="199"/>
      <c r="M14" s="301"/>
      <c r="N14" s="302"/>
      <c r="O14" s="175">
        <v>6.2E-2</v>
      </c>
      <c r="P14" s="175">
        <v>8.0000000000000002E-3</v>
      </c>
      <c r="Q14" s="175">
        <v>8.0000000000000002E-3</v>
      </c>
      <c r="R14" s="175">
        <v>0.01</v>
      </c>
      <c r="S14" s="175">
        <v>0.01</v>
      </c>
      <c r="T14" s="175">
        <v>0.01</v>
      </c>
      <c r="U14" s="175">
        <v>0.01</v>
      </c>
      <c r="V14" s="175">
        <v>0.02</v>
      </c>
      <c r="W14" s="175"/>
      <c r="X14" s="172"/>
      <c r="Y14" s="172"/>
      <c r="Z14" s="172"/>
      <c r="AA14" s="172"/>
      <c r="AB14" s="172"/>
      <c r="AC14" s="172"/>
      <c r="AD14" s="320"/>
      <c r="AE14" s="180"/>
      <c r="AF14" s="173"/>
      <c r="AG14" s="174"/>
      <c r="AI14" s="183"/>
      <c r="AJ14" s="183"/>
      <c r="AK14" s="174"/>
      <c r="AL14" s="174"/>
      <c r="AM14" s="232"/>
    </row>
    <row r="15" spans="1:43" x14ac:dyDescent="0.2">
      <c r="A15" s="211" t="s">
        <v>26</v>
      </c>
      <c r="B15" t="s">
        <v>281</v>
      </c>
      <c r="C15" t="s">
        <v>295</v>
      </c>
      <c r="D15"/>
      <c r="F15" s="198">
        <v>183.5</v>
      </c>
      <c r="G15" s="198">
        <v>172.1</v>
      </c>
      <c r="H15" s="198">
        <v>168.3</v>
      </c>
      <c r="I15" s="198">
        <v>175.1</v>
      </c>
      <c r="J15" s="198">
        <v>179.2</v>
      </c>
      <c r="K15" s="198">
        <v>183.8</v>
      </c>
      <c r="L15" s="198">
        <v>131.4</v>
      </c>
      <c r="M15" s="301">
        <v>144.69999999999999</v>
      </c>
      <c r="N15" s="319">
        <f>VLOOKUP($C$15,'Haver NA'!$A$1:$J$34,10,0)</f>
        <v>151.30000000000001</v>
      </c>
      <c r="O15" s="168">
        <f>N15*(1+O17)</f>
        <v>163.32835</v>
      </c>
      <c r="P15" s="168">
        <f t="shared" ref="P15:V15" si="12">O15*(1+P17)</f>
        <v>169.86148400000002</v>
      </c>
      <c r="Q15" s="168">
        <f t="shared" si="12"/>
        <v>176.65594336000004</v>
      </c>
      <c r="R15" s="168">
        <f t="shared" si="12"/>
        <v>183.72218109440004</v>
      </c>
      <c r="S15" s="168">
        <f t="shared" si="12"/>
        <v>191.07106833817605</v>
      </c>
      <c r="T15" s="168">
        <f t="shared" si="12"/>
        <v>198.71391107170311</v>
      </c>
      <c r="U15" s="168">
        <f t="shared" si="12"/>
        <v>206.66246751457123</v>
      </c>
      <c r="V15" s="168">
        <f t="shared" si="12"/>
        <v>210.79571686486267</v>
      </c>
      <c r="W15" s="168"/>
      <c r="X15" s="44"/>
      <c r="Y15" s="44"/>
      <c r="Z15" s="44"/>
      <c r="AA15" s="44"/>
      <c r="AB15" s="44"/>
      <c r="AC15" s="44">
        <f>AVERAGE(F15:I15)</f>
        <v>174.75000000000003</v>
      </c>
      <c r="AD15" s="321">
        <f>AVERAGE(J15,K15,L15,M15)</f>
        <v>159.77499999999998</v>
      </c>
      <c r="AE15" s="179">
        <f>AVERAGE(N15:Q15)</f>
        <v>165.28644434</v>
      </c>
      <c r="AF15" s="45">
        <f>AVERAGE(R15:U15)</f>
        <v>195.04240700471263</v>
      </c>
      <c r="AG15" s="3">
        <f>AVERAGE(F15:I15)</f>
        <v>174.75000000000003</v>
      </c>
      <c r="AH15">
        <v>173</v>
      </c>
      <c r="AI15" s="182"/>
      <c r="AJ15" s="182"/>
      <c r="AK15" s="3"/>
      <c r="AL15" s="3"/>
      <c r="AM15" s="233"/>
      <c r="AN15" s="35"/>
      <c r="AO15" s="35"/>
      <c r="AP15" s="35"/>
      <c r="AQ15" s="35"/>
    </row>
    <row r="16" spans="1:43" x14ac:dyDescent="0.2">
      <c r="A16" s="212" t="s">
        <v>377</v>
      </c>
      <c r="C16"/>
      <c r="D16"/>
      <c r="F16" s="198"/>
      <c r="G16" s="198"/>
      <c r="H16" s="198"/>
      <c r="I16" s="198"/>
      <c r="J16" s="198"/>
      <c r="K16" s="198"/>
      <c r="L16" s="198"/>
      <c r="M16" s="301"/>
      <c r="N16" s="319"/>
      <c r="O16">
        <v>1.4305288079133199E-2</v>
      </c>
      <c r="P16">
        <v>1.4103532976963901E-2</v>
      </c>
      <c r="Q16">
        <v>1.3907389648433899E-2</v>
      </c>
      <c r="R16">
        <v>2.4549945053089901E-2</v>
      </c>
      <c r="S16">
        <v>2.3961686954966099E-2</v>
      </c>
      <c r="T16">
        <v>2.34009604658383E-2</v>
      </c>
      <c r="U16">
        <v>2.28658769825529E-2</v>
      </c>
      <c r="V16">
        <v>5.9917976752863504E-3</v>
      </c>
      <c r="W16">
        <v>5.9561098700133801E-3</v>
      </c>
      <c r="X16">
        <v>5.9208446686436203E-3</v>
      </c>
      <c r="Y16">
        <v>5.8859946088443103E-3</v>
      </c>
      <c r="Z16">
        <v>1.79173480907555E-2</v>
      </c>
      <c r="AA16" s="44"/>
      <c r="AB16" s="44"/>
      <c r="AC16" s="44"/>
      <c r="AD16" s="321"/>
      <c r="AE16" s="179"/>
      <c r="AF16" s="45"/>
      <c r="AG16" s="3"/>
      <c r="AI16" s="182"/>
      <c r="AJ16" s="182"/>
      <c r="AK16" s="3"/>
      <c r="AL16" s="3"/>
      <c r="AM16" s="233"/>
      <c r="AN16" s="35"/>
      <c r="AO16" s="35"/>
      <c r="AP16" s="35"/>
      <c r="AQ16" s="35"/>
    </row>
    <row r="17" spans="1:39" s="170" customFormat="1" x14ac:dyDescent="0.2">
      <c r="A17" s="212" t="s">
        <v>215</v>
      </c>
      <c r="C17" s="269"/>
      <c r="D17" s="269"/>
      <c r="F17" s="199"/>
      <c r="G17" s="199"/>
      <c r="H17" s="199"/>
      <c r="I17" s="199"/>
      <c r="J17" s="199"/>
      <c r="K17" s="199"/>
      <c r="L17" s="199"/>
      <c r="M17" s="301"/>
      <c r="N17" s="302"/>
      <c r="O17" s="175">
        <v>7.9500000000000001E-2</v>
      </c>
      <c r="P17" s="175">
        <v>0.04</v>
      </c>
      <c r="Q17" s="175">
        <v>0.04</v>
      </c>
      <c r="R17" s="175">
        <v>0.04</v>
      </c>
      <c r="S17" s="175">
        <v>0.04</v>
      </c>
      <c r="T17" s="175">
        <v>0.04</v>
      </c>
      <c r="U17" s="175">
        <v>0.04</v>
      </c>
      <c r="V17" s="175">
        <v>0.02</v>
      </c>
      <c r="W17" s="175"/>
      <c r="X17" s="172"/>
      <c r="Y17" s="172"/>
      <c r="Z17" s="172"/>
      <c r="AA17" s="172"/>
      <c r="AB17" s="172"/>
      <c r="AC17" s="172"/>
      <c r="AD17" s="320"/>
      <c r="AE17" s="322"/>
      <c r="AF17" s="184"/>
      <c r="AG17" s="174"/>
      <c r="AI17" s="182"/>
      <c r="AJ17" s="322"/>
      <c r="AK17" s="184"/>
      <c r="AL17" s="184"/>
      <c r="AM17" s="232"/>
    </row>
    <row r="18" spans="1:39" x14ac:dyDescent="0.2">
      <c r="A18" s="211" t="s">
        <v>27</v>
      </c>
      <c r="B18" t="s">
        <v>281</v>
      </c>
      <c r="C18" t="s">
        <v>296</v>
      </c>
      <c r="D18"/>
      <c r="F18" s="198">
        <v>1360.3</v>
      </c>
      <c r="G18" s="198">
        <v>1391.9</v>
      </c>
      <c r="H18" s="198">
        <v>1397.8</v>
      </c>
      <c r="I18" s="198">
        <v>1402.3</v>
      </c>
      <c r="J18" s="198">
        <v>1416.9</v>
      </c>
      <c r="K18" s="198">
        <v>1436.4</v>
      </c>
      <c r="L18" s="198">
        <v>1360.7840000000001</v>
      </c>
      <c r="M18" s="301">
        <v>1430.2</v>
      </c>
      <c r="N18" s="319">
        <f>VLOOKUP($C$18,'Haver NA'!$A$1:$J$34,10,0)</f>
        <v>1451.6</v>
      </c>
      <c r="O18" s="168">
        <f>N18*(1+O20)</f>
        <v>1463.2128</v>
      </c>
      <c r="P18" s="168">
        <f t="shared" ref="P18:V18" si="13">O18*(1+P20)</f>
        <v>1474.9185024000001</v>
      </c>
      <c r="Q18" s="168">
        <f t="shared" si="13"/>
        <v>1486.7178504192002</v>
      </c>
      <c r="R18" s="168">
        <f t="shared" si="13"/>
        <v>1523.88579667968</v>
      </c>
      <c r="S18" s="168">
        <f t="shared" si="13"/>
        <v>1539.1246546464768</v>
      </c>
      <c r="T18" s="168">
        <f t="shared" si="13"/>
        <v>1554.5159011929416</v>
      </c>
      <c r="U18" s="168">
        <f t="shared" si="13"/>
        <v>1570.061060204871</v>
      </c>
      <c r="V18" s="168">
        <f t="shared" si="13"/>
        <v>1601.4622814089685</v>
      </c>
      <c r="W18" s="168"/>
      <c r="X18" s="44"/>
      <c r="Y18" s="44"/>
      <c r="Z18" s="44"/>
      <c r="AA18" s="44"/>
      <c r="AB18" s="44"/>
      <c r="AC18" s="44">
        <f>AVERAGE(F18:I18)</f>
        <v>1388.075</v>
      </c>
      <c r="AD18" s="321">
        <f>AVERAGE(J18,K18,L18,M18)</f>
        <v>1411.0710000000001</v>
      </c>
      <c r="AE18" s="179">
        <f>AVERAGE(N18:Q18)</f>
        <v>1469.1122882047998</v>
      </c>
      <c r="AF18" s="45">
        <f>AVERAGE(R18:U18)</f>
        <v>1546.8968531809924</v>
      </c>
      <c r="AG18" s="3">
        <f>AVERAGE(F18:I18)</f>
        <v>1388.075</v>
      </c>
      <c r="AH18">
        <v>1395</v>
      </c>
      <c r="AI18" s="182">
        <f>$AC18/'figuring NIPA tax changes'!$E20*'figuring NIPA tax changes'!F20</f>
        <v>1354.69413685124</v>
      </c>
      <c r="AJ18" s="182">
        <f>$AC18/'figuring NIPA tax changes'!$E20*'figuring NIPA tax changes'!G20</f>
        <v>1429.6567868867883</v>
      </c>
      <c r="AK18" s="3">
        <f>$AC18/'figuring NIPA tax changes'!$E20*'figuring NIPA tax changes'!H20</f>
        <v>1517.5549260800469</v>
      </c>
      <c r="AL18" s="3"/>
    </row>
    <row r="19" spans="1:39" x14ac:dyDescent="0.2">
      <c r="A19" s="212" t="s">
        <v>377</v>
      </c>
      <c r="C19"/>
      <c r="D19"/>
      <c r="F19" s="198"/>
      <c r="G19" s="198"/>
      <c r="H19" s="198"/>
      <c r="I19" s="198"/>
      <c r="J19" s="198"/>
      <c r="K19" s="198"/>
      <c r="L19" s="198"/>
      <c r="M19" s="301"/>
      <c r="N19" s="319"/>
      <c r="O19" s="175">
        <v>1.36451053277684E-2</v>
      </c>
      <c r="P19" s="175">
        <v>1.34614227958574E-2</v>
      </c>
      <c r="Q19" s="175">
        <v>1.32826198344294E-2</v>
      </c>
      <c r="R19" s="175">
        <v>1.5370496576392599E-2</v>
      </c>
      <c r="S19" s="175">
        <v>1.5137820754314499E-2</v>
      </c>
      <c r="T19" s="175">
        <v>1.49120842951809E-2</v>
      </c>
      <c r="U19" s="175">
        <v>1.4692981319201199E-2</v>
      </c>
      <c r="V19" s="175">
        <v>1.4482478771249399E-2</v>
      </c>
      <c r="W19" s="175">
        <v>1.4275730802951501E-2</v>
      </c>
      <c r="X19" s="175">
        <v>1.40748027083821E-2</v>
      </c>
      <c r="Y19" s="175">
        <v>1.3879452157564E-2</v>
      </c>
      <c r="Z19" s="175">
        <v>9.0059051138720002E-3</v>
      </c>
      <c r="AA19" s="44"/>
      <c r="AB19" s="44"/>
      <c r="AC19" s="44"/>
      <c r="AD19" s="321"/>
      <c r="AE19" s="179"/>
      <c r="AF19" s="45"/>
      <c r="AG19" s="3"/>
      <c r="AI19" s="182"/>
      <c r="AJ19" s="182"/>
      <c r="AK19" s="3"/>
      <c r="AL19" s="3"/>
    </row>
    <row r="20" spans="1:39" s="170" customFormat="1" x14ac:dyDescent="0.2">
      <c r="A20" s="212" t="s">
        <v>215</v>
      </c>
      <c r="C20" s="269"/>
      <c r="D20" s="269"/>
      <c r="F20" s="199"/>
      <c r="G20" s="199"/>
      <c r="H20" s="199"/>
      <c r="I20" s="199"/>
      <c r="J20" s="199"/>
      <c r="K20" s="199"/>
      <c r="L20" s="199"/>
      <c r="M20" s="301"/>
      <c r="N20" s="302"/>
      <c r="O20" s="175">
        <v>8.0000000000000002E-3</v>
      </c>
      <c r="P20" s="175">
        <v>8.0000000000000002E-3</v>
      </c>
      <c r="Q20" s="175">
        <v>8.0000000000000002E-3</v>
      </c>
      <c r="R20" s="175">
        <v>2.5000000000000001E-2</v>
      </c>
      <c r="S20" s="175">
        <v>0.01</v>
      </c>
      <c r="T20" s="175">
        <v>0.01</v>
      </c>
      <c r="U20" s="175">
        <v>0.01</v>
      </c>
      <c r="V20" s="175">
        <v>0.02</v>
      </c>
      <c r="W20" s="175"/>
      <c r="X20" s="172"/>
      <c r="Y20" s="172"/>
      <c r="Z20" s="172"/>
      <c r="AA20" s="172"/>
      <c r="AB20" s="172"/>
      <c r="AC20" s="172"/>
      <c r="AD20" s="320"/>
      <c r="AE20" s="180"/>
      <c r="AF20" s="173"/>
      <c r="AG20" s="174"/>
      <c r="AI20" s="183"/>
      <c r="AJ20" s="183"/>
      <c r="AK20" s="174"/>
      <c r="AL20" s="174"/>
      <c r="AM20" s="232"/>
    </row>
    <row r="21" spans="1:39" x14ac:dyDescent="0.2">
      <c r="A21" s="176" t="s">
        <v>0</v>
      </c>
      <c r="B21" t="s">
        <v>281</v>
      </c>
      <c r="C21" t="s">
        <v>297</v>
      </c>
      <c r="D21"/>
      <c r="F21" s="198">
        <v>234.7</v>
      </c>
      <c r="G21" s="198">
        <v>213.8</v>
      </c>
      <c r="H21" s="198">
        <v>224.2</v>
      </c>
      <c r="I21" s="198">
        <v>201.6</v>
      </c>
      <c r="J21" s="198">
        <v>229.7</v>
      </c>
      <c r="K21" s="198">
        <v>180.5</v>
      </c>
      <c r="L21" s="198">
        <v>171.5</v>
      </c>
      <c r="M21" s="301">
        <v>207</v>
      </c>
      <c r="N21" s="313">
        <f>M21*(1+N23)</f>
        <v>212.17499999999998</v>
      </c>
      <c r="O21" s="168">
        <f>N21*(1+O23)</f>
        <v>215.35762499999996</v>
      </c>
      <c r="P21" s="168">
        <f t="shared" ref="P21" si="14">O21*(1+P23)</f>
        <v>218.58798937499992</v>
      </c>
      <c r="Q21" s="168">
        <f t="shared" ref="Q21" si="15">P21*(1+Q23)</f>
        <v>221.8668092156249</v>
      </c>
      <c r="R21" s="168">
        <f t="shared" ref="R21" si="16">Q21*(1+R23)</f>
        <v>235.1788177685624</v>
      </c>
      <c r="S21" s="168">
        <f t="shared" ref="S21" si="17">R21*(1+S23)</f>
        <v>249.28954683467614</v>
      </c>
      <c r="T21" s="168">
        <f t="shared" ref="T21" si="18">S21*(1+T23)</f>
        <v>264.2469196447567</v>
      </c>
      <c r="U21" s="168">
        <f t="shared" ref="U21:V21" si="19">T21*(1+U23)</f>
        <v>280.10173482344214</v>
      </c>
      <c r="V21" s="168">
        <f t="shared" si="19"/>
        <v>296.90783891284866</v>
      </c>
      <c r="W21" s="168"/>
      <c r="X21" s="44"/>
      <c r="Y21" s="44"/>
      <c r="Z21" s="44"/>
      <c r="AA21" s="44"/>
      <c r="AB21" s="44"/>
      <c r="AC21" s="44">
        <f>AVERAGE(F21:I21)</f>
        <v>218.57500000000002</v>
      </c>
      <c r="AD21" s="321">
        <f>AVERAGE(J21,K21,L21,M21)</f>
        <v>197.17500000000001</v>
      </c>
      <c r="AE21" s="179">
        <f>AVERAGE(N21:Q21)</f>
        <v>216.99685589765619</v>
      </c>
      <c r="AF21" s="45">
        <f>AVERAGE(R21:U21)</f>
        <v>257.20425476785931</v>
      </c>
      <c r="AG21" s="33">
        <f>AVERAGE(F21:I21)</f>
        <v>218.57500000000002</v>
      </c>
      <c r="AH21" s="34">
        <v>166</v>
      </c>
      <c r="AI21" s="146">
        <f>AC21/'figuring NIPA tax changes'!E10*'figuring NIPA tax changes'!F21</f>
        <v>193.42290277747617</v>
      </c>
      <c r="AJ21" s="146">
        <f>AC21/'figuring NIPA tax changes'!E21*'figuring NIPA tax changes'!G21</f>
        <v>200.10987665313039</v>
      </c>
      <c r="AK21">
        <f>AC21/'figuring NIPA tax changes'!E21*'figuring NIPA tax changes'!H21</f>
        <v>237.052464440053</v>
      </c>
    </row>
    <row r="22" spans="1:39" x14ac:dyDescent="0.2">
      <c r="A22" s="177" t="s">
        <v>377</v>
      </c>
      <c r="C22"/>
      <c r="D22"/>
      <c r="F22" s="198"/>
      <c r="G22" s="198"/>
      <c r="H22" s="198"/>
      <c r="I22" s="198"/>
      <c r="J22" s="198"/>
      <c r="K22" s="198"/>
      <c r="L22" s="198"/>
      <c r="M22" s="301"/>
      <c r="N22" s="313"/>
      <c r="O22" s="175">
        <v>4.7029556586929401E-2</v>
      </c>
      <c r="P22" s="175">
        <v>4.4917124154770303E-2</v>
      </c>
      <c r="Q22" s="175">
        <v>4.2986303043989003E-2</v>
      </c>
      <c r="R22" s="175">
        <v>0.174715967926274</v>
      </c>
      <c r="S22" s="175">
        <v>0.14873039330068899</v>
      </c>
      <c r="T22" s="175">
        <v>0.129473716520494</v>
      </c>
      <c r="U22" s="175">
        <v>0.11463189857959399</v>
      </c>
      <c r="V22" s="175">
        <v>5.8955211121975999E-2</v>
      </c>
      <c r="W22" s="175">
        <v>5.5672997783836803E-2</v>
      </c>
      <c r="X22" s="175">
        <v>5.2736972434371802E-2</v>
      </c>
      <c r="Y22" s="175">
        <v>5.0095108099434703E-2</v>
      </c>
      <c r="Z22" s="175">
        <v>2.5600983120088301E-2</v>
      </c>
      <c r="AA22" s="44"/>
      <c r="AB22" s="44"/>
      <c r="AC22" s="44"/>
      <c r="AD22" s="321"/>
      <c r="AE22" s="321"/>
      <c r="AF22" s="45"/>
      <c r="AG22" s="33"/>
      <c r="AH22" s="34"/>
      <c r="AI22" s="95"/>
      <c r="AJ22" s="95"/>
    </row>
    <row r="23" spans="1:39" s="170" customFormat="1" x14ac:dyDescent="0.2">
      <c r="A23" s="177" t="s">
        <v>215</v>
      </c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14">
        <v>2.5000000000000001E-2</v>
      </c>
      <c r="O23" s="175">
        <v>1.4999999999999999E-2</v>
      </c>
      <c r="P23" s="175">
        <v>1.4999999999999999E-2</v>
      </c>
      <c r="Q23" s="175">
        <v>1.4999999999999999E-2</v>
      </c>
      <c r="R23" s="175">
        <v>0.06</v>
      </c>
      <c r="S23" s="175">
        <v>0.06</v>
      </c>
      <c r="T23" s="175">
        <v>0.06</v>
      </c>
      <c r="U23" s="175">
        <v>0.06</v>
      </c>
      <c r="V23" s="175">
        <v>0.06</v>
      </c>
      <c r="W23" s="171"/>
      <c r="X23" s="172"/>
      <c r="Y23" s="172"/>
      <c r="Z23" s="172"/>
      <c r="AA23" s="172"/>
      <c r="AB23" s="172"/>
      <c r="AC23" s="172"/>
      <c r="AD23" s="173"/>
      <c r="AE23" s="173"/>
      <c r="AF23" s="173"/>
      <c r="AG23" s="174"/>
      <c r="AI23" s="174"/>
      <c r="AJ23" s="174"/>
      <c r="AK23" s="174"/>
      <c r="AL23" s="174"/>
      <c r="AM23" s="232"/>
    </row>
    <row r="24" spans="1:39" s="170" customFormat="1" x14ac:dyDescent="0.2">
      <c r="A24" s="169"/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175"/>
      <c r="P24" s="175"/>
      <c r="Q24" s="175"/>
      <c r="R24" s="175"/>
      <c r="S24" s="175"/>
      <c r="T24" s="175"/>
      <c r="U24" s="175"/>
      <c r="V24" s="171"/>
      <c r="W24" s="171"/>
      <c r="X24" s="172"/>
      <c r="Y24" s="172"/>
      <c r="Z24" s="172"/>
      <c r="AA24" s="172"/>
      <c r="AB24" s="172"/>
      <c r="AC24" s="172"/>
      <c r="AD24" s="173"/>
      <c r="AE24" s="173"/>
      <c r="AF24" s="173"/>
      <c r="AG24" s="174"/>
      <c r="AI24" s="174"/>
      <c r="AJ24" s="174"/>
      <c r="AK24" s="174"/>
      <c r="AL24" s="174"/>
      <c r="AM24" s="232"/>
    </row>
    <row r="25" spans="1:39" s="170" customFormat="1" x14ac:dyDescent="0.2">
      <c r="A25" t="s">
        <v>263</v>
      </c>
      <c r="C25" s="269"/>
      <c r="D25" s="269"/>
      <c r="F25" s="199"/>
      <c r="G25" s="199"/>
      <c r="H25" s="199"/>
      <c r="I25" s="199"/>
      <c r="J25" s="199"/>
      <c r="K25" s="199"/>
      <c r="L25" s="199"/>
      <c r="M25" s="301"/>
      <c r="N25" s="302"/>
      <c r="O25" s="175"/>
      <c r="P25" s="175"/>
      <c r="Q25" s="175"/>
      <c r="R25" s="175"/>
      <c r="S25" s="175"/>
      <c r="T25" s="175"/>
      <c r="U25" s="175"/>
      <c r="V25" s="171"/>
      <c r="W25" s="171"/>
      <c r="X25" s="172"/>
      <c r="Y25" s="172"/>
      <c r="Z25" s="172"/>
      <c r="AA25" s="172"/>
      <c r="AB25" s="172"/>
      <c r="AC25" s="172"/>
      <c r="AD25" s="173"/>
      <c r="AE25" s="173"/>
      <c r="AF25" s="173"/>
      <c r="AG25" s="174"/>
      <c r="AI25" s="174"/>
      <c r="AJ25" s="174"/>
      <c r="AK25" s="174"/>
      <c r="AL25" s="174"/>
      <c r="AM25" s="232"/>
    </row>
    <row r="26" spans="1:39" x14ac:dyDescent="0.2">
      <c r="A26" s="176" t="s">
        <v>264</v>
      </c>
      <c r="F26" s="203">
        <f>SUM(F27:F29)</f>
        <v>1773.6</v>
      </c>
      <c r="G26" s="203">
        <f t="shared" ref="G26:U26" si="20">SUM(G27:G29)</f>
        <v>1798.8</v>
      </c>
      <c r="H26" s="203">
        <f t="shared" si="20"/>
        <v>1853.9</v>
      </c>
      <c r="I26" s="203">
        <f t="shared" si="20"/>
        <v>1832.2</v>
      </c>
      <c r="J26" s="203">
        <f t="shared" si="20"/>
        <v>1832.4</v>
      </c>
      <c r="K26" s="203">
        <f t="shared" si="20"/>
        <v>1862.4</v>
      </c>
      <c r="L26" s="203">
        <f t="shared" si="20"/>
        <v>1779.8019999999999</v>
      </c>
      <c r="M26" s="301">
        <v>1871.3489999999999</v>
      </c>
      <c r="N26" s="318">
        <f t="shared" ref="N26" si="21">SUM(N27:N29)</f>
        <v>1871.3489999999999</v>
      </c>
      <c r="O26" s="102">
        <f t="shared" si="20"/>
        <v>1903.7063183081548</v>
      </c>
      <c r="P26" s="102">
        <f t="shared" si="20"/>
        <v>1923.2217714611611</v>
      </c>
      <c r="Q26" s="102">
        <f t="shared" si="20"/>
        <v>1951.0661412276827</v>
      </c>
      <c r="R26" s="102">
        <f t="shared" si="20"/>
        <v>1977.0025269582627</v>
      </c>
      <c r="S26" s="102">
        <f t="shared" si="20"/>
        <v>2001.544951749343</v>
      </c>
      <c r="T26" s="102">
        <f t="shared" si="20"/>
        <v>2021.8096589073302</v>
      </c>
      <c r="U26" s="102">
        <f t="shared" si="20"/>
        <v>2043.5641618194095</v>
      </c>
      <c r="V26" s="102">
        <f t="shared" ref="V26" si="22">SUM(V27:V29)</f>
        <v>2065.0311602877164</v>
      </c>
    </row>
    <row r="27" spans="1:39" x14ac:dyDescent="0.2">
      <c r="A27" s="211" t="s">
        <v>22</v>
      </c>
      <c r="C27" t="s">
        <v>298</v>
      </c>
      <c r="D27"/>
      <c r="F27" s="197">
        <v>456.5</v>
      </c>
      <c r="G27" s="197">
        <v>475.2</v>
      </c>
      <c r="H27" s="197">
        <v>519.4</v>
      </c>
      <c r="I27" s="197">
        <v>483.9</v>
      </c>
      <c r="J27" s="197">
        <v>480.9</v>
      </c>
      <c r="K27" s="197">
        <v>495.8</v>
      </c>
      <c r="L27" s="198">
        <v>496.37400000000002</v>
      </c>
      <c r="M27" s="301">
        <v>506.6</v>
      </c>
      <c r="N27" s="318">
        <f>VLOOKUP($C$27,'Haver NA'!$A$1:$I$34,9,0)</f>
        <v>506.6</v>
      </c>
      <c r="O27" s="102">
        <f>N27*(1+O$6)</f>
        <v>515.35957261575004</v>
      </c>
      <c r="P27" s="102">
        <f t="shared" ref="P27:V27" si="23">O27*(1+P$6)</f>
        <v>520.64267510882485</v>
      </c>
      <c r="Q27" s="102">
        <f t="shared" si="23"/>
        <v>528.1805302730512</v>
      </c>
      <c r="R27" s="102">
        <f t="shared" si="23"/>
        <v>535.20186782746362</v>
      </c>
      <c r="S27" s="102">
        <f t="shared" si="23"/>
        <v>541.84584091808495</v>
      </c>
      <c r="T27" s="102">
        <f t="shared" si="23"/>
        <v>547.33177681044731</v>
      </c>
      <c r="U27" s="102">
        <f t="shared" si="23"/>
        <v>553.22102097348659</v>
      </c>
      <c r="V27" s="102">
        <f t="shared" si="23"/>
        <v>559.03243371586882</v>
      </c>
    </row>
    <row r="28" spans="1:39" x14ac:dyDescent="0.2">
      <c r="A28" s="211" t="s">
        <v>23</v>
      </c>
      <c r="C28" t="s">
        <v>299</v>
      </c>
      <c r="D28"/>
      <c r="F28" s="197">
        <v>1295.5</v>
      </c>
      <c r="G28" s="197">
        <v>1301.5999999999999</v>
      </c>
      <c r="H28" s="197">
        <v>1312.4</v>
      </c>
      <c r="I28" s="197">
        <v>1326.5</v>
      </c>
      <c r="J28" s="197">
        <v>1330.4</v>
      </c>
      <c r="K28" s="197">
        <v>1346.2</v>
      </c>
      <c r="L28" s="198">
        <v>1264.3219999999999</v>
      </c>
      <c r="M28" s="301">
        <v>1344.5</v>
      </c>
      <c r="N28" s="318">
        <f>VLOOKUP($C$28,'Haver NA'!$A$1:$I$34,9,0)</f>
        <v>1344.5</v>
      </c>
      <c r="O28" s="102">
        <f>N28*(1+O$6)</f>
        <v>1367.7476221513539</v>
      </c>
      <c r="P28" s="102">
        <f t="shared" ref="P28:V28" si="24">O28*(1+P$6)</f>
        <v>1381.7688051397847</v>
      </c>
      <c r="Q28" s="102">
        <f t="shared" si="24"/>
        <v>1401.7740287250635</v>
      </c>
      <c r="R28" s="102">
        <f t="shared" si="24"/>
        <v>1420.4084312949558</v>
      </c>
      <c r="S28" s="102">
        <f t="shared" si="24"/>
        <v>1438.0413207942458</v>
      </c>
      <c r="T28" s="102">
        <f t="shared" si="24"/>
        <v>1452.6008170581251</v>
      </c>
      <c r="U28" s="102">
        <f t="shared" si="24"/>
        <v>1468.2306804162108</v>
      </c>
      <c r="V28" s="102">
        <f t="shared" si="24"/>
        <v>1483.6539817034845</v>
      </c>
    </row>
    <row r="29" spans="1:39" x14ac:dyDescent="0.2">
      <c r="A29" s="211" t="s">
        <v>24</v>
      </c>
      <c r="C29" t="s">
        <v>300</v>
      </c>
      <c r="D29"/>
      <c r="F29" s="197">
        <v>21.6</v>
      </c>
      <c r="G29" s="197">
        <v>22</v>
      </c>
      <c r="H29" s="197">
        <v>22.1</v>
      </c>
      <c r="I29" s="197">
        <v>21.8</v>
      </c>
      <c r="J29" s="197">
        <v>21.1</v>
      </c>
      <c r="K29" s="197">
        <v>20.399999999999999</v>
      </c>
      <c r="L29" s="198">
        <v>19.106000000000002</v>
      </c>
      <c r="M29" s="301">
        <v>20.248999999999999</v>
      </c>
      <c r="N29" s="318">
        <f>VLOOKUP($C$29,'Haver NA'!$A$1:$I$34,9,0)</f>
        <v>20.248999999999999</v>
      </c>
      <c r="O29" s="102">
        <f>N29*(1+O$6)</f>
        <v>20.599123541050773</v>
      </c>
      <c r="P29" s="102">
        <f t="shared" ref="P29:V29" si="25">O29*(1+P$6)</f>
        <v>20.810291212551505</v>
      </c>
      <c r="Q29" s="102">
        <f t="shared" si="25"/>
        <v>21.111582229567727</v>
      </c>
      <c r="R29" s="102">
        <f t="shared" si="25"/>
        <v>21.392227835843478</v>
      </c>
      <c r="S29" s="102">
        <f t="shared" si="25"/>
        <v>21.657790037012035</v>
      </c>
      <c r="T29" s="102">
        <f t="shared" si="25"/>
        <v>21.877065038757884</v>
      </c>
      <c r="U29" s="102">
        <f t="shared" si="25"/>
        <v>22.112460429712051</v>
      </c>
      <c r="V29" s="102">
        <f t="shared" si="25"/>
        <v>22.344744868362856</v>
      </c>
    </row>
    <row r="30" spans="1:39" x14ac:dyDescent="0.2">
      <c r="A30" s="176" t="s">
        <v>0</v>
      </c>
      <c r="C30" t="s">
        <v>301</v>
      </c>
      <c r="D30"/>
      <c r="F30" s="197">
        <v>63.5</v>
      </c>
      <c r="G30" s="197">
        <v>68.5</v>
      </c>
      <c r="H30" s="197">
        <v>68.7</v>
      </c>
      <c r="I30" s="197">
        <v>69.8</v>
      </c>
      <c r="J30" s="197">
        <v>71</v>
      </c>
      <c r="K30" s="197">
        <v>62.7</v>
      </c>
      <c r="L30" s="197">
        <v>54.2</v>
      </c>
      <c r="M30" s="301">
        <v>90.2</v>
      </c>
      <c r="N30" s="318">
        <f>M30*(1+N6)</f>
        <v>91.517404099138886</v>
      </c>
      <c r="O30" s="102">
        <f>N30*(1+O6)</f>
        <v>93.099822865051522</v>
      </c>
      <c r="P30" s="102">
        <f t="shared" ref="P30:V30" si="26">O30*(1+P6)</f>
        <v>94.054216520313844</v>
      </c>
      <c r="Q30" s="102">
        <f t="shared" si="26"/>
        <v>95.415931753447055</v>
      </c>
      <c r="R30" s="102">
        <f t="shared" si="26"/>
        <v>96.684337964034526</v>
      </c>
      <c r="S30" s="102">
        <f t="shared" si="26"/>
        <v>97.88457319924612</v>
      </c>
      <c r="T30" s="102">
        <f t="shared" si="26"/>
        <v>98.875608753772966</v>
      </c>
      <c r="U30" s="102">
        <f t="shared" si="26"/>
        <v>99.939502038232803</v>
      </c>
      <c r="V30" s="102">
        <f t="shared" si="26"/>
        <v>100.98933505902134</v>
      </c>
    </row>
    <row r="31" spans="1:39" s="185" customFormat="1" ht="12" x14ac:dyDescent="0.15">
      <c r="A31" s="177" t="s">
        <v>265</v>
      </c>
      <c r="F31" s="209">
        <f t="shared" ref="F31:L31" si="27">F30/F21</f>
        <v>0.27055815935236471</v>
      </c>
      <c r="G31" s="209">
        <f t="shared" si="27"/>
        <v>0.32039289055191766</v>
      </c>
      <c r="H31" s="209">
        <f t="shared" si="27"/>
        <v>0.30642283675289922</v>
      </c>
      <c r="I31" s="209">
        <f t="shared" si="27"/>
        <v>0.34623015873015872</v>
      </c>
      <c r="J31" s="209">
        <f t="shared" si="27"/>
        <v>0.30909882455376581</v>
      </c>
      <c r="K31" s="209">
        <f t="shared" si="27"/>
        <v>0.3473684210526316</v>
      </c>
      <c r="L31" s="209">
        <f t="shared" si="27"/>
        <v>0.31603498542274056</v>
      </c>
      <c r="M31" s="209">
        <v>0.43574879227053143</v>
      </c>
      <c r="N31" s="209">
        <f t="shared" ref="N31" si="28">N30/N21</f>
        <v>0.43132981783498947</v>
      </c>
      <c r="O31" s="193"/>
      <c r="P31" s="193"/>
      <c r="Q31" s="193"/>
      <c r="R31" s="193"/>
      <c r="S31" s="193"/>
      <c r="T31" s="193"/>
      <c r="U31" s="193"/>
      <c r="AM31" s="234"/>
    </row>
    <row r="32" spans="1:39" s="170" customFormat="1" x14ac:dyDescent="0.2">
      <c r="A32" s="194"/>
      <c r="B32" s="195"/>
      <c r="C32" s="269"/>
      <c r="D32" s="269"/>
      <c r="F32" s="199"/>
      <c r="G32" s="199"/>
      <c r="H32" s="199"/>
      <c r="I32" s="199"/>
      <c r="J32" s="199"/>
      <c r="K32" s="199"/>
      <c r="L32" s="199"/>
      <c r="M32" s="301"/>
      <c r="N32" s="302"/>
      <c r="O32" s="175"/>
      <c r="P32" s="175"/>
      <c r="Q32" s="175"/>
      <c r="R32" s="175"/>
      <c r="S32" s="175"/>
      <c r="T32" s="175"/>
      <c r="U32" s="175"/>
      <c r="V32" s="171"/>
      <c r="W32" s="171"/>
      <c r="X32" s="172"/>
      <c r="Y32" s="172"/>
      <c r="Z32" s="172"/>
      <c r="AA32" s="172"/>
      <c r="AB32" s="172"/>
      <c r="AC32" s="172"/>
      <c r="AD32" s="173"/>
      <c r="AE32" s="173"/>
      <c r="AF32" s="173"/>
      <c r="AG32" s="174"/>
      <c r="AI32" s="174">
        <f>$AC$34*('figuring out social benefits'!G47/'figuring out social benefits'!$F$47)</f>
        <v>3428.146799249083</v>
      </c>
      <c r="AJ32" s="174">
        <f>$AC$34*('figuring out social benefits'!H47/'figuring out social benefits'!$F$47)</f>
        <v>2649.6527204036238</v>
      </c>
      <c r="AK32" s="174">
        <f>$AC$34*('figuring out social benefits'!I47/'figuring out social benefits'!$F$47)</f>
        <v>2766.2949511126526</v>
      </c>
      <c r="AL32" s="174"/>
      <c r="AM32" s="232"/>
    </row>
    <row r="33" spans="1:39" x14ac:dyDescent="0.2">
      <c r="F33" s="197"/>
      <c r="G33" s="197"/>
      <c r="H33" s="197"/>
      <c r="I33" s="197"/>
      <c r="J33" s="197"/>
      <c r="K33" s="197"/>
      <c r="L33" s="201"/>
      <c r="M33" s="301"/>
      <c r="N33" s="306"/>
      <c r="O33" s="88"/>
      <c r="P33" s="88"/>
      <c r="Q33" s="88"/>
      <c r="AG33" s="3"/>
      <c r="AI33" s="3">
        <f>AI32-47</f>
        <v>3381.146799249083</v>
      </c>
      <c r="AJ33" s="3">
        <f>AJ32+47</f>
        <v>2696.6527204036238</v>
      </c>
    </row>
    <row r="34" spans="1:39" ht="16" x14ac:dyDescent="0.2">
      <c r="A34" s="86" t="s">
        <v>14</v>
      </c>
      <c r="B34" t="s">
        <v>281</v>
      </c>
      <c r="C34" t="s">
        <v>302</v>
      </c>
      <c r="D34"/>
      <c r="F34" s="202">
        <v>2220523</v>
      </c>
      <c r="G34" s="202">
        <v>2298792</v>
      </c>
      <c r="H34" s="202">
        <v>2315842</v>
      </c>
      <c r="I34" s="202">
        <v>2331428</v>
      </c>
      <c r="J34" s="202">
        <v>2347737</v>
      </c>
      <c r="K34" s="202">
        <v>2422546</v>
      </c>
      <c r="L34" s="202">
        <v>4815254</v>
      </c>
      <c r="M34" s="303">
        <v>3494888</v>
      </c>
      <c r="N34" s="303">
        <f>VLOOKUP($C$34,'Haver NA'!$A$1:$J$34,10,0)</f>
        <v>2925056</v>
      </c>
      <c r="O34" s="133">
        <f t="shared" ref="O34:U34" si="29">O35+O40+O50</f>
        <v>3270456.7169724014</v>
      </c>
      <c r="P34" s="133">
        <f t="shared" si="29"/>
        <v>2708796.7165770018</v>
      </c>
      <c r="Q34" s="133">
        <f t="shared" si="29"/>
        <v>2611509.6718853824</v>
      </c>
      <c r="R34" s="133">
        <f t="shared" si="29"/>
        <v>2678465.9441347551</v>
      </c>
      <c r="S34" s="133">
        <f t="shared" si="29"/>
        <v>2735176.6542439447</v>
      </c>
      <c r="T34" s="133">
        <f t="shared" si="29"/>
        <v>2793300.2519227522</v>
      </c>
      <c r="U34" s="133">
        <f t="shared" si="29"/>
        <v>2852876.3150512893</v>
      </c>
      <c r="V34" s="87"/>
      <c r="W34" s="44"/>
      <c r="X34" s="3"/>
      <c r="Y34" s="3"/>
      <c r="Z34" s="3"/>
      <c r="AA34" s="3"/>
      <c r="AB34" s="3"/>
      <c r="AC34" s="3">
        <f>AVERAGE(F34:I34)/1000</f>
        <v>2291.6462499999998</v>
      </c>
      <c r="AD34" s="45"/>
      <c r="AE34" s="45"/>
      <c r="AF34" s="45"/>
      <c r="AH34">
        <v>2286.6999999999998</v>
      </c>
      <c r="AI34" s="32">
        <f>$AC34/'figuring out social benefits'!$F47*'figuring out social benefits'!G49+'figuring out social benefits'!G50-47</f>
        <v>3320.7721322167745</v>
      </c>
      <c r="AJ34" s="32">
        <f>$AC34/'figuring out social benefits'!$F47*'figuring out social benefits'!H49+'figuring out social benefits'!H50+46</f>
        <v>2675.6800557811207</v>
      </c>
      <c r="AK34" s="32">
        <f>$AC34/'figuring out social benefits'!$F47*'figuring out social benefits'!I49+'figuring out social benefits'!I50*0.9</f>
        <v>2725.1688956203648</v>
      </c>
      <c r="AL34" s="32"/>
      <c r="AM34" s="146" t="s">
        <v>29</v>
      </c>
    </row>
    <row r="35" spans="1:39" ht="16" x14ac:dyDescent="0.2">
      <c r="A35" s="86" t="s">
        <v>3</v>
      </c>
      <c r="B35" t="s">
        <v>281</v>
      </c>
      <c r="C35" t="s">
        <v>303</v>
      </c>
      <c r="D35"/>
      <c r="F35" s="202">
        <v>753311</v>
      </c>
      <c r="G35" s="202">
        <v>767353</v>
      </c>
      <c r="H35" s="202">
        <v>779707</v>
      </c>
      <c r="I35" s="202">
        <v>789893</v>
      </c>
      <c r="J35" s="202">
        <v>797912</v>
      </c>
      <c r="K35" s="202">
        <v>804655</v>
      </c>
      <c r="L35" s="202">
        <v>824058</v>
      </c>
      <c r="M35" s="301">
        <v>842733</v>
      </c>
      <c r="N35" s="303">
        <f>VLOOKUP($C$35,'Haver NA'!$A$1:$J$34,10,0)</f>
        <v>860594</v>
      </c>
      <c r="O35" s="87">
        <f>N35*((($AJ$35/$AI$35)^0.25))+12000</f>
        <v>883132.91447240114</v>
      </c>
      <c r="P35" s="87">
        <f>O35*((($AJ$35/$AI$35)^0.25))+12000</f>
        <v>905947.84259575198</v>
      </c>
      <c r="Q35" s="87">
        <f>P35*((($AJ$35/$AI$35)^0.25))+12000</f>
        <v>929042.16445899184</v>
      </c>
      <c r="R35" s="87">
        <f>Q35*((($AK$35/$AJ$35)^0.25))+12000</f>
        <v>971421.42409696849</v>
      </c>
      <c r="S35" s="87">
        <f>R35*((($AK$35/$AJ$35)^0.25))</f>
        <v>1003186.4664055918</v>
      </c>
      <c r="T35" s="87">
        <f>S35*((($AK$35/$AJ$35)^0.25))</f>
        <v>1035990.2112668242</v>
      </c>
      <c r="U35" s="87">
        <f>T35*((($AK$35/$AJ$35)^0.25))</f>
        <v>1069866.6237855225</v>
      </c>
      <c r="V35" s="87">
        <f>U35*((($AL$35/$AK$35)^0.25))</f>
        <v>1080647.7677858607</v>
      </c>
      <c r="W35" s="87">
        <f>V35*((($AL$35/$AK$35)^0.25))</f>
        <v>1091537.5543621723</v>
      </c>
      <c r="X35" s="87">
        <f>W35*((($AL$35/$AK$35)^0.25))</f>
        <v>1102537.0783156503</v>
      </c>
      <c r="Y35" s="87">
        <f>X35*((($AL$35/$AK$35)^0.25))</f>
        <v>1113647.4454798999</v>
      </c>
      <c r="Z35" s="3"/>
      <c r="AA35" s="3"/>
      <c r="AB35" s="3"/>
      <c r="AC35" s="3">
        <f>AVERAGE(F35:I35)/1000</f>
        <v>772.56600000000003</v>
      </c>
      <c r="AD35" s="45">
        <f>AVERAGE(J35:M35)/1000</f>
        <v>817.33950000000004</v>
      </c>
      <c r="AE35" s="45">
        <f>AVERAGE(N35:Q35)/1000</f>
        <v>894.67923038178628</v>
      </c>
      <c r="AF35" s="45">
        <f>AVERAGE(R35:U35)/1000</f>
        <v>1020.1161813887267</v>
      </c>
      <c r="AH35">
        <v>775.4</v>
      </c>
      <c r="AI35" s="3">
        <f>'figuring out social benefits'!G18-47</f>
        <v>815.06799999999998</v>
      </c>
      <c r="AJ35" s="3">
        <f>'figuring out social benefits'!H18+46</f>
        <v>855.73299999999995</v>
      </c>
      <c r="AK35" s="3">
        <f>'figuring out social benefits'!I18</f>
        <v>973.27200000000005</v>
      </c>
      <c r="AL35" s="3">
        <f>'figuring out social benefits'!J18</f>
        <v>1013.1</v>
      </c>
      <c r="AM35" s="146" t="s">
        <v>19</v>
      </c>
    </row>
    <row r="36" spans="1:39" ht="16" x14ac:dyDescent="0.2">
      <c r="A36" s="93" t="s">
        <v>339</v>
      </c>
      <c r="B36" t="s">
        <v>281</v>
      </c>
      <c r="C36" t="s">
        <v>304</v>
      </c>
      <c r="D36"/>
      <c r="F36" s="202"/>
      <c r="G36" s="202"/>
      <c r="H36" s="202"/>
      <c r="I36" s="202"/>
      <c r="J36" s="202">
        <v>0</v>
      </c>
      <c r="K36" s="202">
        <v>0</v>
      </c>
      <c r="L36" s="202">
        <v>1078000</v>
      </c>
      <c r="M36" s="301">
        <v>15600</v>
      </c>
      <c r="N36" s="315"/>
      <c r="O36" s="87">
        <f>16*1000</f>
        <v>16000</v>
      </c>
      <c r="P36" s="87">
        <f>16*1000</f>
        <v>16000</v>
      </c>
      <c r="Q36" s="87">
        <v>0</v>
      </c>
      <c r="R36" s="87">
        <v>0</v>
      </c>
      <c r="S36" s="87"/>
      <c r="T36" s="87"/>
      <c r="U36" s="87"/>
      <c r="AD36" s="45">
        <f>AVERAGE(J36:M36)/1000</f>
        <v>273.39999999999998</v>
      </c>
      <c r="AE36" s="45">
        <v>0</v>
      </c>
      <c r="AF36" s="45">
        <v>0</v>
      </c>
      <c r="AG36" s="3"/>
      <c r="AI36" s="3">
        <v>272</v>
      </c>
      <c r="AJ36" s="3">
        <v>9</v>
      </c>
      <c r="AK36" s="3">
        <v>0</v>
      </c>
      <c r="AL36" s="3"/>
      <c r="AM36" s="182"/>
    </row>
    <row r="37" spans="1:39" s="274" customFormat="1" ht="16" x14ac:dyDescent="0.2">
      <c r="A37" s="281" t="s">
        <v>340</v>
      </c>
      <c r="F37" s="202"/>
      <c r="G37" s="202"/>
      <c r="H37" s="202"/>
      <c r="I37" s="202"/>
      <c r="J37" s="202"/>
      <c r="K37" s="202"/>
      <c r="L37" s="202"/>
      <c r="M37" s="301"/>
      <c r="N37" s="315">
        <f>VLOOKUP($C$36,'Haver NA'!$A$1:$J$34,10,0)</f>
        <v>5000</v>
      </c>
      <c r="O37" s="275">
        <f>'Stimulus Round 2'!C4*4</f>
        <v>664000</v>
      </c>
      <c r="P37" s="275"/>
      <c r="Q37" s="275"/>
      <c r="R37" s="275"/>
      <c r="S37" s="275"/>
      <c r="T37" s="275"/>
      <c r="U37" s="275"/>
      <c r="AD37" s="277"/>
      <c r="AE37" s="277"/>
      <c r="AF37" s="277"/>
      <c r="AG37" s="276"/>
      <c r="AI37" s="276"/>
      <c r="AJ37" s="276"/>
      <c r="AK37" s="276"/>
      <c r="AL37" s="276"/>
      <c r="AM37" s="278"/>
    </row>
    <row r="38" spans="1:39" s="274" customFormat="1" ht="16" x14ac:dyDescent="0.2">
      <c r="A38" s="281" t="s">
        <v>347</v>
      </c>
      <c r="F38" s="202"/>
      <c r="G38" s="202"/>
      <c r="H38" s="202"/>
      <c r="I38" s="202"/>
      <c r="J38" s="202"/>
      <c r="K38" s="202"/>
      <c r="L38" s="202"/>
      <c r="M38" s="301"/>
      <c r="N38" s="303"/>
      <c r="O38" s="275">
        <f>'Stimulus Round 2'!$C$15*4/2</f>
        <v>52000</v>
      </c>
      <c r="P38" s="275">
        <f>'Stimulus Round 2'!$C$15*4/2</f>
        <v>52000</v>
      </c>
      <c r="Q38" s="275"/>
      <c r="R38" s="275"/>
      <c r="S38" s="275"/>
      <c r="T38" s="275"/>
      <c r="U38" s="275"/>
      <c r="AD38" s="277"/>
      <c r="AE38" s="277"/>
      <c r="AF38" s="277"/>
      <c r="AG38" s="276"/>
      <c r="AI38" s="276"/>
      <c r="AJ38" s="276"/>
      <c r="AK38" s="276"/>
      <c r="AL38" s="276"/>
      <c r="AM38" s="278"/>
    </row>
    <row r="39" spans="1:39" s="274" customFormat="1" ht="16" x14ac:dyDescent="0.2">
      <c r="A39" s="281" t="s">
        <v>351</v>
      </c>
      <c r="F39" s="202"/>
      <c r="G39" s="202"/>
      <c r="H39" s="202"/>
      <c r="I39" s="202"/>
      <c r="J39" s="202"/>
      <c r="K39" s="202"/>
      <c r="L39" s="202"/>
      <c r="M39" s="301"/>
      <c r="N39" s="303"/>
      <c r="O39" s="275">
        <f>'Stimulus Round 2'!$C$19*4/4</f>
        <v>5000</v>
      </c>
      <c r="P39" s="275">
        <f>'Stimulus Round 2'!$C$19*4/4</f>
        <v>5000</v>
      </c>
      <c r="Q39" s="275">
        <f>'Stimulus Round 2'!$C$19*4/4</f>
        <v>5000</v>
      </c>
      <c r="R39" s="275">
        <f>'Stimulus Round 2'!$C$19*4/4</f>
        <v>5000</v>
      </c>
      <c r="S39" s="275"/>
      <c r="T39" s="275"/>
      <c r="U39" s="275"/>
      <c r="AD39" s="277"/>
      <c r="AE39" s="277"/>
      <c r="AF39" s="277"/>
      <c r="AG39" s="276"/>
      <c r="AI39" s="276"/>
      <c r="AJ39" s="276"/>
      <c r="AK39" s="276"/>
      <c r="AL39" s="276"/>
      <c r="AM39" s="278"/>
    </row>
    <row r="40" spans="1:39" ht="16" x14ac:dyDescent="0.2">
      <c r="A40" s="86" t="s">
        <v>141</v>
      </c>
      <c r="F40" s="202">
        <v>27025</v>
      </c>
      <c r="G40" s="202">
        <v>28029</v>
      </c>
      <c r="H40" s="202">
        <v>27483</v>
      </c>
      <c r="I40" s="202">
        <v>27578</v>
      </c>
      <c r="J40" s="202">
        <v>27884</v>
      </c>
      <c r="K40" s="202">
        <v>43429</v>
      </c>
      <c r="L40" s="298">
        <f>L42+L46</f>
        <v>1084000</v>
      </c>
      <c r="M40" s="301">
        <v>881354</v>
      </c>
      <c r="N40" s="303">
        <f>N41+N44</f>
        <v>338269</v>
      </c>
      <c r="O40" s="87">
        <f t="shared" ref="O40:V40" si="30">O42+O46</f>
        <v>724000</v>
      </c>
      <c r="P40" s="87">
        <f t="shared" si="30"/>
        <v>152000</v>
      </c>
      <c r="Q40" s="87">
        <f t="shared" si="30"/>
        <v>44000</v>
      </c>
      <c r="R40" s="87">
        <f t="shared" si="30"/>
        <v>44000</v>
      </c>
      <c r="S40" s="87">
        <f t="shared" si="30"/>
        <v>44000</v>
      </c>
      <c r="T40" s="87">
        <f t="shared" si="30"/>
        <v>44000</v>
      </c>
      <c r="U40" s="87">
        <f t="shared" si="30"/>
        <v>44000</v>
      </c>
      <c r="V40" s="87">
        <f t="shared" si="30"/>
        <v>44000</v>
      </c>
      <c r="W40" s="44"/>
      <c r="X40" s="3"/>
      <c r="Y40" s="3"/>
      <c r="Z40" s="3"/>
      <c r="AA40" s="3"/>
      <c r="AB40" s="3"/>
      <c r="AC40" s="3">
        <f>AVERAGE(F40:I40)/1000</f>
        <v>27.528749999999999</v>
      </c>
      <c r="AD40" s="45">
        <f>AVERAGE(J40:M40)/1000</f>
        <v>509.16674999999998</v>
      </c>
      <c r="AE40" s="45">
        <f>AVERAGE(N40:Q40)/1000</f>
        <v>314.56725</v>
      </c>
      <c r="AF40" s="45">
        <f t="shared" ref="AF40:AF50" si="31">AVERAGE(R40:U40)/1000</f>
        <v>44</v>
      </c>
      <c r="AH40">
        <v>27.6</v>
      </c>
      <c r="AI40" s="3">
        <v>557</v>
      </c>
      <c r="AJ40" s="3">
        <v>166</v>
      </c>
      <c r="AK40" s="3">
        <v>67</v>
      </c>
      <c r="AL40" s="3"/>
      <c r="AM40" s="182"/>
    </row>
    <row r="41" spans="1:39" ht="16" x14ac:dyDescent="0.2">
      <c r="A41" s="115" t="s">
        <v>333</v>
      </c>
      <c r="B41" t="s">
        <v>281</v>
      </c>
      <c r="C41" t="s">
        <v>305</v>
      </c>
      <c r="D41"/>
      <c r="F41" s="202"/>
      <c r="G41" s="202"/>
      <c r="H41" s="202"/>
      <c r="I41" s="202"/>
      <c r="J41" s="202"/>
      <c r="K41" s="202"/>
      <c r="L41" s="202">
        <v>1084572</v>
      </c>
      <c r="M41" s="301">
        <v>775154</v>
      </c>
      <c r="N41" s="303">
        <f>VLOOKUP($C$41,'Haver NA'!$A$1:$J$34,10,0)</f>
        <v>302369</v>
      </c>
      <c r="O41" s="87"/>
      <c r="P41" s="87"/>
      <c r="Q41" s="87"/>
      <c r="R41" s="87"/>
      <c r="S41" s="87"/>
      <c r="T41" s="87"/>
      <c r="U41" s="87"/>
      <c r="V41" s="87"/>
      <c r="W41" s="44"/>
      <c r="X41" s="3"/>
      <c r="Y41" s="3"/>
      <c r="Z41" s="3"/>
      <c r="AA41" s="3"/>
      <c r="AB41" s="3"/>
      <c r="AC41" s="3"/>
      <c r="AD41" s="45"/>
      <c r="AE41" s="45"/>
      <c r="AF41" s="45"/>
      <c r="AI41" s="3"/>
      <c r="AJ41" s="3"/>
      <c r="AK41" s="3"/>
      <c r="AL41" s="3"/>
      <c r="AM41" s="182"/>
    </row>
    <row r="42" spans="1:39" ht="16" x14ac:dyDescent="0.2">
      <c r="A42" s="117" t="s">
        <v>212</v>
      </c>
      <c r="F42" s="202"/>
      <c r="G42" s="202"/>
      <c r="H42" s="202"/>
      <c r="I42" s="202"/>
      <c r="J42" s="202"/>
      <c r="K42" s="202"/>
      <c r="L42" s="202">
        <f>L43+L44</f>
        <v>822933.33333333326</v>
      </c>
      <c r="M42" s="301">
        <v>695200</v>
      </c>
      <c r="N42" s="303">
        <f>N43+N44</f>
        <v>301600</v>
      </c>
      <c r="O42" s="87">
        <f>SUM(O43:O45)</f>
        <v>664000</v>
      </c>
      <c r="P42" s="87">
        <f>SUM(P43:P45)</f>
        <v>108000</v>
      </c>
      <c r="Q42" s="87">
        <f t="shared" ref="Q42" si="32">Q43+Q44+Q45</f>
        <v>0</v>
      </c>
      <c r="R42" s="87">
        <f t="shared" ref="R42" si="33">R43+R44</f>
        <v>0</v>
      </c>
      <c r="S42" s="87"/>
      <c r="T42" s="87"/>
      <c r="U42" s="87"/>
      <c r="V42" s="3"/>
      <c r="W42" s="44"/>
      <c r="X42" s="3"/>
      <c r="Y42" s="3"/>
      <c r="Z42" s="3"/>
      <c r="AA42" s="3"/>
      <c r="AB42" s="3"/>
      <c r="AC42" s="3"/>
      <c r="AD42" s="45"/>
      <c r="AE42" s="45"/>
      <c r="AF42" s="45"/>
      <c r="AG42" s="3"/>
      <c r="AI42" s="3"/>
      <c r="AJ42" s="3"/>
      <c r="AK42" s="3"/>
      <c r="AL42" s="3"/>
      <c r="AM42" s="182"/>
    </row>
    <row r="43" spans="1:39" ht="16" x14ac:dyDescent="0.2">
      <c r="A43" s="270" t="s">
        <v>138</v>
      </c>
      <c r="F43" s="202"/>
      <c r="G43" s="202"/>
      <c r="H43" s="202"/>
      <c r="I43" s="202"/>
      <c r="J43" s="202">
        <v>0</v>
      </c>
      <c r="K43" s="202">
        <v>0</v>
      </c>
      <c r="L43" s="202">
        <f>'figuring out UI'!M17*1000</f>
        <v>822933.33333333326</v>
      </c>
      <c r="M43" s="301">
        <v>589000</v>
      </c>
      <c r="N43" s="303">
        <f>1000*'figuring out UI'!O17</f>
        <v>265700</v>
      </c>
      <c r="O43" s="87">
        <f>1000*'figuring out UI'!P17</f>
        <v>184000</v>
      </c>
      <c r="P43" s="87">
        <f>1000*'figuring out UI'!Q17</f>
        <v>108000</v>
      </c>
      <c r="Q43" s="87">
        <f>1000*'figuring out UI'!R17</f>
        <v>0</v>
      </c>
      <c r="R43" s="87">
        <f>1000*'figuring out UI'!S17</f>
        <v>0</v>
      </c>
      <c r="S43" s="87">
        <f>1000*'figuring out UI'!T17</f>
        <v>0</v>
      </c>
      <c r="T43" s="87">
        <f>1000*'figuring out UI'!U17</f>
        <v>0</v>
      </c>
      <c r="U43" s="87">
        <f>1000*'figuring out UI'!V17</f>
        <v>0</v>
      </c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352.98333333333329</v>
      </c>
      <c r="AE43" s="45">
        <f>AVERAGE(N43:Q43)/1000</f>
        <v>139.42500000000001</v>
      </c>
      <c r="AF43" s="45">
        <f t="shared" si="31"/>
        <v>0</v>
      </c>
      <c r="AG43" s="3"/>
      <c r="AI43" s="3"/>
      <c r="AJ43" s="3"/>
      <c r="AK43" s="3"/>
      <c r="AL43" s="3"/>
      <c r="AM43" s="182"/>
    </row>
    <row r="44" spans="1:39" ht="16" x14ac:dyDescent="0.2">
      <c r="A44" s="270" t="s">
        <v>162</v>
      </c>
      <c r="F44" s="202"/>
      <c r="G44" s="202"/>
      <c r="H44" s="202"/>
      <c r="I44" s="202"/>
      <c r="J44" s="202"/>
      <c r="K44" s="202"/>
      <c r="L44" s="202"/>
      <c r="M44" s="301">
        <v>106200</v>
      </c>
      <c r="N44" s="303">
        <v>35900</v>
      </c>
      <c r="O44" s="87"/>
      <c r="P44" s="87"/>
      <c r="Q44" s="87"/>
      <c r="R44" s="87"/>
      <c r="S44" s="87"/>
      <c r="T44" s="87"/>
      <c r="U44" s="87"/>
      <c r="V44" s="3"/>
      <c r="W44" s="44"/>
      <c r="X44" s="3"/>
      <c r="Y44" s="3"/>
      <c r="Z44" s="3"/>
      <c r="AA44" s="3"/>
      <c r="AB44" s="3"/>
      <c r="AC44" s="3"/>
      <c r="AD44" s="45"/>
      <c r="AE44" s="45"/>
      <c r="AF44" s="45"/>
      <c r="AG44" s="3"/>
      <c r="AI44" s="3"/>
      <c r="AJ44" s="3"/>
      <c r="AK44" s="3"/>
      <c r="AL44" s="3"/>
      <c r="AM44" s="182"/>
    </row>
    <row r="45" spans="1:39" s="274" customFormat="1" ht="14.5" customHeight="1" x14ac:dyDescent="0.2">
      <c r="A45" s="273" t="s">
        <v>345</v>
      </c>
      <c r="F45" s="202"/>
      <c r="G45" s="202"/>
      <c r="H45" s="202"/>
      <c r="I45" s="202"/>
      <c r="J45" s="202"/>
      <c r="K45" s="202"/>
      <c r="L45" s="202"/>
      <c r="M45" s="301"/>
      <c r="N45" s="303"/>
      <c r="O45" s="275">
        <f>'Stimulus Round 2'!$C$3*4</f>
        <v>480000</v>
      </c>
      <c r="P45" s="275"/>
      <c r="Q45" s="275"/>
      <c r="R45" s="275"/>
      <c r="S45" s="275"/>
      <c r="T45" s="275"/>
      <c r="U45" s="275"/>
      <c r="V45" s="276"/>
      <c r="W45" s="276"/>
      <c r="X45" s="276"/>
      <c r="Y45" s="276"/>
      <c r="Z45" s="276"/>
      <c r="AA45" s="276"/>
      <c r="AB45" s="276"/>
      <c r="AC45" s="276"/>
      <c r="AD45" s="277"/>
      <c r="AE45" s="277"/>
      <c r="AF45" s="277"/>
      <c r="AG45" s="276"/>
      <c r="AI45" s="276"/>
      <c r="AJ45" s="276"/>
      <c r="AK45" s="276"/>
      <c r="AL45" s="276"/>
      <c r="AM45" s="278"/>
    </row>
    <row r="46" spans="1:39" ht="16" x14ac:dyDescent="0.2">
      <c r="A46" s="117" t="s">
        <v>139</v>
      </c>
      <c r="F46" s="202"/>
      <c r="G46" s="202"/>
      <c r="H46" s="202"/>
      <c r="I46" s="202"/>
      <c r="J46" s="202">
        <v>0</v>
      </c>
      <c r="K46" s="202">
        <v>0</v>
      </c>
      <c r="L46" s="202">
        <f>'figuring out UI'!M18*1000</f>
        <v>261066.66666666672</v>
      </c>
      <c r="M46" s="301">
        <v>186000</v>
      </c>
      <c r="N46" s="303">
        <f>1000*'figuring out UI'!O18</f>
        <v>36699.999999999985</v>
      </c>
      <c r="O46" s="87">
        <f>1000*'figuring out UI'!P18</f>
        <v>60000</v>
      </c>
      <c r="P46" s="87">
        <f>1000*'figuring out UI'!Q18</f>
        <v>44000</v>
      </c>
      <c r="Q46" s="87">
        <f>1000*'figuring out UI'!R18</f>
        <v>44000</v>
      </c>
      <c r="R46" s="87">
        <f>1000*'figuring out UI'!S18</f>
        <v>44000</v>
      </c>
      <c r="S46" s="87">
        <f>1000*'figuring out UI'!T18</f>
        <v>44000</v>
      </c>
      <c r="T46" s="87">
        <f>1000*'figuring out UI'!U18</f>
        <v>44000</v>
      </c>
      <c r="U46" s="87">
        <f>1000*'figuring out UI'!V18</f>
        <v>44000</v>
      </c>
      <c r="V46" s="87">
        <f>1000*'figuring out UI'!W18</f>
        <v>44000</v>
      </c>
      <c r="W46" s="44"/>
      <c r="X46" s="3"/>
      <c r="Y46" s="3"/>
      <c r="Z46" s="3"/>
      <c r="AA46" s="3"/>
      <c r="AB46" s="3"/>
      <c r="AC46" s="3"/>
      <c r="AD46" s="45">
        <f>AVERAGE(J46:M46)/1000</f>
        <v>111.76666666666668</v>
      </c>
      <c r="AE46" s="45">
        <f>AVERAGE(N46:Q46)/1000</f>
        <v>46.174999999999997</v>
      </c>
      <c r="AF46" s="45">
        <f t="shared" si="31"/>
        <v>44</v>
      </c>
      <c r="AG46" s="3"/>
      <c r="AI46" s="3"/>
      <c r="AJ46" s="3"/>
      <c r="AK46" s="3"/>
      <c r="AL46" s="3"/>
      <c r="AM46" s="182"/>
    </row>
    <row r="47" spans="1:39" ht="32" x14ac:dyDescent="0.2">
      <c r="A47" s="86" t="s">
        <v>147</v>
      </c>
      <c r="F47" s="202"/>
      <c r="G47" s="202"/>
      <c r="H47" s="202"/>
      <c r="I47" s="202"/>
      <c r="J47" s="202">
        <v>0</v>
      </c>
      <c r="K47" s="202">
        <v>0</v>
      </c>
      <c r="L47" s="202">
        <f>SUM(L48:L49)</f>
        <v>179900</v>
      </c>
      <c r="M47" s="301">
        <v>85400</v>
      </c>
      <c r="N47" s="303">
        <f>SUM(N48:N49)</f>
        <v>45300</v>
      </c>
      <c r="O47" s="87">
        <f t="shared" ref="O47:R47" si="34">SUM(O48:O49)</f>
        <v>43377.595548489669</v>
      </c>
      <c r="P47" s="87">
        <f t="shared" si="34"/>
        <v>43000</v>
      </c>
      <c r="Q47" s="87">
        <f t="shared" si="34"/>
        <v>43000</v>
      </c>
      <c r="R47" s="87">
        <f t="shared" si="34"/>
        <v>15000</v>
      </c>
      <c r="S47" s="87"/>
      <c r="T47" s="87"/>
      <c r="U47" s="87"/>
      <c r="V47" s="3"/>
      <c r="W47" s="44"/>
      <c r="X47" s="3"/>
      <c r="Y47" s="3"/>
      <c r="Z47" s="3"/>
      <c r="AA47" s="3"/>
      <c r="AB47" s="3"/>
      <c r="AC47" s="3"/>
      <c r="AD47" s="45">
        <f>AVERAGE(J47:M47)/1000</f>
        <v>66.325000000000003</v>
      </c>
      <c r="AE47" s="45">
        <f>AVERAGE(N47:Q47)/1000</f>
        <v>43.669398887122412</v>
      </c>
      <c r="AF47" s="45">
        <f t="shared" ref="AF47" si="35">AVERAGE(R47:U47)/1000</f>
        <v>15</v>
      </c>
      <c r="AG47" s="3"/>
      <c r="AI47" s="3">
        <f>'figuring out social benefits'!G48</f>
        <v>105</v>
      </c>
      <c r="AJ47" s="3"/>
      <c r="AK47" s="3"/>
      <c r="AL47" s="3"/>
      <c r="AM47" s="182"/>
    </row>
    <row r="48" spans="1:39" ht="16" x14ac:dyDescent="0.2">
      <c r="A48" s="117" t="s">
        <v>205</v>
      </c>
      <c r="B48" t="s">
        <v>281</v>
      </c>
      <c r="C48" t="s">
        <v>306</v>
      </c>
      <c r="D48"/>
      <c r="F48" s="202"/>
      <c r="G48" s="202"/>
      <c r="H48" s="202"/>
      <c r="I48" s="202"/>
      <c r="J48" s="202"/>
      <c r="K48" s="202"/>
      <c r="L48" s="202">
        <v>19000</v>
      </c>
      <c r="M48" s="301">
        <v>27000</v>
      </c>
      <c r="N48" s="303">
        <f>VLOOKUP($C$48,'Haver NA'!$A$1:$J$34,10,0)</f>
        <v>10800</v>
      </c>
      <c r="O48" s="87">
        <v>377.5955484896661</v>
      </c>
      <c r="P48" s="87">
        <v>0</v>
      </c>
      <c r="Q48" s="87">
        <v>0</v>
      </c>
      <c r="R48" s="87">
        <v>0</v>
      </c>
      <c r="S48" s="87"/>
      <c r="T48" s="87"/>
      <c r="U48" s="87"/>
      <c r="V48" s="87"/>
      <c r="W48" s="133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I48" s="3"/>
      <c r="AJ48" s="3"/>
      <c r="AK48" s="3"/>
      <c r="AL48" s="3"/>
      <c r="AM48" s="182"/>
    </row>
    <row r="49" spans="1:41" ht="16" x14ac:dyDescent="0.2">
      <c r="A49" s="117" t="s">
        <v>206</v>
      </c>
      <c r="B49" t="s">
        <v>281</v>
      </c>
      <c r="C49" t="s">
        <v>307</v>
      </c>
      <c r="D49"/>
      <c r="F49" s="202"/>
      <c r="G49" s="202"/>
      <c r="H49" s="202"/>
      <c r="I49" s="202"/>
      <c r="J49" s="202"/>
      <c r="K49" s="202"/>
      <c r="L49" s="202">
        <v>160900</v>
      </c>
      <c r="M49" s="301">
        <v>58400</v>
      </c>
      <c r="N49" s="303">
        <f>VLOOKUP($C$49,'Haver NA'!$A$1:$J$34,10,0)</f>
        <v>34500</v>
      </c>
      <c r="O49" s="87">
        <v>43000</v>
      </c>
      <c r="P49" s="87">
        <v>43000</v>
      </c>
      <c r="Q49" s="87">
        <v>43000</v>
      </c>
      <c r="R49" s="87">
        <v>15000</v>
      </c>
      <c r="S49" s="87"/>
      <c r="T49" s="87"/>
      <c r="U49" s="87"/>
      <c r="V49" s="87"/>
      <c r="W49" s="133"/>
      <c r="X49" s="87"/>
      <c r="Y49" s="87"/>
      <c r="Z49" s="87"/>
      <c r="AA49" s="87"/>
      <c r="AB49" s="87"/>
      <c r="AC49" s="87"/>
      <c r="AD49" s="87"/>
      <c r="AE49" s="87"/>
      <c r="AF49" s="87"/>
      <c r="AG49" s="87"/>
      <c r="AI49" s="3"/>
      <c r="AJ49" s="3"/>
      <c r="AK49" s="3"/>
      <c r="AL49" s="3"/>
      <c r="AM49" s="182"/>
    </row>
    <row r="50" spans="1:41" ht="32" x14ac:dyDescent="0.2">
      <c r="A50" s="86" t="s">
        <v>149</v>
      </c>
      <c r="F50" s="197">
        <f>F34-F36-F40-F35</f>
        <v>1440187</v>
      </c>
      <c r="G50" s="197">
        <f>G34-G36-G40-G35</f>
        <v>1503410</v>
      </c>
      <c r="H50" s="201">
        <f>H34-H36-H40-H35</f>
        <v>1508652</v>
      </c>
      <c r="I50" s="197">
        <f>I34-I36-I40-I35</f>
        <v>1513957</v>
      </c>
      <c r="J50" s="201">
        <f>J34-J36-J40-J35-J47</f>
        <v>1521941</v>
      </c>
      <c r="K50" s="201">
        <f>K34-K36-K40-K35-K47</f>
        <v>1574462</v>
      </c>
      <c r="L50" s="201">
        <f>L34-L36-L41-L35-L47</f>
        <v>1648724</v>
      </c>
      <c r="M50" s="303">
        <v>1669801</v>
      </c>
      <c r="N50" s="306">
        <f>N34-N36-N40-N35-N47-N37</f>
        <v>1675893</v>
      </c>
      <c r="O50" s="88">
        <f>N50*(1+O52)</f>
        <v>1663323.8025</v>
      </c>
      <c r="P50" s="88">
        <f t="shared" ref="P50:Q50" si="36">O50*(1+P52)</f>
        <v>1650848.87398125</v>
      </c>
      <c r="Q50" s="88">
        <f t="shared" si="36"/>
        <v>1638467.5074263907</v>
      </c>
      <c r="R50" s="88">
        <f>Q50*(1+R52)</f>
        <v>1663044.5200377863</v>
      </c>
      <c r="S50" s="88">
        <f t="shared" ref="S50:U50" si="37">R50*(1+S52)</f>
        <v>1687990.187838353</v>
      </c>
      <c r="T50" s="88">
        <f t="shared" si="37"/>
        <v>1713310.0406559282</v>
      </c>
      <c r="U50" s="88">
        <f t="shared" si="37"/>
        <v>1739009.691265767</v>
      </c>
      <c r="V50" s="88">
        <f>U50*(1+V52)</f>
        <v>1756399.7881784246</v>
      </c>
      <c r="W50" s="44"/>
      <c r="X50" s="3"/>
      <c r="Y50" s="3"/>
      <c r="Z50" s="3"/>
      <c r="AA50" s="3"/>
      <c r="AB50" s="3"/>
      <c r="AC50" s="3">
        <f>AD34-AD36-AD40-AD35-AD47</f>
        <v>-1666.23125</v>
      </c>
      <c r="AD50" s="45">
        <f>AVERAGE(J50:M50)/1000</f>
        <v>1603.732</v>
      </c>
      <c r="AE50" s="45">
        <f>AVERAGE(N50:Q50)/1000</f>
        <v>1657.1332959769102</v>
      </c>
      <c r="AF50" s="45">
        <f t="shared" si="31"/>
        <v>1700.8386099494589</v>
      </c>
      <c r="AG50" s="3"/>
      <c r="AI50" s="3">
        <f>AI34-AI36-AI40-AI35-AI47</f>
        <v>1571.7041322167745</v>
      </c>
      <c r="AJ50" s="3">
        <f>AJ34-AJ36-AJ40-AJ35</f>
        <v>1644.9470557811208</v>
      </c>
      <c r="AK50" s="3">
        <f>AK34-AK36-AK40-AK35</f>
        <v>1684.8968956203648</v>
      </c>
      <c r="AL50" s="3"/>
      <c r="AM50" s="182"/>
      <c r="AN50">
        <f>AJ50/AI50*AD50</f>
        <v>1678.467452993958</v>
      </c>
      <c r="AO50">
        <f>AK50/AI50*AD50</f>
        <v>1719.2313825604638</v>
      </c>
    </row>
    <row r="51" spans="1:41" s="170" customFormat="1" ht="12" x14ac:dyDescent="0.15">
      <c r="A51" s="169" t="s">
        <v>215</v>
      </c>
      <c r="C51" s="269"/>
      <c r="D51" s="269"/>
      <c r="F51" s="225"/>
      <c r="G51" s="227">
        <f>G50/F50-1</f>
        <v>4.3899160317375507E-2</v>
      </c>
      <c r="H51" s="227">
        <f t="shared" ref="H51:L51" si="38">H50/G50-1</f>
        <v>3.4867401440725754E-3</v>
      </c>
      <c r="I51" s="227">
        <f t="shared" si="38"/>
        <v>3.5163841628156334E-3</v>
      </c>
      <c r="J51" s="227">
        <f t="shared" si="38"/>
        <v>5.2735975988749129E-3</v>
      </c>
      <c r="K51" s="227">
        <f t="shared" si="38"/>
        <v>3.4509222105193249E-2</v>
      </c>
      <c r="L51" s="227">
        <f t="shared" si="38"/>
        <v>4.7166587697893059E-2</v>
      </c>
      <c r="M51" s="227">
        <v>1.2783825552366457E-2</v>
      </c>
      <c r="N51" s="227">
        <f t="shared" ref="N51" si="39">N50/M50-1</f>
        <v>3.6483389338011207E-3</v>
      </c>
      <c r="O51" s="226"/>
      <c r="P51" s="226"/>
      <c r="Q51" s="226"/>
      <c r="R51" s="226"/>
      <c r="S51" s="226"/>
      <c r="T51" s="226"/>
      <c r="U51" s="226"/>
      <c r="V51" s="226"/>
      <c r="W51" s="172"/>
      <c r="X51" s="174"/>
      <c r="Y51" s="174"/>
      <c r="Z51" s="174"/>
      <c r="AA51" s="174"/>
      <c r="AB51" s="174"/>
      <c r="AC51" s="174"/>
      <c r="AD51" s="173"/>
      <c r="AE51" s="173"/>
      <c r="AF51" s="173"/>
      <c r="AG51" s="174"/>
      <c r="AI51" s="174"/>
      <c r="AJ51" s="174"/>
      <c r="AK51" s="174"/>
      <c r="AL51" s="174"/>
      <c r="AM51" s="183"/>
    </row>
    <row r="52" spans="1:41" s="185" customFormat="1" x14ac:dyDescent="0.2">
      <c r="A52" s="169" t="s">
        <v>269</v>
      </c>
      <c r="F52" s="207"/>
      <c r="G52" s="207"/>
      <c r="H52" s="207"/>
      <c r="I52" s="207"/>
      <c r="J52" s="200"/>
      <c r="K52" s="200"/>
      <c r="L52" s="200"/>
      <c r="M52" s="301"/>
      <c r="N52" s="302"/>
      <c r="O52" s="175">
        <v>-7.4999999999999997E-3</v>
      </c>
      <c r="P52" s="175">
        <v>-7.4999999999999997E-3</v>
      </c>
      <c r="Q52" s="175">
        <v>-7.4999999999999997E-3</v>
      </c>
      <c r="R52" s="175">
        <v>1.4999999999999999E-2</v>
      </c>
      <c r="S52" s="175">
        <v>1.4999999999999999E-2</v>
      </c>
      <c r="T52" s="175">
        <v>1.4999999999999999E-2</v>
      </c>
      <c r="U52" s="175">
        <v>1.4999999999999999E-2</v>
      </c>
      <c r="V52" s="175">
        <v>0.01</v>
      </c>
      <c r="W52" s="175"/>
      <c r="AD52" s="187">
        <f>AD35+AD36+AD40+AD47</f>
        <v>1666.23125</v>
      </c>
      <c r="AI52" s="187">
        <f>AI35+AI36+AI40+AI47</f>
        <v>1749.068</v>
      </c>
      <c r="AM52" s="234"/>
      <c r="AN52" s="224">
        <v>-7.4999999999999997E-3</v>
      </c>
      <c r="AO52" s="224">
        <v>1.4999999999999999E-2</v>
      </c>
    </row>
    <row r="53" spans="1:41" s="35" customFormat="1" ht="14" customHeight="1" x14ac:dyDescent="0.2">
      <c r="A53"/>
      <c r="B53"/>
      <c r="E53"/>
      <c r="F53" s="197"/>
      <c r="G53" s="197"/>
      <c r="H53" s="197"/>
      <c r="I53" s="197"/>
      <c r="J53" s="197"/>
      <c r="K53" s="197"/>
      <c r="L53" s="197"/>
      <c r="M53" s="301"/>
      <c r="N53" s="307"/>
      <c r="O53" s="3"/>
      <c r="P53" s="3"/>
      <c r="Q53" s="3"/>
      <c r="R53" s="3"/>
      <c r="S53" s="3"/>
      <c r="T53" s="3"/>
      <c r="U53" s="3"/>
      <c r="V53" s="3"/>
      <c r="W53" s="44"/>
      <c r="X53" s="44"/>
      <c r="Y53" s="44"/>
      <c r="Z53" s="44"/>
      <c r="AA53" s="44"/>
      <c r="AB53" s="44"/>
      <c r="AC53" s="44"/>
      <c r="AD53" s="45"/>
      <c r="AE53" s="45"/>
      <c r="AF53" s="45"/>
      <c r="AG53" s="44"/>
      <c r="AI53" s="44"/>
      <c r="AJ53" s="44"/>
      <c r="AK53" s="44"/>
      <c r="AL53" s="44"/>
      <c r="AM53" s="235"/>
    </row>
    <row r="54" spans="1:41" s="35" customFormat="1" x14ac:dyDescent="0.2">
      <c r="A54" s="141" t="s">
        <v>4</v>
      </c>
      <c r="B54" s="141" t="s">
        <v>281</v>
      </c>
      <c r="C54" t="s">
        <v>308</v>
      </c>
      <c r="D54"/>
      <c r="E54" s="141"/>
      <c r="F54" s="197">
        <v>79458</v>
      </c>
      <c r="G54" s="197">
        <v>71318</v>
      </c>
      <c r="H54" s="197">
        <v>61083</v>
      </c>
      <c r="I54" s="202">
        <v>81998</v>
      </c>
      <c r="J54" s="202">
        <v>81147</v>
      </c>
      <c r="K54" s="202">
        <v>75093</v>
      </c>
      <c r="L54" s="202">
        <v>1086548</v>
      </c>
      <c r="M54" s="303">
        <v>1213480</v>
      </c>
      <c r="N54" s="308">
        <f>VLOOKUP($C$54,'Haver NA'!$A$1:$J$34,10,0)</f>
        <v>610536</v>
      </c>
      <c r="O54" s="144">
        <f t="shared" ref="O54:Z54" si="40">O55+AVERAGE($H$54:$K$54)</f>
        <v>794083.58333333337</v>
      </c>
      <c r="P54" s="144">
        <f t="shared" si="40"/>
        <v>794083.58333333337</v>
      </c>
      <c r="Q54" s="144">
        <f t="shared" si="40"/>
        <v>144083.58333333331</v>
      </c>
      <c r="R54" s="144">
        <f t="shared" si="40"/>
        <v>122750.25</v>
      </c>
      <c r="S54" s="144">
        <f t="shared" si="40"/>
        <v>77330.25</v>
      </c>
      <c r="T54" s="144">
        <f t="shared" si="40"/>
        <v>77330.25</v>
      </c>
      <c r="U54" s="144">
        <f t="shared" si="40"/>
        <v>77330.25</v>
      </c>
      <c r="V54" s="144">
        <f t="shared" si="40"/>
        <v>77330.25</v>
      </c>
      <c r="W54" s="144">
        <f t="shared" si="40"/>
        <v>74830.25</v>
      </c>
      <c r="X54" s="144">
        <f t="shared" si="40"/>
        <v>74830.25</v>
      </c>
      <c r="Y54" s="144">
        <f t="shared" si="40"/>
        <v>74830.25</v>
      </c>
      <c r="Z54" s="144">
        <f t="shared" si="40"/>
        <v>74830.25</v>
      </c>
      <c r="AA54" s="44"/>
      <c r="AB54" s="44"/>
      <c r="AC54" s="44">
        <f>AVERAGE(F54:I54)/1000</f>
        <v>73.464250000000007</v>
      </c>
      <c r="AD54" s="44"/>
      <c r="AE54" s="44"/>
      <c r="AF54" s="44"/>
      <c r="AM54" s="233"/>
    </row>
    <row r="55" spans="1:41" s="35" customFormat="1" ht="16" x14ac:dyDescent="0.2">
      <c r="A55" s="134" t="s">
        <v>200</v>
      </c>
      <c r="F55" s="197"/>
      <c r="G55" s="197"/>
      <c r="H55" s="197"/>
      <c r="I55" s="202"/>
      <c r="J55" s="202"/>
      <c r="K55" s="202"/>
      <c r="L55" s="202"/>
      <c r="M55" s="299">
        <v>1093900</v>
      </c>
      <c r="N55" s="308">
        <f t="shared" ref="N55" si="41">N57+N58+N63</f>
        <v>473700</v>
      </c>
      <c r="O55" s="116">
        <f>O57+O58+SUM(O63:O66)</f>
        <v>719253.33333333337</v>
      </c>
      <c r="P55" s="116">
        <f t="shared" ref="P55:V55" si="42">P57+P58+SUM(P63:P66)</f>
        <v>719253.33333333337</v>
      </c>
      <c r="Q55" s="116">
        <f t="shared" si="42"/>
        <v>69253.333333333328</v>
      </c>
      <c r="R55" s="116">
        <f t="shared" si="42"/>
        <v>47920</v>
      </c>
      <c r="S55" s="116">
        <f t="shared" si="42"/>
        <v>2500</v>
      </c>
      <c r="T55" s="116">
        <f t="shared" si="42"/>
        <v>2500</v>
      </c>
      <c r="U55" s="116">
        <f t="shared" si="42"/>
        <v>2500</v>
      </c>
      <c r="V55" s="116">
        <f t="shared" si="42"/>
        <v>2500</v>
      </c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M55" s="233"/>
    </row>
    <row r="56" spans="1:41" s="35" customFormat="1" ht="16" x14ac:dyDescent="0.2">
      <c r="A56" s="219" t="s">
        <v>337</v>
      </c>
      <c r="F56" s="197"/>
      <c r="G56" s="197"/>
      <c r="H56" s="197"/>
      <c r="I56" s="202"/>
      <c r="J56" s="202"/>
      <c r="K56" s="202"/>
      <c r="L56" s="202"/>
      <c r="M56" s="303"/>
      <c r="N56" s="308"/>
      <c r="O56" s="116"/>
      <c r="P56" s="116"/>
      <c r="Q56" s="116"/>
      <c r="R56" s="116"/>
      <c r="S56" s="116"/>
      <c r="T56" s="116"/>
      <c r="U56" s="116"/>
      <c r="V56" s="116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M56" s="233"/>
    </row>
    <row r="57" spans="1:41" s="35" customFormat="1" ht="16" x14ac:dyDescent="0.2">
      <c r="A57" s="271" t="s">
        <v>335</v>
      </c>
      <c r="C57" t="s">
        <v>309</v>
      </c>
      <c r="D57"/>
      <c r="F57" s="197"/>
      <c r="G57" s="197"/>
      <c r="H57" s="197"/>
      <c r="I57" s="202"/>
      <c r="J57" s="202"/>
      <c r="K57" s="202"/>
      <c r="L57" s="202">
        <v>609300</v>
      </c>
      <c r="M57" s="301">
        <v>865600</v>
      </c>
      <c r="N57" s="308">
        <f>VLOOKUP($C$57,'Haver NA'!$A$1:$J$34,10,0)</f>
        <v>260300</v>
      </c>
      <c r="O57" s="116"/>
      <c r="P57" s="116">
        <f>'[1]Revised Add Factors'!F$13*1000</f>
        <v>0</v>
      </c>
      <c r="Q57" s="116">
        <f>'[1]Revised Add Factors'!G$13*1000</f>
        <v>0</v>
      </c>
      <c r="R57" s="116">
        <f>'[1]Revised Add Factors'!H$13*1000</f>
        <v>0</v>
      </c>
      <c r="S57" s="116"/>
      <c r="T57" s="116">
        <f>'[1]Revised Add Factors'!J$13*1000</f>
        <v>0</v>
      </c>
      <c r="U57" s="116">
        <f>'[1]Revised Add Factors'!K$13*1000</f>
        <v>0</v>
      </c>
      <c r="V57" s="116">
        <f>'[1]Revised Add Factors'!L$13*1000</f>
        <v>0</v>
      </c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M57" s="233"/>
    </row>
    <row r="58" spans="1:41" s="35" customFormat="1" ht="27.5" customHeight="1" x14ac:dyDescent="0.2">
      <c r="A58" s="113" t="s">
        <v>272</v>
      </c>
      <c r="C58" t="s">
        <v>334</v>
      </c>
      <c r="D58"/>
      <c r="F58" s="197"/>
      <c r="G58" s="197"/>
      <c r="H58" s="197"/>
      <c r="I58" s="202"/>
      <c r="J58" s="202"/>
      <c r="K58" s="202"/>
      <c r="L58" s="202">
        <f>SUM(L59:L61)</f>
        <v>277100</v>
      </c>
      <c r="M58" s="301">
        <v>228300</v>
      </c>
      <c r="N58" s="308">
        <f>SUM(N59:N61)</f>
        <v>213400</v>
      </c>
      <c r="O58" s="116">
        <v>25420</v>
      </c>
      <c r="P58" s="116">
        <v>25420</v>
      </c>
      <c r="Q58" s="116">
        <v>25420</v>
      </c>
      <c r="R58" s="116">
        <v>25420</v>
      </c>
      <c r="S58" s="116"/>
      <c r="T58" s="116">
        <f>'[1]Revised Add Factors'!J$14*1000</f>
        <v>0</v>
      </c>
      <c r="U58" s="116">
        <f>'[1]Revised Add Factors'!K$14*1000</f>
        <v>0</v>
      </c>
      <c r="V58" s="116">
        <f>'[1]Revised Add Factors'!L$14*1000</f>
        <v>0</v>
      </c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M58" s="233"/>
    </row>
    <row r="59" spans="1:41" s="185" customFormat="1" x14ac:dyDescent="0.2">
      <c r="A59" s="272" t="s">
        <v>282</v>
      </c>
      <c r="B59" s="185" t="s">
        <v>281</v>
      </c>
      <c r="C59" t="s">
        <v>310</v>
      </c>
      <c r="D59"/>
      <c r="F59" s="207"/>
      <c r="G59" s="207"/>
      <c r="H59" s="207"/>
      <c r="I59" s="253"/>
      <c r="J59" s="253"/>
      <c r="K59" s="253"/>
      <c r="L59" s="253">
        <v>63800</v>
      </c>
      <c r="M59" s="304">
        <v>15000</v>
      </c>
      <c r="N59" s="309">
        <f>VLOOKUP($C$59,'Haver NA'!$A$1:$J$34,10,0)</f>
        <v>100</v>
      </c>
      <c r="O59" s="254"/>
      <c r="P59" s="254"/>
      <c r="Q59" s="254"/>
      <c r="R59" s="254"/>
      <c r="S59" s="254"/>
      <c r="T59" s="254"/>
      <c r="U59" s="254"/>
      <c r="V59" s="254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M59" s="234"/>
    </row>
    <row r="60" spans="1:41" s="185" customFormat="1" x14ac:dyDescent="0.2">
      <c r="A60" s="272" t="s">
        <v>283</v>
      </c>
      <c r="B60" s="185" t="s">
        <v>281</v>
      </c>
      <c r="C60" t="s">
        <v>311</v>
      </c>
      <c r="D60"/>
      <c r="F60" s="207"/>
      <c r="G60" s="207"/>
      <c r="H60" s="207"/>
      <c r="I60" s="253"/>
      <c r="J60" s="253"/>
      <c r="K60" s="253"/>
      <c r="L60" s="253">
        <v>73300</v>
      </c>
      <c r="M60" s="304">
        <v>73300</v>
      </c>
      <c r="N60" s="309">
        <f>VLOOKUP($C$60,'Haver NA'!$A$1:$J$34,10,0)</f>
        <v>73300</v>
      </c>
      <c r="O60" s="254"/>
      <c r="P60" s="254"/>
      <c r="Q60" s="254"/>
      <c r="R60" s="254"/>
      <c r="S60" s="254"/>
      <c r="T60" s="254"/>
      <c r="U60" s="254"/>
      <c r="V60" s="254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M60" s="234"/>
    </row>
    <row r="61" spans="1:41" s="185" customFormat="1" x14ac:dyDescent="0.2">
      <c r="A61" s="272" t="s">
        <v>284</v>
      </c>
      <c r="B61" s="185" t="s">
        <v>281</v>
      </c>
      <c r="C61" t="s">
        <v>312</v>
      </c>
      <c r="D61"/>
      <c r="F61" s="207"/>
      <c r="G61" s="207"/>
      <c r="H61" s="207"/>
      <c r="I61" s="253"/>
      <c r="J61" s="253"/>
      <c r="K61" s="253"/>
      <c r="L61" s="253">
        <v>140000</v>
      </c>
      <c r="M61" s="304">
        <v>140000</v>
      </c>
      <c r="N61" s="309">
        <f>VLOOKUP($C$61,'Haver NA'!$A$1:$J$34,10,0)</f>
        <v>140000</v>
      </c>
      <c r="O61" s="254"/>
      <c r="P61" s="254"/>
      <c r="Q61" s="254"/>
      <c r="R61" s="254"/>
      <c r="S61" s="254"/>
      <c r="T61" s="254"/>
      <c r="U61" s="254"/>
      <c r="V61" s="254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M61" s="234"/>
    </row>
    <row r="62" spans="1:41" s="185" customFormat="1" ht="16" x14ac:dyDescent="0.2">
      <c r="A62" s="219" t="s">
        <v>338</v>
      </c>
      <c r="C62"/>
      <c r="D62"/>
      <c r="F62" s="207"/>
      <c r="G62" s="207"/>
      <c r="H62" s="207"/>
      <c r="I62" s="253"/>
      <c r="J62" s="253"/>
      <c r="K62" s="253"/>
      <c r="L62" s="253"/>
      <c r="M62" s="301"/>
      <c r="N62" s="309"/>
      <c r="O62" s="254"/>
      <c r="P62" s="254"/>
      <c r="Q62" s="254"/>
      <c r="R62" s="254"/>
      <c r="S62" s="254"/>
      <c r="T62" s="254"/>
      <c r="U62" s="254"/>
      <c r="V62" s="254"/>
      <c r="W62" s="187"/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M62" s="234"/>
    </row>
    <row r="63" spans="1:41" s="274" customFormat="1" ht="16" x14ac:dyDescent="0.2">
      <c r="A63" s="273" t="s">
        <v>336</v>
      </c>
      <c r="F63" s="197"/>
      <c r="G63" s="197"/>
      <c r="H63" s="197"/>
      <c r="I63" s="202"/>
      <c r="J63" s="202"/>
      <c r="K63" s="202"/>
      <c r="L63" s="202"/>
      <c r="M63" s="301"/>
      <c r="N63" s="308"/>
      <c r="O63" s="279">
        <f>'Stimulus Round 2'!$C$2*4/2</f>
        <v>650000</v>
      </c>
      <c r="P63" s="279">
        <f>'Stimulus Round 2'!$C$2*4/2</f>
        <v>650000</v>
      </c>
      <c r="Q63" s="279"/>
      <c r="R63" s="279"/>
      <c r="S63" s="279"/>
      <c r="T63" s="279"/>
      <c r="U63" s="279"/>
      <c r="V63" s="279"/>
      <c r="W63" s="276"/>
      <c r="X63" s="276"/>
      <c r="Y63" s="276"/>
      <c r="Z63" s="276"/>
      <c r="AA63" s="276"/>
      <c r="AB63" s="276"/>
      <c r="AC63" s="276"/>
      <c r="AD63" s="276"/>
      <c r="AE63" s="276"/>
      <c r="AF63" s="276"/>
      <c r="AG63" s="276"/>
      <c r="AM63" s="280"/>
    </row>
    <row r="64" spans="1:41" s="274" customFormat="1" ht="16" x14ac:dyDescent="0.2">
      <c r="A64" s="273" t="s">
        <v>349</v>
      </c>
      <c r="F64" s="197"/>
      <c r="G64" s="197"/>
      <c r="H64" s="197"/>
      <c r="I64" s="202"/>
      <c r="J64" s="202"/>
      <c r="K64" s="202"/>
      <c r="L64" s="202"/>
      <c r="M64" s="301"/>
      <c r="N64" s="308"/>
      <c r="O64" s="279">
        <f>'Stimulus Round 2'!$C$12*4/3</f>
        <v>21333.333333333332</v>
      </c>
      <c r="P64" s="279">
        <f>'Stimulus Round 2'!$C$12*4/3</f>
        <v>21333.333333333332</v>
      </c>
      <c r="Q64" s="279">
        <f>'Stimulus Round 2'!$C$12*4/3</f>
        <v>21333.333333333332</v>
      </c>
      <c r="R64" s="279"/>
      <c r="S64" s="279"/>
      <c r="T64" s="279"/>
      <c r="U64" s="279"/>
      <c r="V64" s="279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M64" s="280"/>
    </row>
    <row r="65" spans="1:39" s="274" customFormat="1" ht="16" x14ac:dyDescent="0.2">
      <c r="A65" s="273" t="s">
        <v>283</v>
      </c>
      <c r="F65" s="197"/>
      <c r="G65" s="197"/>
      <c r="H65" s="197"/>
      <c r="I65" s="202"/>
      <c r="J65" s="202"/>
      <c r="K65" s="202"/>
      <c r="L65" s="202"/>
      <c r="M65" s="301"/>
      <c r="N65" s="308"/>
      <c r="O65" s="279">
        <f>'Stimulus Round 2'!$C$18*4/4</f>
        <v>20000</v>
      </c>
      <c r="P65" s="279">
        <f>'Stimulus Round 2'!$C$18*4/4</f>
        <v>20000</v>
      </c>
      <c r="Q65" s="279">
        <f>'Stimulus Round 2'!$C$18*4/4</f>
        <v>20000</v>
      </c>
      <c r="R65" s="279">
        <f>'Stimulus Round 2'!$C$18*4/4</f>
        <v>20000</v>
      </c>
      <c r="S65" s="279"/>
      <c r="T65" s="279"/>
      <c r="U65" s="279"/>
      <c r="V65" s="279"/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M65" s="280"/>
    </row>
    <row r="66" spans="1:39" s="274" customFormat="1" ht="16" x14ac:dyDescent="0.2">
      <c r="A66" s="273" t="s">
        <v>352</v>
      </c>
      <c r="F66" s="197"/>
      <c r="G66" s="197"/>
      <c r="H66" s="197"/>
      <c r="I66" s="202"/>
      <c r="J66" s="202"/>
      <c r="K66" s="202"/>
      <c r="L66" s="202"/>
      <c r="M66" s="301"/>
      <c r="N66" s="308"/>
      <c r="O66" s="279">
        <f>'Stimulus Round 2'!$C$20*4/8</f>
        <v>2500</v>
      </c>
      <c r="P66" s="279">
        <f>'Stimulus Round 2'!$C$20*4/8</f>
        <v>2500</v>
      </c>
      <c r="Q66" s="279">
        <f>'Stimulus Round 2'!$C$20*4/8</f>
        <v>2500</v>
      </c>
      <c r="R66" s="279">
        <f>'Stimulus Round 2'!$C$20*4/8</f>
        <v>2500</v>
      </c>
      <c r="S66" s="279">
        <f>'Stimulus Round 2'!$C$20*4/8</f>
        <v>2500</v>
      </c>
      <c r="T66" s="279">
        <f>'Stimulus Round 2'!$C$20*4/8</f>
        <v>2500</v>
      </c>
      <c r="U66" s="279">
        <f>'Stimulus Round 2'!$C$20*4/8</f>
        <v>2500</v>
      </c>
      <c r="V66" s="279">
        <f>'Stimulus Round 2'!$C$20*4/8</f>
        <v>2500</v>
      </c>
      <c r="W66" s="276"/>
      <c r="X66" s="276"/>
      <c r="Y66" s="276"/>
      <c r="Z66" s="276"/>
      <c r="AA66" s="276"/>
      <c r="AB66" s="276"/>
      <c r="AC66" s="276"/>
      <c r="AD66" s="276"/>
      <c r="AE66" s="276"/>
      <c r="AF66" s="276"/>
      <c r="AG66" s="276"/>
      <c r="AM66" s="280"/>
    </row>
    <row r="67" spans="1:39" s="35" customFormat="1" x14ac:dyDescent="0.2">
      <c r="A67" s="134"/>
      <c r="F67" s="197"/>
      <c r="G67" s="197"/>
      <c r="H67" s="197"/>
      <c r="I67" s="202"/>
      <c r="J67" s="202"/>
      <c r="K67" s="202"/>
      <c r="L67" s="202"/>
      <c r="M67" s="301"/>
      <c r="N67" s="308"/>
      <c r="O67" s="116"/>
      <c r="P67" s="116"/>
      <c r="Q67" s="116"/>
      <c r="R67" s="116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M67" s="233"/>
    </row>
    <row r="68" spans="1:39" s="35" customFormat="1" x14ac:dyDescent="0.2">
      <c r="A68" s="35" t="s">
        <v>16</v>
      </c>
      <c r="B68" s="35" t="s">
        <v>281</v>
      </c>
      <c r="C68" t="s">
        <v>313</v>
      </c>
      <c r="D68"/>
      <c r="F68" s="197">
        <v>586475</v>
      </c>
      <c r="G68" s="197">
        <v>594213</v>
      </c>
      <c r="H68" s="197">
        <v>612547</v>
      </c>
      <c r="I68" s="202">
        <v>610331</v>
      </c>
      <c r="J68" s="202">
        <v>615406</v>
      </c>
      <c r="K68" s="202">
        <v>627805</v>
      </c>
      <c r="L68" s="202">
        <v>1396890</v>
      </c>
      <c r="M68" s="301">
        <v>728172</v>
      </c>
      <c r="N68" s="308">
        <f>VLOOKUP($C$68,'Haver NA'!$A$1:$J$34,10,0)</f>
        <v>738144</v>
      </c>
      <c r="O68" s="116"/>
      <c r="P68" s="116"/>
      <c r="Q68" s="116"/>
      <c r="R68" s="1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>
        <f>AVERAGE(F68:I68)/1000</f>
        <v>600.89149999999995</v>
      </c>
      <c r="AD68" s="44"/>
      <c r="AE68" s="44"/>
      <c r="AF68" s="44"/>
      <c r="AM68" s="233"/>
    </row>
    <row r="69" spans="1:39" s="35" customFormat="1" x14ac:dyDescent="0.2">
      <c r="A69" s="35" t="s">
        <v>228</v>
      </c>
      <c r="F69" s="203">
        <f t="shared" ref="F69:L69" si="43">F68-F92</f>
        <v>196851</v>
      </c>
      <c r="G69" s="203">
        <f t="shared" si="43"/>
        <v>189684</v>
      </c>
      <c r="H69" s="203">
        <f t="shared" si="43"/>
        <v>192875</v>
      </c>
      <c r="I69" s="203">
        <f t="shared" si="43"/>
        <v>191507</v>
      </c>
      <c r="J69" s="203">
        <f t="shared" si="43"/>
        <v>203997</v>
      </c>
      <c r="K69" s="203">
        <f t="shared" si="43"/>
        <v>204376</v>
      </c>
      <c r="L69" s="203">
        <f t="shared" si="43"/>
        <v>884250</v>
      </c>
      <c r="M69" s="301">
        <v>242100</v>
      </c>
      <c r="N69" s="308">
        <f>N68-N92</f>
        <v>225951</v>
      </c>
      <c r="O69" s="116"/>
      <c r="P69" s="116"/>
      <c r="Q69" s="116"/>
      <c r="R69" s="116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M69" s="233"/>
    </row>
    <row r="70" spans="1:39" s="35" customFormat="1" x14ac:dyDescent="0.2">
      <c r="A70" s="136" t="s">
        <v>229</v>
      </c>
      <c r="F70" s="197"/>
      <c r="G70" s="197"/>
      <c r="H70" s="197"/>
      <c r="I70" s="202"/>
      <c r="J70" s="202"/>
      <c r="K70" s="202"/>
      <c r="L70" s="202">
        <f>L69-L71</f>
        <v>192250</v>
      </c>
      <c r="M70" s="303">
        <v>203600</v>
      </c>
      <c r="N70" s="308">
        <f>N69-N71</f>
        <v>196951</v>
      </c>
      <c r="O70" s="116">
        <f>N70*(1+O86)</f>
        <v>197741.49947361497</v>
      </c>
      <c r="P70" s="116">
        <f t="shared" ref="P70:Z70" si="44">O70*(1+P86)</f>
        <v>198648.63001710753</v>
      </c>
      <c r="Q70" s="116">
        <f t="shared" si="44"/>
        <v>199711.26865377021</v>
      </c>
      <c r="R70" s="116">
        <f t="shared" si="44"/>
        <v>201244.08517867888</v>
      </c>
      <c r="S70" s="116">
        <f t="shared" si="44"/>
        <v>202989.95960222601</v>
      </c>
      <c r="T70" s="116">
        <f t="shared" si="44"/>
        <v>204757.79375261875</v>
      </c>
      <c r="U70" s="116">
        <f t="shared" si="44"/>
        <v>206721.64407812891</v>
      </c>
      <c r="V70" s="116">
        <f t="shared" si="44"/>
        <v>208528.49383340348</v>
      </c>
      <c r="W70" s="116">
        <f t="shared" si="44"/>
        <v>210535.31291864807</v>
      </c>
      <c r="X70" s="116">
        <f t="shared" si="44"/>
        <v>212376.56499844257</v>
      </c>
      <c r="Y70" s="116">
        <f t="shared" si="44"/>
        <v>214419.66277456292</v>
      </c>
      <c r="Z70" s="116">
        <f t="shared" si="44"/>
        <v>216486.27947886748</v>
      </c>
      <c r="AA70" s="44"/>
      <c r="AB70" s="44"/>
      <c r="AC70" s="44"/>
      <c r="AD70" s="44"/>
      <c r="AE70" s="44"/>
      <c r="AF70" s="44"/>
      <c r="AG70" s="44"/>
      <c r="AM70" s="233"/>
    </row>
    <row r="71" spans="1:39" s="138" customFormat="1" x14ac:dyDescent="0.2">
      <c r="A71" s="137" t="s">
        <v>209</v>
      </c>
      <c r="B71" s="138" t="s">
        <v>281</v>
      </c>
      <c r="C71" t="s">
        <v>314</v>
      </c>
      <c r="D71"/>
      <c r="F71" s="204"/>
      <c r="G71" s="204"/>
      <c r="H71" s="204"/>
      <c r="I71" s="205"/>
      <c r="J71" s="205"/>
      <c r="K71" s="205"/>
      <c r="L71" s="205">
        <v>692000</v>
      </c>
      <c r="M71" s="205">
        <v>38500</v>
      </c>
      <c r="N71" s="205">
        <f>VLOOKUP($C$71,'Haver NA'!$A$1:$J$34,10,0)</f>
        <v>29000</v>
      </c>
      <c r="O71" s="139"/>
      <c r="P71" s="139"/>
      <c r="Q71" s="139"/>
      <c r="R71" s="139"/>
      <c r="S71" s="140"/>
      <c r="T71" s="140"/>
      <c r="U71" s="140"/>
      <c r="V71" s="140"/>
      <c r="W71" s="140"/>
      <c r="X71" s="140"/>
      <c r="Y71" s="140"/>
      <c r="Z71" s="140"/>
      <c r="AA71" s="140"/>
      <c r="AB71" s="140"/>
      <c r="AC71" s="140"/>
      <c r="AD71" s="140"/>
      <c r="AE71" s="140"/>
      <c r="AF71" s="140"/>
      <c r="AG71" s="140"/>
      <c r="AM71" s="236"/>
    </row>
    <row r="72" spans="1:39" s="35" customFormat="1" ht="16" x14ac:dyDescent="0.2">
      <c r="A72" s="134" t="s">
        <v>210</v>
      </c>
      <c r="F72" s="197"/>
      <c r="G72" s="197"/>
      <c r="H72" s="197"/>
      <c r="I72" s="202"/>
      <c r="J72" s="202"/>
      <c r="K72" s="202"/>
      <c r="L72" s="206">
        <f>SUM(L74:L76)</f>
        <v>87000</v>
      </c>
      <c r="M72" s="301">
        <v>97000</v>
      </c>
      <c r="N72" s="308">
        <f>SUM(N74:N76)</f>
        <v>107000</v>
      </c>
      <c r="O72" s="116">
        <f t="shared" ref="O72:Z72" si="45">O73+O77</f>
        <v>149000</v>
      </c>
      <c r="P72" s="116">
        <f t="shared" si="45"/>
        <v>121000</v>
      </c>
      <c r="Q72" s="116">
        <f t="shared" si="45"/>
        <v>121000</v>
      </c>
      <c r="R72" s="116">
        <f t="shared" si="45"/>
        <v>115000</v>
      </c>
      <c r="S72" s="116">
        <f t="shared" si="45"/>
        <v>109000</v>
      </c>
      <c r="T72" s="116">
        <f t="shared" si="45"/>
        <v>109000</v>
      </c>
      <c r="U72" s="116">
        <f t="shared" si="45"/>
        <v>109000</v>
      </c>
      <c r="V72" s="116">
        <f t="shared" si="45"/>
        <v>109000</v>
      </c>
      <c r="W72" s="116">
        <f t="shared" si="45"/>
        <v>109000</v>
      </c>
      <c r="X72" s="116">
        <f t="shared" si="45"/>
        <v>59000</v>
      </c>
      <c r="Y72" s="116">
        <f t="shared" si="45"/>
        <v>59000</v>
      </c>
      <c r="Z72" s="116">
        <f t="shared" si="45"/>
        <v>59000</v>
      </c>
      <c r="AA72" s="116"/>
      <c r="AB72" s="116"/>
      <c r="AC72" s="44"/>
      <c r="AD72" s="44"/>
      <c r="AE72" s="44"/>
      <c r="AF72" s="44"/>
      <c r="AG72" s="44"/>
      <c r="AM72" s="233"/>
    </row>
    <row r="73" spans="1:39" s="35" customFormat="1" ht="16" x14ac:dyDescent="0.2">
      <c r="A73" s="219" t="s">
        <v>341</v>
      </c>
      <c r="F73" s="197"/>
      <c r="G73" s="197"/>
      <c r="H73" s="197"/>
      <c r="I73" s="202"/>
      <c r="J73" s="202"/>
      <c r="K73" s="202"/>
      <c r="L73" s="206"/>
      <c r="M73" s="301"/>
      <c r="N73" s="308"/>
      <c r="O73" s="116">
        <f>SUM(O74:O76)</f>
        <v>90000</v>
      </c>
      <c r="P73" s="116">
        <f t="shared" ref="P73:Z73" si="46">SUM(P74:P76)</f>
        <v>62000</v>
      </c>
      <c r="Q73" s="116">
        <f t="shared" si="46"/>
        <v>62000</v>
      </c>
      <c r="R73" s="116">
        <f t="shared" si="46"/>
        <v>56000</v>
      </c>
      <c r="S73" s="116">
        <f t="shared" si="46"/>
        <v>50000</v>
      </c>
      <c r="T73" s="116">
        <f t="shared" si="46"/>
        <v>50000</v>
      </c>
      <c r="U73" s="116">
        <f t="shared" si="46"/>
        <v>50000</v>
      </c>
      <c r="V73" s="116">
        <f t="shared" si="46"/>
        <v>50000</v>
      </c>
      <c r="W73" s="116">
        <f t="shared" si="46"/>
        <v>50000</v>
      </c>
      <c r="X73" s="116">
        <f t="shared" si="46"/>
        <v>0</v>
      </c>
      <c r="Y73" s="116">
        <f t="shared" si="46"/>
        <v>0</v>
      </c>
      <c r="Z73" s="116">
        <f t="shared" si="46"/>
        <v>0</v>
      </c>
      <c r="AA73" s="44"/>
      <c r="AB73" s="44"/>
      <c r="AC73" s="44"/>
      <c r="AD73" s="44"/>
      <c r="AE73" s="44"/>
      <c r="AF73" s="44"/>
      <c r="AG73" s="44"/>
      <c r="AM73" s="233"/>
    </row>
    <row r="74" spans="1:39" s="35" customFormat="1" x14ac:dyDescent="0.2">
      <c r="A74" s="113" t="s">
        <v>197</v>
      </c>
      <c r="C74" s="35" t="s">
        <v>378</v>
      </c>
      <c r="F74" s="197"/>
      <c r="G74" s="197"/>
      <c r="H74" s="197"/>
      <c r="I74" s="202"/>
      <c r="J74" s="202"/>
      <c r="K74" s="202"/>
      <c r="L74" s="206">
        <v>35000</v>
      </c>
      <c r="M74" s="301">
        <v>45000</v>
      </c>
      <c r="N74" s="308">
        <v>60000</v>
      </c>
      <c r="O74" s="116">
        <v>60000</v>
      </c>
      <c r="P74" s="116">
        <v>50000</v>
      </c>
      <c r="Q74" s="116">
        <v>50000</v>
      </c>
      <c r="R74" s="116">
        <v>50000</v>
      </c>
      <c r="S74" s="116">
        <v>50000</v>
      </c>
      <c r="T74" s="116">
        <v>50000</v>
      </c>
      <c r="U74" s="116">
        <v>50000</v>
      </c>
      <c r="V74" s="116">
        <v>50000</v>
      </c>
      <c r="W74" s="116">
        <v>50000</v>
      </c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M74" s="233"/>
    </row>
    <row r="75" spans="1:39" s="35" customFormat="1" x14ac:dyDescent="0.2">
      <c r="A75" s="113" t="s">
        <v>198</v>
      </c>
      <c r="C75" s="35" t="s">
        <v>379</v>
      </c>
      <c r="F75" s="197"/>
      <c r="G75" s="197"/>
      <c r="H75" s="197"/>
      <c r="I75" s="202"/>
      <c r="J75" s="202"/>
      <c r="K75" s="202"/>
      <c r="L75" s="202">
        <v>25000</v>
      </c>
      <c r="M75" s="301">
        <v>25000</v>
      </c>
      <c r="N75" s="308">
        <v>35000</v>
      </c>
      <c r="O75" s="116">
        <v>18000</v>
      </c>
      <c r="P75" s="116">
        <v>0</v>
      </c>
      <c r="Q75" s="116">
        <v>0</v>
      </c>
      <c r="R75" s="116">
        <v>0</v>
      </c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M75" s="233"/>
    </row>
    <row r="76" spans="1:39" s="35" customFormat="1" x14ac:dyDescent="0.2">
      <c r="A76" s="113" t="s">
        <v>201</v>
      </c>
      <c r="C76" s="35" t="s">
        <v>380</v>
      </c>
      <c r="F76" s="197"/>
      <c r="G76" s="197"/>
      <c r="H76" s="197"/>
      <c r="I76" s="202"/>
      <c r="J76" s="202"/>
      <c r="K76" s="202"/>
      <c r="L76" s="202">
        <v>27000</v>
      </c>
      <c r="M76" s="301">
        <v>27000</v>
      </c>
      <c r="N76" s="308">
        <v>12000</v>
      </c>
      <c r="O76" s="116">
        <v>12000</v>
      </c>
      <c r="P76" s="116">
        <v>12000</v>
      </c>
      <c r="Q76" s="116">
        <v>12000</v>
      </c>
      <c r="R76" s="116">
        <v>6000</v>
      </c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M76" s="233"/>
    </row>
    <row r="77" spans="1:39" s="35" customFormat="1" x14ac:dyDescent="0.2">
      <c r="A77" s="220" t="s">
        <v>342</v>
      </c>
      <c r="F77" s="197"/>
      <c r="G77" s="197"/>
      <c r="H77" s="197"/>
      <c r="I77" s="202"/>
      <c r="J77" s="202"/>
      <c r="K77" s="202"/>
      <c r="L77" s="202"/>
      <c r="M77" s="301"/>
      <c r="N77" s="308"/>
      <c r="O77" s="116">
        <f>SUM(O78:O81)</f>
        <v>59000</v>
      </c>
      <c r="P77" s="116">
        <f t="shared" ref="P77:Z77" si="47">SUM(P78:P81)</f>
        <v>59000</v>
      </c>
      <c r="Q77" s="116">
        <f t="shared" si="47"/>
        <v>59000</v>
      </c>
      <c r="R77" s="116">
        <f t="shared" si="47"/>
        <v>59000</v>
      </c>
      <c r="S77" s="116">
        <f t="shared" si="47"/>
        <v>59000</v>
      </c>
      <c r="T77" s="116">
        <f t="shared" si="47"/>
        <v>59000</v>
      </c>
      <c r="U77" s="116">
        <f t="shared" si="47"/>
        <v>59000</v>
      </c>
      <c r="V77" s="116">
        <f t="shared" si="47"/>
        <v>59000</v>
      </c>
      <c r="W77" s="116">
        <f t="shared" si="47"/>
        <v>59000</v>
      </c>
      <c r="X77" s="116">
        <f t="shared" si="47"/>
        <v>59000</v>
      </c>
      <c r="Y77" s="116">
        <f t="shared" si="47"/>
        <v>59000</v>
      </c>
      <c r="Z77" s="116">
        <f t="shared" si="47"/>
        <v>59000</v>
      </c>
      <c r="AA77" s="116"/>
      <c r="AB77" s="44"/>
      <c r="AC77" s="44"/>
      <c r="AD77" s="44"/>
      <c r="AE77" s="44"/>
      <c r="AF77" s="44"/>
      <c r="AG77" s="44"/>
      <c r="AM77" s="233"/>
    </row>
    <row r="78" spans="1:39" s="274" customFormat="1" x14ac:dyDescent="0.2">
      <c r="A78" s="282" t="s">
        <v>343</v>
      </c>
      <c r="F78" s="197"/>
      <c r="G78" s="197"/>
      <c r="H78" s="197"/>
      <c r="I78" s="202"/>
      <c r="J78" s="202"/>
      <c r="K78" s="202"/>
      <c r="L78" s="202"/>
      <c r="M78" s="301"/>
      <c r="N78" s="308"/>
      <c r="O78" s="279">
        <f>'Stimulus Round 2'!$C$13*4/12</f>
        <v>9666.6666666666661</v>
      </c>
      <c r="P78" s="279">
        <f>'Stimulus Round 2'!$C$13*4/12</f>
        <v>9666.6666666666661</v>
      </c>
      <c r="Q78" s="279">
        <f>'Stimulus Round 2'!$C$13*4/12</f>
        <v>9666.6666666666661</v>
      </c>
      <c r="R78" s="279">
        <f>'Stimulus Round 2'!$C$13*4/12</f>
        <v>9666.6666666666661</v>
      </c>
      <c r="S78" s="279">
        <f>'Stimulus Round 2'!$C$13*4/12</f>
        <v>9666.6666666666661</v>
      </c>
      <c r="T78" s="279">
        <f>'Stimulus Round 2'!$C$13*4/12</f>
        <v>9666.6666666666661</v>
      </c>
      <c r="U78" s="279">
        <f>'Stimulus Round 2'!$C$13*4/12</f>
        <v>9666.6666666666661</v>
      </c>
      <c r="V78" s="279">
        <f>'Stimulus Round 2'!$C$13*4/12</f>
        <v>9666.6666666666661</v>
      </c>
      <c r="W78" s="279">
        <f>'Stimulus Round 2'!$C$13*4/12</f>
        <v>9666.6666666666661</v>
      </c>
      <c r="X78" s="279">
        <f>'Stimulus Round 2'!$C$13*4/12</f>
        <v>9666.6666666666661</v>
      </c>
      <c r="Y78" s="279">
        <f>'Stimulus Round 2'!$C$13*4/12</f>
        <v>9666.6666666666661</v>
      </c>
      <c r="Z78" s="279">
        <f>'Stimulus Round 2'!$C$13*4/12</f>
        <v>9666.6666666666661</v>
      </c>
      <c r="AA78" s="276"/>
      <c r="AB78" s="276"/>
      <c r="AC78" s="276"/>
      <c r="AD78" s="276"/>
      <c r="AE78" s="276"/>
      <c r="AF78" s="276"/>
      <c r="AG78" s="276"/>
      <c r="AM78" s="280"/>
    </row>
    <row r="79" spans="1:39" s="274" customFormat="1" x14ac:dyDescent="0.2">
      <c r="A79" s="282" t="s">
        <v>344</v>
      </c>
      <c r="F79" s="197"/>
      <c r="G79" s="197"/>
      <c r="H79" s="197"/>
      <c r="I79" s="202"/>
      <c r="J79" s="202"/>
      <c r="K79" s="202"/>
      <c r="L79" s="202"/>
      <c r="M79" s="301"/>
      <c r="N79" s="308"/>
      <c r="O79" s="279">
        <f>'Stimulus Round 2'!$C$5*4/12</f>
        <v>27333.333333333332</v>
      </c>
      <c r="P79" s="279">
        <f>'Stimulus Round 2'!$C$5*4/12</f>
        <v>27333.333333333332</v>
      </c>
      <c r="Q79" s="279">
        <f>'Stimulus Round 2'!$C$5*4/12</f>
        <v>27333.333333333332</v>
      </c>
      <c r="R79" s="279">
        <f>'Stimulus Round 2'!$C$5*4/12</f>
        <v>27333.333333333332</v>
      </c>
      <c r="S79" s="279">
        <f>'Stimulus Round 2'!$C$5*4/12</f>
        <v>27333.333333333332</v>
      </c>
      <c r="T79" s="279">
        <f>'Stimulus Round 2'!$C$5*4/12</f>
        <v>27333.333333333332</v>
      </c>
      <c r="U79" s="279">
        <f>'Stimulus Round 2'!$C$5*4/12</f>
        <v>27333.333333333332</v>
      </c>
      <c r="V79" s="279">
        <f>'Stimulus Round 2'!$C$5*4/12</f>
        <v>27333.333333333332</v>
      </c>
      <c r="W79" s="279">
        <f>'Stimulus Round 2'!$C$5*4/12</f>
        <v>27333.333333333332</v>
      </c>
      <c r="X79" s="279">
        <f>'Stimulus Round 2'!$C$5*4/12</f>
        <v>27333.333333333332</v>
      </c>
      <c r="Y79" s="279">
        <f>'Stimulus Round 2'!$C$5*4/12</f>
        <v>27333.333333333332</v>
      </c>
      <c r="Z79" s="279">
        <f>'Stimulus Round 2'!$C$5*4/12</f>
        <v>27333.333333333332</v>
      </c>
      <c r="AA79" s="276"/>
      <c r="AB79" s="276"/>
      <c r="AC79" s="276"/>
      <c r="AD79" s="276"/>
      <c r="AE79" s="276"/>
      <c r="AF79" s="276"/>
      <c r="AG79" s="276"/>
      <c r="AM79" s="280"/>
    </row>
    <row r="80" spans="1:39" s="274" customFormat="1" x14ac:dyDescent="0.2">
      <c r="A80" s="282" t="s">
        <v>348</v>
      </c>
      <c r="F80" s="197"/>
      <c r="G80" s="197"/>
      <c r="H80" s="197"/>
      <c r="I80" s="202"/>
      <c r="J80" s="202"/>
      <c r="K80" s="202"/>
      <c r="L80" s="202"/>
      <c r="M80" s="301"/>
      <c r="N80" s="308"/>
      <c r="O80" s="279">
        <f>'Stimulus Round 2'!$C$10*4/12</f>
        <v>4000</v>
      </c>
      <c r="P80" s="279">
        <f>'Stimulus Round 2'!$C$10*4/12</f>
        <v>4000</v>
      </c>
      <c r="Q80" s="279">
        <f>'Stimulus Round 2'!$C$10*4/12</f>
        <v>4000</v>
      </c>
      <c r="R80" s="279">
        <f>'Stimulus Round 2'!$C$10*4/12</f>
        <v>4000</v>
      </c>
      <c r="S80" s="279">
        <f>'Stimulus Round 2'!$C$10*4/12</f>
        <v>4000</v>
      </c>
      <c r="T80" s="279">
        <f>'Stimulus Round 2'!$C$10*4/12</f>
        <v>4000</v>
      </c>
      <c r="U80" s="279">
        <f>'Stimulus Round 2'!$C$10*4/12</f>
        <v>4000</v>
      </c>
      <c r="V80" s="279">
        <f>'Stimulus Round 2'!$C$10*4/12</f>
        <v>4000</v>
      </c>
      <c r="W80" s="279">
        <f>'Stimulus Round 2'!$C$10*4/12</f>
        <v>4000</v>
      </c>
      <c r="X80" s="279">
        <f>'Stimulus Round 2'!$C$10*4/12</f>
        <v>4000</v>
      </c>
      <c r="Y80" s="279">
        <f>'Stimulus Round 2'!$C$10*4/12</f>
        <v>4000</v>
      </c>
      <c r="Z80" s="279">
        <f>'Stimulus Round 2'!$C$10*4/12</f>
        <v>4000</v>
      </c>
      <c r="AA80" s="276"/>
      <c r="AB80" s="276"/>
      <c r="AC80" s="276"/>
      <c r="AD80" s="276"/>
      <c r="AE80" s="276"/>
      <c r="AF80" s="276"/>
      <c r="AG80" s="276"/>
      <c r="AM80" s="280"/>
    </row>
    <row r="81" spans="1:39" s="274" customFormat="1" x14ac:dyDescent="0.2">
      <c r="A81" s="282" t="s">
        <v>350</v>
      </c>
      <c r="F81" s="197"/>
      <c r="G81" s="197"/>
      <c r="H81" s="197"/>
      <c r="I81" s="202"/>
      <c r="J81" s="202"/>
      <c r="K81" s="202"/>
      <c r="L81" s="202"/>
      <c r="M81" s="301"/>
      <c r="N81" s="308"/>
      <c r="O81" s="279">
        <f>'Stimulus Round 2'!$C$16*4/12</f>
        <v>18000</v>
      </c>
      <c r="P81" s="279">
        <f>'Stimulus Round 2'!$C$16*4/12</f>
        <v>18000</v>
      </c>
      <c r="Q81" s="279">
        <f>'Stimulus Round 2'!$C$16*4/12</f>
        <v>18000</v>
      </c>
      <c r="R81" s="279">
        <f>'Stimulus Round 2'!$C$16*4/12</f>
        <v>18000</v>
      </c>
      <c r="S81" s="279">
        <f>'Stimulus Round 2'!$C$16*4/12</f>
        <v>18000</v>
      </c>
      <c r="T81" s="279">
        <f>'Stimulus Round 2'!$C$16*4/12</f>
        <v>18000</v>
      </c>
      <c r="U81" s="279">
        <f>'Stimulus Round 2'!$C$16*4/12</f>
        <v>18000</v>
      </c>
      <c r="V81" s="279">
        <f>'Stimulus Round 2'!$C$16*4/12</f>
        <v>18000</v>
      </c>
      <c r="W81" s="279">
        <f>'Stimulus Round 2'!$C$16*4/12</f>
        <v>18000</v>
      </c>
      <c r="X81" s="279">
        <f>'Stimulus Round 2'!$C$16*4/12</f>
        <v>18000</v>
      </c>
      <c r="Y81" s="279">
        <f>'Stimulus Round 2'!$C$16*4/12</f>
        <v>18000</v>
      </c>
      <c r="Z81" s="279">
        <f>'Stimulus Round 2'!$C$16*4/12</f>
        <v>18000</v>
      </c>
      <c r="AA81" s="276"/>
      <c r="AB81" s="276"/>
      <c r="AC81" s="276"/>
      <c r="AD81" s="276"/>
      <c r="AE81" s="276"/>
      <c r="AF81" s="276"/>
      <c r="AG81" s="276"/>
      <c r="AM81" s="280"/>
    </row>
    <row r="82" spans="1:39" s="35" customFormat="1" x14ac:dyDescent="0.2">
      <c r="A82" s="145" t="s">
        <v>217</v>
      </c>
      <c r="B82" s="141"/>
      <c r="E82" s="141"/>
      <c r="F82" s="197"/>
      <c r="G82" s="197"/>
      <c r="H82" s="197"/>
      <c r="I82" s="202"/>
      <c r="J82" s="202"/>
      <c r="K82" s="202">
        <f>K68-K92</f>
        <v>204376</v>
      </c>
      <c r="L82" s="206">
        <f>L70+L72</f>
        <v>279250</v>
      </c>
      <c r="M82" s="301">
        <v>300600</v>
      </c>
      <c r="N82" s="308">
        <f>N70+N72</f>
        <v>303951</v>
      </c>
      <c r="O82" s="144">
        <f t="shared" ref="O82:Z82" si="48">O70+O72</f>
        <v>346741.49947361497</v>
      </c>
      <c r="P82" s="144">
        <f t="shared" si="48"/>
        <v>319648.63001710753</v>
      </c>
      <c r="Q82" s="144">
        <f t="shared" si="48"/>
        <v>320711.26865377021</v>
      </c>
      <c r="R82" s="144">
        <f t="shared" si="48"/>
        <v>316244.08517867886</v>
      </c>
      <c r="S82" s="144">
        <f t="shared" si="48"/>
        <v>311989.95960222604</v>
      </c>
      <c r="T82" s="144">
        <f t="shared" si="48"/>
        <v>313757.79375261872</v>
      </c>
      <c r="U82" s="144">
        <f t="shared" si="48"/>
        <v>315721.64407812891</v>
      </c>
      <c r="V82" s="144">
        <f t="shared" si="48"/>
        <v>317528.49383340345</v>
      </c>
      <c r="W82" s="144">
        <f t="shared" si="48"/>
        <v>319535.31291864807</v>
      </c>
      <c r="X82" s="144">
        <f t="shared" si="48"/>
        <v>271376.56499844254</v>
      </c>
      <c r="Y82" s="144">
        <f t="shared" si="48"/>
        <v>273419.66277456295</v>
      </c>
      <c r="Z82" s="144">
        <f t="shared" si="48"/>
        <v>275486.27947886748</v>
      </c>
      <c r="AA82" s="44"/>
      <c r="AB82" s="44"/>
      <c r="AC82" s="44"/>
      <c r="AD82" s="44"/>
      <c r="AE82" s="44"/>
      <c r="AF82" s="44"/>
      <c r="AG82" s="44"/>
      <c r="AM82" s="233"/>
    </row>
    <row r="83" spans="1:39" s="35" customFormat="1" x14ac:dyDescent="0.2">
      <c r="F83" s="197"/>
      <c r="G83" s="197"/>
      <c r="H83" s="197"/>
      <c r="I83" s="197"/>
      <c r="J83" s="197"/>
      <c r="K83" s="197"/>
      <c r="L83" s="203"/>
      <c r="M83" s="301"/>
      <c r="N83" s="310"/>
      <c r="O83" s="135"/>
      <c r="P83" s="135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M83" s="233"/>
    </row>
    <row r="84" spans="1:39" s="35" customFormat="1" x14ac:dyDescent="0.2">
      <c r="A84" s="35" t="s">
        <v>17</v>
      </c>
      <c r="B84" s="35" t="s">
        <v>281</v>
      </c>
      <c r="C84" t="s">
        <v>315</v>
      </c>
      <c r="D84"/>
      <c r="F84" s="206">
        <v>1241.5999999999999</v>
      </c>
      <c r="G84" s="206">
        <v>1245.8</v>
      </c>
      <c r="H84" s="206">
        <v>1473.6</v>
      </c>
      <c r="I84" s="206">
        <v>1288.5</v>
      </c>
      <c r="J84" s="206">
        <v>1301.0999999999999</v>
      </c>
      <c r="K84" s="206">
        <v>1306.0999999999999</v>
      </c>
      <c r="L84" s="206">
        <v>1360.1</v>
      </c>
      <c r="M84" s="301">
        <v>1335.133</v>
      </c>
      <c r="N84" s="308">
        <f>VLOOKUP($C$84,'Haver NA'!$A$1:$J$34,10,0)/1000</f>
        <v>1333.307</v>
      </c>
      <c r="O84" s="116"/>
      <c r="P84" s="116"/>
      <c r="Q84" s="116"/>
      <c r="R84" s="116"/>
      <c r="S84" s="116"/>
      <c r="T84" s="116"/>
      <c r="U84" s="116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I84" s="44"/>
      <c r="AJ84" s="44"/>
      <c r="AK84" s="44"/>
      <c r="AL84" s="44"/>
      <c r="AM84" s="235"/>
    </row>
    <row r="85" spans="1:39" s="35" customFormat="1" x14ac:dyDescent="0.2">
      <c r="A85" s="114" t="s">
        <v>203</v>
      </c>
      <c r="B85" s="35" t="s">
        <v>281</v>
      </c>
      <c r="C85" t="s">
        <v>316</v>
      </c>
      <c r="D85"/>
      <c r="F85" s="197"/>
      <c r="G85" s="197"/>
      <c r="H85" s="197"/>
      <c r="I85" s="197"/>
      <c r="J85" s="197">
        <v>1447.9</v>
      </c>
      <c r="K85" s="197">
        <v>1452.6</v>
      </c>
      <c r="L85" s="197">
        <v>1504.8</v>
      </c>
      <c r="M85" s="301">
        <v>1487.0350000000001</v>
      </c>
      <c r="N85" s="301">
        <f>VLOOKUP($C$85,'Haver NA'!$A$1:$J$34,10,0)/1000</f>
        <v>1493.5530000000001</v>
      </c>
      <c r="O85">
        <v>1504.3514552807801</v>
      </c>
      <c r="P85">
        <v>1511.252602267454</v>
      </c>
      <c r="Q85">
        <v>1519.3368030232709</v>
      </c>
      <c r="R85">
        <v>1530.997960524671</v>
      </c>
      <c r="S85">
        <v>1544.2799915439159</v>
      </c>
      <c r="T85">
        <v>1557.72908484966</v>
      </c>
      <c r="U85">
        <v>1572.6694039177321</v>
      </c>
      <c r="V85">
        <v>1586.4153149483291</v>
      </c>
      <c r="W85">
        <v>1601.682526026475</v>
      </c>
      <c r="X85">
        <v>1615.690158481731</v>
      </c>
      <c r="Y85">
        <v>1631.2333657547081</v>
      </c>
      <c r="Z85">
        <v>1646.9554971985581</v>
      </c>
      <c r="AA85"/>
      <c r="AB85"/>
      <c r="AE85" s="44"/>
      <c r="AF85" s="44"/>
      <c r="AG85" s="44"/>
      <c r="AI85" s="44"/>
      <c r="AJ85" s="44"/>
      <c r="AK85" s="44"/>
      <c r="AL85" s="44"/>
      <c r="AM85" s="235"/>
    </row>
    <row r="86" spans="1:39" s="185" customFormat="1" ht="12" x14ac:dyDescent="0.15">
      <c r="A86" s="169" t="s">
        <v>202</v>
      </c>
      <c r="F86" s="207"/>
      <c r="G86" s="207"/>
      <c r="H86" s="207"/>
      <c r="I86" s="207"/>
      <c r="J86" s="207"/>
      <c r="K86" s="207"/>
      <c r="L86" s="207"/>
      <c r="M86" s="302">
        <v>-1.1805555555555514E-2</v>
      </c>
      <c r="N86" s="311">
        <f>N85/M85-1</f>
        <v>4.3832189558417056E-3</v>
      </c>
      <c r="O86" s="196">
        <v>4.0136860113173497E-3</v>
      </c>
      <c r="P86" s="196">
        <v>4.58745658300019E-3</v>
      </c>
      <c r="Q86" s="196">
        <v>5.3493378563505001E-3</v>
      </c>
      <c r="R86" s="196">
        <v>7.6751629251630097E-3</v>
      </c>
      <c r="S86" s="196">
        <v>8.6754073889774297E-3</v>
      </c>
      <c r="T86" s="196">
        <v>8.7089733593570494E-3</v>
      </c>
      <c r="U86" s="196">
        <v>9.5910894990538492E-3</v>
      </c>
      <c r="V86" s="196">
        <v>8.7404962520116793E-3</v>
      </c>
      <c r="W86" s="196">
        <v>9.6237163965124904E-3</v>
      </c>
      <c r="X86" s="196">
        <v>8.7455736250097206E-3</v>
      </c>
      <c r="Y86" s="196">
        <v>9.6201658414398795E-3</v>
      </c>
      <c r="Z86" s="196">
        <v>9.6381865243271303E-3</v>
      </c>
      <c r="AA86" s="186"/>
      <c r="AB86" s="186"/>
      <c r="AE86" s="187"/>
      <c r="AF86" s="187"/>
      <c r="AG86" s="187"/>
      <c r="AI86" s="187"/>
      <c r="AJ86" s="187"/>
      <c r="AK86" s="187"/>
      <c r="AL86" s="187"/>
      <c r="AM86" s="237"/>
    </row>
    <row r="87" spans="1:39" s="185" customFormat="1" ht="12" x14ac:dyDescent="0.15">
      <c r="A87" s="169" t="s">
        <v>381</v>
      </c>
      <c r="F87" s="207"/>
      <c r="G87" s="207"/>
      <c r="H87" s="207"/>
      <c r="I87" s="207"/>
      <c r="J87" s="207"/>
      <c r="K87" s="207"/>
      <c r="L87" s="207"/>
      <c r="M87" s="302"/>
      <c r="N87" s="311"/>
      <c r="O87" s="196">
        <v>5.3394154743755307E-2</v>
      </c>
      <c r="P87" s="196">
        <v>-1.9703807284052632E-2</v>
      </c>
      <c r="Q87" s="196">
        <v>-4.084808403034379E-3</v>
      </c>
      <c r="R87" s="196">
        <v>0</v>
      </c>
      <c r="S87" s="196">
        <v>2.4739583333333037E-3</v>
      </c>
      <c r="T87" s="196">
        <v>1.6235874788934623E-3</v>
      </c>
      <c r="U87" s="196">
        <v>3.9551319457953316E-3</v>
      </c>
      <c r="V87" s="196">
        <v>3.8749677086025169E-3</v>
      </c>
      <c r="W87" s="196">
        <v>3.9243437982501295E-3</v>
      </c>
      <c r="X87" s="196">
        <v>3.0118551746236566E-3</v>
      </c>
      <c r="Y87" s="196">
        <v>3.9611551239457921E-3</v>
      </c>
      <c r="Z87" s="196">
        <v>5.027364133893153E-3</v>
      </c>
      <c r="AA87" s="186"/>
      <c r="AB87" s="186"/>
      <c r="AE87" s="187"/>
      <c r="AF87" s="187"/>
      <c r="AG87" s="187"/>
      <c r="AI87" s="187"/>
      <c r="AJ87" s="187"/>
      <c r="AK87" s="187"/>
      <c r="AL87" s="187"/>
      <c r="AM87" s="237"/>
    </row>
    <row r="88" spans="1:39" s="185" customFormat="1" x14ac:dyDescent="0.2">
      <c r="A88" s="114" t="s">
        <v>357</v>
      </c>
      <c r="F88" s="207"/>
      <c r="G88" s="207"/>
      <c r="H88" s="207"/>
      <c r="I88" s="207"/>
      <c r="J88" s="207"/>
      <c r="K88" s="207"/>
      <c r="L88" s="207"/>
      <c r="M88" s="302"/>
      <c r="N88" s="311"/>
      <c r="O88" s="102">
        <f>SUM(O89:O91)</f>
        <v>71400</v>
      </c>
      <c r="P88" s="102">
        <f t="shared" ref="P88:R88" si="49">SUM(P89:P91)</f>
        <v>71400</v>
      </c>
      <c r="Q88" s="102">
        <f t="shared" si="49"/>
        <v>30600</v>
      </c>
      <c r="R88" s="102">
        <f t="shared" si="49"/>
        <v>30600</v>
      </c>
      <c r="S88" s="186"/>
      <c r="T88" s="186"/>
      <c r="U88" s="186"/>
      <c r="V88" s="186"/>
      <c r="W88" s="186"/>
      <c r="X88" s="186"/>
      <c r="Y88" s="186"/>
      <c r="Z88" s="186"/>
      <c r="AA88" s="186"/>
      <c r="AB88" s="186"/>
      <c r="AE88" s="187"/>
      <c r="AF88" s="187"/>
      <c r="AG88" s="187"/>
      <c r="AI88" s="187"/>
      <c r="AJ88" s="187"/>
      <c r="AK88" s="187"/>
      <c r="AL88" s="187"/>
      <c r="AM88" s="237"/>
    </row>
    <row r="89" spans="1:39" s="285" customFormat="1" x14ac:dyDescent="0.2">
      <c r="A89" s="284" t="s">
        <v>353</v>
      </c>
      <c r="F89" s="300"/>
      <c r="G89" s="300"/>
      <c r="H89" s="300"/>
      <c r="I89" s="300"/>
      <c r="J89" s="300"/>
      <c r="K89" s="300"/>
      <c r="L89" s="300"/>
      <c r="M89" s="305"/>
      <c r="N89" s="312"/>
      <c r="O89" s="279">
        <f>('Stimulus Round 2'!$C7*0.7*4)/2</f>
        <v>30799.999999999996</v>
      </c>
      <c r="P89" s="279">
        <f>('Stimulus Round 2'!$C7*0.7*4)/2</f>
        <v>30799.999999999996</v>
      </c>
      <c r="Q89" s="279">
        <f>('Stimulus Round 2'!$C7*0.3*4)/2</f>
        <v>13200</v>
      </c>
      <c r="R89" s="279">
        <f>('Stimulus Round 2'!$C7*0.3*4)/2</f>
        <v>13200</v>
      </c>
      <c r="S89" s="286"/>
      <c r="T89" s="286"/>
      <c r="U89" s="286"/>
      <c r="V89" s="286"/>
      <c r="W89" s="286"/>
      <c r="X89" s="286"/>
      <c r="Y89" s="286"/>
      <c r="Z89" s="286"/>
      <c r="AA89" s="286"/>
      <c r="AB89" s="286"/>
      <c r="AE89" s="287"/>
      <c r="AF89" s="287"/>
      <c r="AG89" s="287"/>
      <c r="AI89" s="287"/>
      <c r="AJ89" s="287"/>
      <c r="AK89" s="287"/>
      <c r="AL89" s="287"/>
      <c r="AM89" s="288"/>
    </row>
    <row r="90" spans="1:39" s="285" customFormat="1" x14ac:dyDescent="0.2">
      <c r="A90" s="284" t="s">
        <v>354</v>
      </c>
      <c r="F90" s="300"/>
      <c r="G90" s="300"/>
      <c r="H90" s="300"/>
      <c r="I90" s="300"/>
      <c r="J90" s="300"/>
      <c r="K90" s="300"/>
      <c r="L90" s="300"/>
      <c r="M90" s="305"/>
      <c r="N90" s="312"/>
      <c r="O90" s="279">
        <f>('Stimulus Round 2'!$C8*0.7*4)/2</f>
        <v>28000</v>
      </c>
      <c r="P90" s="279">
        <f>('Stimulus Round 2'!$C8*0.7*4)/2</f>
        <v>28000</v>
      </c>
      <c r="Q90" s="279">
        <f>('Stimulus Round 2'!$C8*0.3*4)/2</f>
        <v>12000</v>
      </c>
      <c r="R90" s="279">
        <f>('Stimulus Round 2'!$C8*0.3*4)/2</f>
        <v>12000</v>
      </c>
      <c r="S90" s="286"/>
      <c r="T90" s="286"/>
      <c r="U90" s="286"/>
      <c r="V90" s="286"/>
      <c r="W90" s="286"/>
      <c r="X90" s="286"/>
      <c r="Y90" s="286"/>
      <c r="Z90" s="286"/>
      <c r="AA90" s="286"/>
      <c r="AB90" s="286"/>
      <c r="AE90" s="287"/>
      <c r="AF90" s="287"/>
      <c r="AG90" s="287"/>
      <c r="AI90" s="287"/>
      <c r="AJ90" s="287"/>
      <c r="AK90" s="287"/>
      <c r="AL90" s="287"/>
      <c r="AM90" s="288"/>
    </row>
    <row r="91" spans="1:39" s="285" customFormat="1" x14ac:dyDescent="0.2">
      <c r="A91" s="284" t="s">
        <v>355</v>
      </c>
      <c r="F91" s="300"/>
      <c r="G91" s="300"/>
      <c r="H91" s="300"/>
      <c r="I91" s="300"/>
      <c r="J91" s="300"/>
      <c r="K91" s="300"/>
      <c r="L91" s="300"/>
      <c r="M91" s="305"/>
      <c r="N91" s="312"/>
      <c r="O91" s="279">
        <f>('Stimulus Round 2'!$C9*0.7*4)/2</f>
        <v>12600</v>
      </c>
      <c r="P91" s="279">
        <f>('Stimulus Round 2'!$C9*0.7*4)/2</f>
        <v>12600</v>
      </c>
      <c r="Q91" s="279">
        <f>('Stimulus Round 2'!$C9*0.3*4)/2</f>
        <v>5400</v>
      </c>
      <c r="R91" s="279">
        <f>('Stimulus Round 2'!$C9*0.3*4)/2</f>
        <v>5400</v>
      </c>
      <c r="S91" s="286"/>
      <c r="T91" s="286"/>
      <c r="U91" s="286"/>
      <c r="V91" s="286"/>
      <c r="W91" s="286"/>
      <c r="X91" s="286"/>
      <c r="Y91" s="286"/>
      <c r="Z91" s="286"/>
      <c r="AA91" s="286"/>
      <c r="AB91" s="286"/>
      <c r="AE91" s="287"/>
      <c r="AF91" s="287"/>
      <c r="AG91" s="287"/>
      <c r="AI91" s="287"/>
      <c r="AJ91" s="287"/>
      <c r="AK91" s="287"/>
      <c r="AL91" s="287"/>
      <c r="AM91" s="288"/>
    </row>
    <row r="92" spans="1:39" s="35" customFormat="1" x14ac:dyDescent="0.2">
      <c r="A92" s="35" t="s">
        <v>204</v>
      </c>
      <c r="B92" s="35" t="s">
        <v>281</v>
      </c>
      <c r="C92" t="s">
        <v>317</v>
      </c>
      <c r="D92"/>
      <c r="F92" s="206">
        <v>389624</v>
      </c>
      <c r="G92" s="206">
        <v>404529</v>
      </c>
      <c r="H92" s="206">
        <v>419672</v>
      </c>
      <c r="I92" s="206">
        <v>418824</v>
      </c>
      <c r="J92" s="206">
        <v>411409</v>
      </c>
      <c r="K92" s="206">
        <v>423429</v>
      </c>
      <c r="L92" s="206">
        <v>512640</v>
      </c>
      <c r="M92" s="301">
        <v>486072</v>
      </c>
      <c r="N92" s="308">
        <f>VLOOKUP($C$92,'Haver NA'!$A$1:$J$34,10,0)</f>
        <v>512193</v>
      </c>
      <c r="O92" s="116">
        <f t="shared" ref="O92:S92" si="50">O99*0.74</f>
        <v>503752.33331396605</v>
      </c>
      <c r="P92" s="116">
        <f t="shared" si="50"/>
        <v>506701.12852563272</v>
      </c>
      <c r="Q92" s="116">
        <f t="shared" si="50"/>
        <v>506701.12852563272</v>
      </c>
      <c r="R92" s="116">
        <f t="shared" si="50"/>
        <v>506701.12852563272</v>
      </c>
      <c r="S92" s="116">
        <f t="shared" si="50"/>
        <v>506701.12852563272</v>
      </c>
      <c r="T92" s="116">
        <f>T99*0.68</f>
        <v>465617.25323977065</v>
      </c>
      <c r="U92" s="116">
        <f>U99*0.68</f>
        <v>465617.25323977065</v>
      </c>
      <c r="V92" s="116">
        <f>V99*0.68</f>
        <v>465617.25323977065</v>
      </c>
      <c r="W92" s="116"/>
      <c r="X92" s="116"/>
      <c r="Y92" s="116"/>
      <c r="Z92" s="116"/>
      <c r="AA92" s="116"/>
      <c r="AB92" s="116"/>
      <c r="AC92" s="44">
        <f>AVERAGE(F92:I92)/1000</f>
        <v>408.16224999999997</v>
      </c>
      <c r="AD92" s="45">
        <f>AVERAGE(J92:M92)</f>
        <v>458387.5</v>
      </c>
      <c r="AE92" s="45">
        <f>AVERAGE(N92:Q92)</f>
        <v>507336.89759130788</v>
      </c>
      <c r="AF92" s="45">
        <f>AVERAGE(R92:U92)</f>
        <v>486159.19088270172</v>
      </c>
      <c r="AH92" s="35">
        <v>409.42</v>
      </c>
      <c r="AI92" s="84">
        <f>'figuring out Medicaid'!G11</f>
        <v>458.46899999999999</v>
      </c>
      <c r="AJ92" s="84">
        <f>'figuring out Medicaid'!H11</f>
        <v>507.26100000000002</v>
      </c>
      <c r="AK92" s="84">
        <f>'figuring out Medicaid'!I11</f>
        <v>514.14599999999996</v>
      </c>
      <c r="AL92" s="84"/>
      <c r="AM92" s="233"/>
    </row>
    <row r="93" spans="1:39" s="35" customFormat="1" x14ac:dyDescent="0.2">
      <c r="A93" s="141" t="s">
        <v>161</v>
      </c>
      <c r="B93" s="141"/>
      <c r="E93" s="141"/>
      <c r="F93" s="201">
        <f t="shared" ref="F93:L93" si="51">F50+F47+F36+F42</f>
        <v>1440187</v>
      </c>
      <c r="G93" s="201">
        <f t="shared" si="51"/>
        <v>1503410</v>
      </c>
      <c r="H93" s="201">
        <f t="shared" si="51"/>
        <v>1508652</v>
      </c>
      <c r="I93" s="201">
        <f t="shared" si="51"/>
        <v>1513957</v>
      </c>
      <c r="J93" s="201">
        <f t="shared" si="51"/>
        <v>1521941</v>
      </c>
      <c r="K93" s="201">
        <f t="shared" si="51"/>
        <v>1574462</v>
      </c>
      <c r="L93" s="201">
        <f t="shared" si="51"/>
        <v>3729557.333333333</v>
      </c>
      <c r="M93" s="301">
        <v>2466001</v>
      </c>
      <c r="N93" s="306">
        <f>N50+N47+N36+N42+N37</f>
        <v>2027793</v>
      </c>
      <c r="O93" s="142">
        <f t="shared" ref="O93:Z93" si="52">O50+O47+O36+O42+O37+O38+O39</f>
        <v>3107701.3980484894</v>
      </c>
      <c r="P93" s="142">
        <f t="shared" si="52"/>
        <v>1874848.87398125</v>
      </c>
      <c r="Q93" s="142">
        <f t="shared" si="52"/>
        <v>1686467.5074263907</v>
      </c>
      <c r="R93" s="142">
        <f t="shared" si="52"/>
        <v>1683044.5200377863</v>
      </c>
      <c r="S93" s="142">
        <f t="shared" si="52"/>
        <v>1687990.187838353</v>
      </c>
      <c r="T93" s="142">
        <f t="shared" si="52"/>
        <v>1713310.0406559282</v>
      </c>
      <c r="U93" s="142">
        <f t="shared" si="52"/>
        <v>1739009.691265767</v>
      </c>
      <c r="V93" s="142">
        <f t="shared" si="52"/>
        <v>1756399.7881784246</v>
      </c>
      <c r="W93" s="142">
        <f t="shared" si="52"/>
        <v>0</v>
      </c>
      <c r="X93" s="142">
        <f t="shared" si="52"/>
        <v>0</v>
      </c>
      <c r="Y93" s="142">
        <f t="shared" si="52"/>
        <v>0</v>
      </c>
      <c r="Z93" s="142">
        <f t="shared" si="52"/>
        <v>0</v>
      </c>
      <c r="AM93" s="233"/>
    </row>
    <row r="94" spans="1:39" s="35" customFormat="1" x14ac:dyDescent="0.2">
      <c r="A94" s="141" t="s">
        <v>214</v>
      </c>
      <c r="B94" s="141"/>
      <c r="E94" s="141"/>
      <c r="F94" s="197"/>
      <c r="G94" s="197"/>
      <c r="H94" s="197"/>
      <c r="I94" s="197"/>
      <c r="J94" s="197"/>
      <c r="K94" s="197"/>
      <c r="L94" s="203">
        <f>L92+L35</f>
        <v>1336698</v>
      </c>
      <c r="M94" s="301">
        <v>1328805</v>
      </c>
      <c r="N94" s="310">
        <f>N92+N35</f>
        <v>1372787</v>
      </c>
      <c r="O94" s="143">
        <f t="shared" ref="O94:Z94" si="53">O92+O35</f>
        <v>1386885.2477863673</v>
      </c>
      <c r="P94" s="143">
        <f t="shared" si="53"/>
        <v>1412648.9711213848</v>
      </c>
      <c r="Q94" s="143">
        <f t="shared" si="53"/>
        <v>1435743.2929846246</v>
      </c>
      <c r="R94" s="143">
        <f t="shared" si="53"/>
        <v>1478122.5526226012</v>
      </c>
      <c r="S94" s="143">
        <f t="shared" si="53"/>
        <v>1509887.5949312246</v>
      </c>
      <c r="T94" s="143">
        <f t="shared" si="53"/>
        <v>1501607.4645065949</v>
      </c>
      <c r="U94" s="143">
        <f t="shared" si="53"/>
        <v>1535483.8770252932</v>
      </c>
      <c r="V94" s="143">
        <f t="shared" si="53"/>
        <v>1546265.0210256313</v>
      </c>
      <c r="W94" s="143">
        <f t="shared" si="53"/>
        <v>1091537.5543621723</v>
      </c>
      <c r="X94" s="143">
        <f t="shared" si="53"/>
        <v>1102537.0783156503</v>
      </c>
      <c r="Y94" s="143">
        <f t="shared" si="53"/>
        <v>1113647.4454798999</v>
      </c>
      <c r="Z94" s="143">
        <f t="shared" si="53"/>
        <v>0</v>
      </c>
      <c r="AM94" s="233"/>
    </row>
    <row r="95" spans="1:39" s="35" customFormat="1" x14ac:dyDescent="0.2">
      <c r="F95" s="197"/>
      <c r="G95" s="197"/>
      <c r="H95" s="197"/>
      <c r="I95" s="197"/>
      <c r="J95" s="197"/>
      <c r="K95" s="197"/>
      <c r="L95" s="197"/>
      <c r="M95" s="301"/>
      <c r="N95" s="301"/>
      <c r="AM95" s="233"/>
    </row>
    <row r="96" spans="1:39" s="35" customFormat="1" x14ac:dyDescent="0.2">
      <c r="A96" s="35" t="s">
        <v>15</v>
      </c>
      <c r="B96" s="35" t="s">
        <v>281</v>
      </c>
      <c r="C96" t="s">
        <v>318</v>
      </c>
      <c r="D96"/>
      <c r="F96" s="197">
        <v>728844</v>
      </c>
      <c r="G96" s="197">
        <v>738714</v>
      </c>
      <c r="H96" s="197">
        <v>755204</v>
      </c>
      <c r="I96" s="197">
        <v>763370</v>
      </c>
      <c r="J96" s="197">
        <v>760967</v>
      </c>
      <c r="K96" s="197">
        <v>767087</v>
      </c>
      <c r="L96" s="197">
        <v>812158</v>
      </c>
      <c r="M96" s="301">
        <v>828480</v>
      </c>
      <c r="N96" s="303">
        <f>VLOOKUP($C$96,'Haver NA'!$A$1:$J$34,10,0)</f>
        <v>818740</v>
      </c>
      <c r="O96" s="133">
        <f t="shared" ref="O96:U96" si="54">O97+O99</f>
        <v>826217.16637022444</v>
      </c>
      <c r="P96" s="133">
        <f t="shared" si="54"/>
        <v>830565.70168936846</v>
      </c>
      <c r="Q96" s="133">
        <f t="shared" si="54"/>
        <v>831294.87392399344</v>
      </c>
      <c r="R96" s="133">
        <f t="shared" si="54"/>
        <v>832394.10106769064</v>
      </c>
      <c r="S96" s="133">
        <f t="shared" si="54"/>
        <v>833870.72953072388</v>
      </c>
      <c r="T96" s="133">
        <f t="shared" si="54"/>
        <v>835215.82925763074</v>
      </c>
      <c r="U96" s="133">
        <f t="shared" si="54"/>
        <v>836647.31153580686</v>
      </c>
      <c r="V96" s="133">
        <f t="shared" ref="V96" si="55">V97+V99</f>
        <v>838140.49563631811</v>
      </c>
      <c r="AM96" s="233"/>
    </row>
    <row r="97" spans="1:39" s="35" customFormat="1" x14ac:dyDescent="0.2">
      <c r="A97" s="35" t="s">
        <v>230</v>
      </c>
      <c r="F97" s="203">
        <f t="shared" ref="F97:K97" si="56">F96-F99</f>
        <v>139025</v>
      </c>
      <c r="G97" s="203">
        <f t="shared" si="56"/>
        <v>139342</v>
      </c>
      <c r="H97" s="203">
        <f t="shared" si="56"/>
        <v>140228</v>
      </c>
      <c r="I97" s="203">
        <f t="shared" si="56"/>
        <v>141105</v>
      </c>
      <c r="J97" s="203">
        <f t="shared" si="56"/>
        <v>141335</v>
      </c>
      <c r="K97" s="203">
        <f t="shared" si="56"/>
        <v>142991</v>
      </c>
      <c r="L97" s="203">
        <f>L96-L99</f>
        <v>143335</v>
      </c>
      <c r="M97" s="301">
        <v>144777</v>
      </c>
      <c r="N97" s="303">
        <f>N96-N99</f>
        <v>145108</v>
      </c>
      <c r="O97" s="133">
        <f>N97*(1+O109)</f>
        <v>145470.76999999999</v>
      </c>
      <c r="P97" s="133">
        <f t="shared" ref="P97:S97" si="57">O97*(1+P109)</f>
        <v>145834.44692499997</v>
      </c>
      <c r="Q97" s="133">
        <f t="shared" si="57"/>
        <v>146563.61915962494</v>
      </c>
      <c r="R97" s="133">
        <f t="shared" si="57"/>
        <v>147662.84630332215</v>
      </c>
      <c r="S97" s="133">
        <f t="shared" si="57"/>
        <v>149139.47476635536</v>
      </c>
      <c r="T97" s="133">
        <f t="shared" ref="T97:V97" si="58">S97*(1+T108)</f>
        <v>150484.57449326222</v>
      </c>
      <c r="U97" s="133">
        <f t="shared" si="58"/>
        <v>151916.05677143831</v>
      </c>
      <c r="V97" s="133">
        <f t="shared" si="58"/>
        <v>153409.24087194959</v>
      </c>
      <c r="AM97" s="233"/>
    </row>
    <row r="98" spans="1:39" s="35" customFormat="1" x14ac:dyDescent="0.2">
      <c r="F98" s="203"/>
      <c r="G98" s="197"/>
      <c r="H98" s="197"/>
      <c r="I98" s="197"/>
      <c r="J98" s="197"/>
      <c r="K98" s="197"/>
      <c r="L98" s="197"/>
      <c r="M98" s="301"/>
      <c r="N98" s="301"/>
      <c r="AM98" s="233"/>
    </row>
    <row r="99" spans="1:39" s="35" customFormat="1" x14ac:dyDescent="0.2">
      <c r="A99" s="35" t="s">
        <v>227</v>
      </c>
      <c r="B99" s="35" t="s">
        <v>281</v>
      </c>
      <c r="C99" t="s">
        <v>319</v>
      </c>
      <c r="D99"/>
      <c r="F99" s="197">
        <v>589819</v>
      </c>
      <c r="G99" s="197">
        <v>599372</v>
      </c>
      <c r="H99" s="197">
        <v>614976</v>
      </c>
      <c r="I99" s="197">
        <v>622265</v>
      </c>
      <c r="J99" s="197">
        <v>619632</v>
      </c>
      <c r="K99" s="197">
        <v>624096</v>
      </c>
      <c r="L99" s="197">
        <v>668823</v>
      </c>
      <c r="M99" s="301">
        <v>683703</v>
      </c>
      <c r="N99" s="310">
        <f>VLOOKUP($C$99,'Haver NA'!$A$1:$J$34,10,0)</f>
        <v>673632</v>
      </c>
      <c r="O99" s="135">
        <f>N99*(($AJ$99/$AI$99)^0.18)</f>
        <v>680746.39637022442</v>
      </c>
      <c r="P99" s="135">
        <f>O99*(($AJ$99/$AI$99)^0.1)</f>
        <v>684731.25476436852</v>
      </c>
      <c r="Q99" s="135">
        <f>P99*(1+Q100)</f>
        <v>684731.25476436852</v>
      </c>
      <c r="R99" s="135">
        <f t="shared" ref="R99:V99" si="59">Q99*(1+R100)</f>
        <v>684731.25476436852</v>
      </c>
      <c r="S99" s="135">
        <f t="shared" si="59"/>
        <v>684731.25476436852</v>
      </c>
      <c r="T99" s="135">
        <f t="shared" si="59"/>
        <v>684731.25476436852</v>
      </c>
      <c r="U99" s="135">
        <f t="shared" si="59"/>
        <v>684731.25476436852</v>
      </c>
      <c r="V99" s="135">
        <f t="shared" si="59"/>
        <v>684731.25476436852</v>
      </c>
      <c r="AD99" s="45">
        <f>AVERAGE(J99:M99)/1000</f>
        <v>649.06349999999998</v>
      </c>
      <c r="AE99" s="45">
        <f>AVERAGE(N99:Q99)/1000</f>
        <v>680.96022647474035</v>
      </c>
      <c r="AF99" s="45">
        <f>AVERAGE(R99:U99)/1000</f>
        <v>684.73125476436849</v>
      </c>
      <c r="AH99" s="84"/>
      <c r="AI99" s="84">
        <f>'figuring out Medicaid'!G13</f>
        <v>646.21543293487082</v>
      </c>
      <c r="AJ99" s="84">
        <f>'figuring out Medicaid'!H13</f>
        <v>685.05483158949448</v>
      </c>
      <c r="AK99" s="84">
        <f>'figuring out Medicaid'!I13</f>
        <v>724.69257459442645</v>
      </c>
      <c r="AL99" s="84"/>
      <c r="AM99" s="233"/>
    </row>
    <row r="100" spans="1:39" s="185" customFormat="1" x14ac:dyDescent="0.2">
      <c r="A100" s="169" t="s">
        <v>269</v>
      </c>
      <c r="F100" s="207"/>
      <c r="G100" s="207"/>
      <c r="H100" s="207"/>
      <c r="I100" s="207"/>
      <c r="J100" s="200"/>
      <c r="K100" s="200"/>
      <c r="L100" s="200"/>
      <c r="M100" s="301"/>
      <c r="N100" s="302"/>
      <c r="O100" s="175"/>
      <c r="P100" s="175"/>
      <c r="Q100" s="175">
        <v>0</v>
      </c>
      <c r="R100" s="175">
        <v>0</v>
      </c>
      <c r="S100" s="175">
        <v>0</v>
      </c>
      <c r="T100" s="175">
        <v>0</v>
      </c>
      <c r="U100" s="175">
        <v>0</v>
      </c>
      <c r="V100" s="175">
        <v>0</v>
      </c>
      <c r="W100" s="175"/>
      <c r="AM100" s="234"/>
    </row>
    <row r="101" spans="1:39" s="153" customFormat="1" ht="12" x14ac:dyDescent="0.15">
      <c r="A101" s="153" t="s">
        <v>222</v>
      </c>
      <c r="F101" s="208">
        <f t="shared" ref="F101:L101" si="60">F92/F99</f>
        <v>0.66058231423538405</v>
      </c>
      <c r="G101" s="208">
        <f t="shared" si="60"/>
        <v>0.6749214177505789</v>
      </c>
      <c r="H101" s="208">
        <f t="shared" si="60"/>
        <v>0.68242012696430432</v>
      </c>
      <c r="I101" s="208">
        <f t="shared" si="60"/>
        <v>0.6730637268687778</v>
      </c>
      <c r="J101" s="208">
        <f t="shared" si="60"/>
        <v>0.66395699382859508</v>
      </c>
      <c r="K101" s="208">
        <f t="shared" si="60"/>
        <v>0.67846773573296415</v>
      </c>
      <c r="L101" s="208">
        <f t="shared" si="60"/>
        <v>0.76648081779484256</v>
      </c>
      <c r="M101" s="208">
        <v>0.71094027669909299</v>
      </c>
      <c r="N101" s="208">
        <f t="shared" ref="N101" si="61">N92/N99</f>
        <v>0.76034541114436371</v>
      </c>
      <c r="AD101" s="154"/>
      <c r="AE101" s="154"/>
      <c r="AF101" s="154"/>
      <c r="AH101" s="155"/>
      <c r="AI101" s="155"/>
      <c r="AJ101" s="155"/>
      <c r="AM101" s="238"/>
    </row>
    <row r="102" spans="1:39" s="35" customFormat="1" x14ac:dyDescent="0.2">
      <c r="A102" s="35" t="s">
        <v>18</v>
      </c>
      <c r="B102" s="35" t="s">
        <v>281</v>
      </c>
      <c r="C102" t="s">
        <v>320</v>
      </c>
      <c r="D102"/>
      <c r="F102" s="197">
        <v>1997.1</v>
      </c>
      <c r="G102" s="197">
        <v>2012.7</v>
      </c>
      <c r="H102" s="197">
        <v>2025.5</v>
      </c>
      <c r="I102" s="197">
        <v>2028.3</v>
      </c>
      <c r="J102" s="197">
        <v>2035.6</v>
      </c>
      <c r="K102" s="197">
        <v>2041</v>
      </c>
      <c r="L102" s="197">
        <v>2013.1</v>
      </c>
      <c r="M102" s="301">
        <v>1993.0509999999999</v>
      </c>
      <c r="N102" s="301">
        <f>VLOOKUP($C$102,'Haver NA'!$A$1:$J$34,10,0)/1000</f>
        <v>1984.547</v>
      </c>
      <c r="O102" s="35">
        <f>N102*(1+O104)</f>
        <v>2009.5840333646127</v>
      </c>
      <c r="P102" s="35">
        <f t="shared" ref="P102:V102" si="62">O102*(1+P104)</f>
        <v>2031.5173022625379</v>
      </c>
      <c r="Q102" s="35">
        <f t="shared" si="62"/>
        <v>2046.001536440413</v>
      </c>
      <c r="R102" s="35">
        <f t="shared" si="62"/>
        <v>2056.0370415493694</v>
      </c>
      <c r="S102" s="35">
        <f t="shared" si="62"/>
        <v>2065.9690878427696</v>
      </c>
      <c r="T102" s="35">
        <f t="shared" si="62"/>
        <v>2073.2112049317075</v>
      </c>
      <c r="U102" s="35">
        <f t="shared" si="62"/>
        <v>2077.6599340006264</v>
      </c>
      <c r="V102" s="35">
        <f t="shared" si="62"/>
        <v>2079.3152750495265</v>
      </c>
      <c r="AM102" s="233"/>
    </row>
    <row r="103" spans="1:39" s="185" customFormat="1" x14ac:dyDescent="0.2">
      <c r="A103" s="169" t="s">
        <v>285</v>
      </c>
      <c r="B103" s="35"/>
      <c r="C103" s="35"/>
      <c r="D103" s="35"/>
      <c r="F103" s="200"/>
      <c r="G103" s="200">
        <f t="shared" ref="G103:L103" si="63">(G102/F102)-1</f>
        <v>7.8113264233139468E-3</v>
      </c>
      <c r="H103" s="200">
        <f t="shared" si="63"/>
        <v>6.3596164356336526E-3</v>
      </c>
      <c r="I103" s="200">
        <f t="shared" si="63"/>
        <v>1.3823747222907468E-3</v>
      </c>
      <c r="J103" s="200">
        <f t="shared" si="63"/>
        <v>3.5990731154167399E-3</v>
      </c>
      <c r="K103" s="200">
        <f t="shared" si="63"/>
        <v>2.6527805069758159E-3</v>
      </c>
      <c r="L103" s="200">
        <f t="shared" si="63"/>
        <v>-1.36697697207252E-2</v>
      </c>
      <c r="M103" s="302">
        <v>-9.9592668024439668E-3</v>
      </c>
      <c r="N103" s="324">
        <f>(N102/M102)-1</f>
        <v>-4.2668250837534227E-3</v>
      </c>
      <c r="O103" s="252"/>
      <c r="P103" s="252"/>
      <c r="Q103" s="252"/>
      <c r="R103" s="252"/>
      <c r="S103" s="252"/>
      <c r="T103" s="252"/>
      <c r="U103" s="252"/>
      <c r="V103" s="252"/>
      <c r="W103" s="252"/>
      <c r="X103" s="252"/>
      <c r="Y103" s="252"/>
      <c r="AM103" s="234"/>
    </row>
    <row r="104" spans="1:39" s="185" customFormat="1" x14ac:dyDescent="0.2">
      <c r="A104" s="169" t="s">
        <v>286</v>
      </c>
      <c r="B104" s="35" t="s">
        <v>281</v>
      </c>
      <c r="C104" s="35"/>
      <c r="D104" s="35"/>
      <c r="F104" s="207"/>
      <c r="G104" s="207"/>
      <c r="H104" s="207"/>
      <c r="I104" s="207"/>
      <c r="J104" s="200"/>
      <c r="K104" s="200"/>
      <c r="L104" s="200"/>
      <c r="M104" s="301"/>
      <c r="N104" s="302"/>
      <c r="O104" s="196">
        <v>1.26159941611927E-2</v>
      </c>
      <c r="P104" s="196">
        <v>1.0914332784184499E-2</v>
      </c>
      <c r="Q104" s="196">
        <v>7.1297616622529904E-3</v>
      </c>
      <c r="R104" s="196">
        <v>4.9049352750809598E-3</v>
      </c>
      <c r="S104" s="196">
        <v>4.8306747848840797E-3</v>
      </c>
      <c r="T104" s="196">
        <v>3.5054334218038701E-3</v>
      </c>
      <c r="U104" s="196">
        <v>2.14581565946403E-3</v>
      </c>
      <c r="V104" s="196">
        <v>7.9673339308827796E-4</v>
      </c>
      <c r="W104" s="196">
        <v>3.9804955716982198E-4</v>
      </c>
      <c r="X104" s="196">
        <v>1.1439371331942701E-3</v>
      </c>
      <c r="Y104" s="196">
        <v>8.9423220229512001E-4</v>
      </c>
      <c r="Z104" s="185">
        <v>8.4379808408208102E-4</v>
      </c>
      <c r="AM104" s="234"/>
    </row>
    <row r="105" spans="1:39" s="35" customFormat="1" x14ac:dyDescent="0.2">
      <c r="A105" s="35" t="s">
        <v>216</v>
      </c>
      <c r="B105" s="35" t="s">
        <v>281</v>
      </c>
      <c r="C105" t="s">
        <v>321</v>
      </c>
      <c r="D105"/>
      <c r="F105" s="197"/>
      <c r="G105" s="197"/>
      <c r="H105" s="197"/>
      <c r="I105" s="197"/>
      <c r="J105" s="197">
        <v>2357.4</v>
      </c>
      <c r="K105" s="197">
        <v>2381.6</v>
      </c>
      <c r="L105" s="197">
        <v>2334.5</v>
      </c>
      <c r="M105" s="301">
        <v>2329.605</v>
      </c>
      <c r="N105" s="301">
        <f>VLOOKUP($C$105,'Haver NA'!$A$1:$J$34,10,0)/1000</f>
        <v>2337.201</v>
      </c>
      <c r="O105">
        <v>2469.9411956560398</v>
      </c>
      <c r="P105">
        <v>2511.3882460388099</v>
      </c>
      <c r="Q105">
        <v>2543.4204311910298</v>
      </c>
      <c r="R105">
        <v>2569.93355741499</v>
      </c>
      <c r="S105">
        <v>2599.1521046822099</v>
      </c>
      <c r="T105">
        <v>2626.53096564002</v>
      </c>
      <c r="U105">
        <v>2651.2044055545698</v>
      </c>
      <c r="V105">
        <v>2672.95599074239</v>
      </c>
      <c r="W105">
        <v>2693.9500580381</v>
      </c>
      <c r="X105">
        <v>2717.3248958518798</v>
      </c>
      <c r="Y105">
        <v>2740.4832999822002</v>
      </c>
      <c r="AM105" s="233"/>
    </row>
    <row r="106" spans="1:39" s="35" customFormat="1" x14ac:dyDescent="0.2">
      <c r="F106" s="197"/>
      <c r="G106" s="197"/>
      <c r="H106" s="197"/>
      <c r="I106" s="197"/>
      <c r="J106" s="197"/>
      <c r="K106" s="197"/>
      <c r="L106" s="197"/>
      <c r="M106" s="301"/>
      <c r="N106" s="301"/>
      <c r="O106">
        <f>N106*(1+O109)</f>
        <v>0</v>
      </c>
      <c r="P106">
        <f t="shared" ref="P106:S106" si="64">O106*(1+P109)</f>
        <v>0</v>
      </c>
      <c r="Q106">
        <f t="shared" si="64"/>
        <v>0</v>
      </c>
      <c r="R106">
        <f t="shared" si="64"/>
        <v>0</v>
      </c>
      <c r="S106">
        <f t="shared" si="64"/>
        <v>0</v>
      </c>
      <c r="T106">
        <f>S106*(1+T108)</f>
        <v>0</v>
      </c>
      <c r="U106">
        <f t="shared" ref="U106:V106" si="65">T106*(1+U108)</f>
        <v>0</v>
      </c>
      <c r="V106">
        <f t="shared" si="65"/>
        <v>0</v>
      </c>
      <c r="W106"/>
      <c r="X106"/>
      <c r="Y106"/>
      <c r="AM106" s="233"/>
    </row>
    <row r="107" spans="1:39" s="185" customFormat="1" x14ac:dyDescent="0.2">
      <c r="A107" s="169" t="s">
        <v>285</v>
      </c>
      <c r="B107" s="35"/>
      <c r="C107" s="35"/>
      <c r="D107" s="35"/>
      <c r="F107" s="200"/>
      <c r="G107" s="200"/>
      <c r="H107" s="200"/>
      <c r="I107" s="200"/>
      <c r="J107" s="200"/>
      <c r="K107" s="200">
        <f t="shared" ref="K107" si="66">(K105/J105)-1</f>
        <v>1.0265546788835067E-2</v>
      </c>
      <c r="L107" s="200">
        <f t="shared" ref="L107" si="67">(L105/K105)-1</f>
        <v>-1.9776620759153429E-2</v>
      </c>
      <c r="M107" s="302">
        <v>-8.3608921686818549E-3</v>
      </c>
      <c r="N107" s="324">
        <f>(((N105/M105))^4)-1</f>
        <v>1.3106483787577172E-2</v>
      </c>
      <c r="O107" s="252"/>
      <c r="P107" s="252"/>
      <c r="Q107" s="252"/>
      <c r="R107" s="252"/>
      <c r="S107" s="252"/>
      <c r="T107" s="252"/>
      <c r="U107" s="252"/>
      <c r="V107" s="252"/>
      <c r="W107" s="252"/>
      <c r="X107" s="252"/>
      <c r="Y107" s="252"/>
      <c r="AM107" s="234"/>
    </row>
    <row r="108" spans="1:39" s="185" customFormat="1" x14ac:dyDescent="0.2">
      <c r="A108" s="169" t="s">
        <v>286</v>
      </c>
      <c r="F108" s="207"/>
      <c r="G108" s="207"/>
      <c r="H108" s="207"/>
      <c r="I108" s="207"/>
      <c r="J108" s="207"/>
      <c r="K108" s="200"/>
      <c r="L108" s="200"/>
      <c r="M108" s="301"/>
      <c r="N108" s="302"/>
      <c r="O108" s="175">
        <v>9.408690138332787E-4</v>
      </c>
      <c r="P108" s="175">
        <v>9.1903906984696082E-3</v>
      </c>
      <c r="Q108" s="175">
        <v>7.4547841924690328E-3</v>
      </c>
      <c r="R108" s="175">
        <v>7.6518814378809807E-3</v>
      </c>
      <c r="S108" s="175">
        <v>8.511703592439579E-3</v>
      </c>
      <c r="T108" s="175">
        <v>9.0190724421828072E-3</v>
      </c>
      <c r="U108" s="175">
        <v>9.512485136741855E-3</v>
      </c>
      <c r="V108" s="175">
        <v>9.8290077576053125E-3</v>
      </c>
      <c r="W108" s="175">
        <v>1.0779069299762689E-2</v>
      </c>
      <c r="X108" s="175">
        <v>1.1818073295929432E-2</v>
      </c>
      <c r="Y108" s="175">
        <v>1.2112631744533475E-2</v>
      </c>
      <c r="Z108" s="175">
        <v>1.2395088591855785E-2</v>
      </c>
      <c r="AM108" s="234"/>
    </row>
    <row r="109" spans="1:39" s="185" customFormat="1" x14ac:dyDescent="0.2">
      <c r="A109" s="169" t="s">
        <v>373</v>
      </c>
      <c r="F109" s="207"/>
      <c r="G109" s="207"/>
      <c r="H109" s="207"/>
      <c r="I109" s="207"/>
      <c r="J109" s="207"/>
      <c r="K109" s="200"/>
      <c r="L109" s="200"/>
      <c r="M109" s="301"/>
      <c r="N109" s="302"/>
      <c r="O109" s="175">
        <v>2.5000000000000001E-3</v>
      </c>
      <c r="P109" s="175">
        <v>2.5000000000000001E-3</v>
      </c>
      <c r="Q109" s="175">
        <v>5.0000000000000001E-3</v>
      </c>
      <c r="R109" s="175">
        <v>7.4999999999999997E-3</v>
      </c>
      <c r="S109" s="175">
        <v>0.01</v>
      </c>
      <c r="T109" s="175"/>
      <c r="U109" s="175"/>
      <c r="V109" s="175"/>
      <c r="AM109" s="234"/>
    </row>
    <row r="110" spans="1:39" s="35" customFormat="1" x14ac:dyDescent="0.2">
      <c r="A110" s="35" t="s">
        <v>163</v>
      </c>
      <c r="F110" s="201">
        <f t="shared" ref="F110:L110" si="68">F96+F46-F92</f>
        <v>339220</v>
      </c>
      <c r="G110" s="201">
        <f t="shared" si="68"/>
        <v>334185</v>
      </c>
      <c r="H110" s="201">
        <f t="shared" si="68"/>
        <v>335532</v>
      </c>
      <c r="I110" s="201">
        <f t="shared" si="68"/>
        <v>344546</v>
      </c>
      <c r="J110" s="201">
        <f t="shared" si="68"/>
        <v>349558</v>
      </c>
      <c r="K110" s="201">
        <f t="shared" si="68"/>
        <v>343658</v>
      </c>
      <c r="L110" s="201">
        <f t="shared" si="68"/>
        <v>560584.66666666674</v>
      </c>
      <c r="M110" s="301">
        <v>528408</v>
      </c>
      <c r="N110" s="306">
        <f>N96+N46-N92</f>
        <v>343247</v>
      </c>
      <c r="O110" s="215">
        <f t="shared" ref="O110:Y110" si="69">O96+O46-O92</f>
        <v>382464.83305625839</v>
      </c>
      <c r="P110" s="215">
        <f t="shared" si="69"/>
        <v>367864.57316373574</v>
      </c>
      <c r="Q110" s="215">
        <f t="shared" si="69"/>
        <v>368593.74539836071</v>
      </c>
      <c r="R110" s="215">
        <f t="shared" si="69"/>
        <v>369692.97254205792</v>
      </c>
      <c r="S110" s="215">
        <f t="shared" si="69"/>
        <v>371169.60100509116</v>
      </c>
      <c r="T110" s="215">
        <f t="shared" si="69"/>
        <v>413598.57601786009</v>
      </c>
      <c r="U110" s="215">
        <f t="shared" si="69"/>
        <v>415030.05829603621</v>
      </c>
      <c r="V110" s="215">
        <f t="shared" si="69"/>
        <v>416523.24239654746</v>
      </c>
      <c r="W110" s="215">
        <f t="shared" si="69"/>
        <v>0</v>
      </c>
      <c r="X110" s="215">
        <f t="shared" si="69"/>
        <v>0</v>
      </c>
      <c r="Y110" s="215">
        <f t="shared" si="69"/>
        <v>0</v>
      </c>
      <c r="AM110" s="233"/>
    </row>
    <row r="111" spans="1:39" s="35" customFormat="1" x14ac:dyDescent="0.2">
      <c r="A111" s="141" t="s">
        <v>213</v>
      </c>
      <c r="B111" s="141"/>
      <c r="E111" s="141"/>
      <c r="F111" s="201">
        <f t="shared" ref="F111:L111" si="70">F99-F92</f>
        <v>200195</v>
      </c>
      <c r="G111" s="201">
        <f t="shared" si="70"/>
        <v>194843</v>
      </c>
      <c r="H111" s="201">
        <f t="shared" si="70"/>
        <v>195304</v>
      </c>
      <c r="I111" s="201">
        <f t="shared" si="70"/>
        <v>203441</v>
      </c>
      <c r="J111" s="201">
        <f t="shared" si="70"/>
        <v>208223</v>
      </c>
      <c r="K111" s="201">
        <f t="shared" si="70"/>
        <v>200667</v>
      </c>
      <c r="L111" s="201">
        <f t="shared" si="70"/>
        <v>156183</v>
      </c>
      <c r="M111" s="301">
        <v>197631</v>
      </c>
      <c r="N111" s="306">
        <f>N99-N92</f>
        <v>161439</v>
      </c>
      <c r="O111" s="142">
        <f t="shared" ref="O111:Y111" si="71">O99-O92</f>
        <v>176994.06305625837</v>
      </c>
      <c r="P111" s="142">
        <f t="shared" si="71"/>
        <v>178030.1262387358</v>
      </c>
      <c r="Q111" s="142">
        <f t="shared" si="71"/>
        <v>178030.1262387358</v>
      </c>
      <c r="R111" s="142">
        <f t="shared" si="71"/>
        <v>178030.1262387358</v>
      </c>
      <c r="S111" s="142">
        <f t="shared" si="71"/>
        <v>178030.1262387358</v>
      </c>
      <c r="T111" s="142">
        <f t="shared" si="71"/>
        <v>219114.00152459787</v>
      </c>
      <c r="U111" s="142">
        <f t="shared" si="71"/>
        <v>219114.00152459787</v>
      </c>
      <c r="V111" s="142">
        <f t="shared" si="71"/>
        <v>219114.00152459787</v>
      </c>
      <c r="W111" s="142">
        <f t="shared" si="71"/>
        <v>0</v>
      </c>
      <c r="X111" s="142">
        <f t="shared" si="71"/>
        <v>0</v>
      </c>
      <c r="Y111" s="142">
        <f t="shared" si="71"/>
        <v>0</v>
      </c>
      <c r="AM111" s="233"/>
    </row>
    <row r="112" spans="1:39" s="141" customFormat="1" x14ac:dyDescent="0.2">
      <c r="A112" s="141" t="s">
        <v>231</v>
      </c>
      <c r="C112" s="35"/>
      <c r="D112" s="35"/>
      <c r="F112" s="201">
        <f t="shared" ref="F112:K112" si="72">F110-F111</f>
        <v>139025</v>
      </c>
      <c r="G112" s="201">
        <f t="shared" si="72"/>
        <v>139342</v>
      </c>
      <c r="H112" s="201">
        <f t="shared" si="72"/>
        <v>140228</v>
      </c>
      <c r="I112" s="201">
        <f t="shared" si="72"/>
        <v>141105</v>
      </c>
      <c r="J112" s="201">
        <f t="shared" si="72"/>
        <v>141335</v>
      </c>
      <c r="K112" s="201">
        <f t="shared" si="72"/>
        <v>142991</v>
      </c>
      <c r="L112" s="201">
        <f>L110-L111</f>
        <v>404401.66666666674</v>
      </c>
      <c r="M112" s="306">
        <v>330777</v>
      </c>
      <c r="N112" s="306">
        <f>N110-N111</f>
        <v>181808</v>
      </c>
      <c r="O112" s="142">
        <f t="shared" ref="O112:Y112" si="73">O110-O111</f>
        <v>205470.77000000002</v>
      </c>
      <c r="P112" s="142">
        <f t="shared" si="73"/>
        <v>189834.44692499994</v>
      </c>
      <c r="Q112" s="142">
        <f t="shared" si="73"/>
        <v>190563.61915962491</v>
      </c>
      <c r="R112" s="142">
        <f t="shared" si="73"/>
        <v>191662.84630332212</v>
      </c>
      <c r="S112" s="142">
        <f t="shared" si="73"/>
        <v>193139.47476635536</v>
      </c>
      <c r="T112" s="142">
        <f t="shared" si="73"/>
        <v>194484.57449326222</v>
      </c>
      <c r="U112" s="142">
        <f t="shared" si="73"/>
        <v>195916.05677143834</v>
      </c>
      <c r="V112" s="142">
        <f t="shared" si="73"/>
        <v>197409.24087194959</v>
      </c>
      <c r="W112" s="142">
        <f t="shared" si="73"/>
        <v>0</v>
      </c>
      <c r="X112" s="142">
        <f t="shared" si="73"/>
        <v>0</v>
      </c>
      <c r="Y112" s="142">
        <f t="shared" si="73"/>
        <v>0</v>
      </c>
      <c r="AM112" s="256"/>
    </row>
    <row r="113" spans="1:39" s="35" customFormat="1" x14ac:dyDescent="0.2">
      <c r="A113"/>
      <c r="F113" s="213"/>
      <c r="G113" s="213"/>
      <c r="H113" s="213"/>
      <c r="I113" s="213"/>
      <c r="J113" s="213"/>
      <c r="K113" s="213"/>
      <c r="L113" s="135"/>
      <c r="M113" s="135"/>
      <c r="N113" s="94"/>
      <c r="O113" s="94"/>
      <c r="P113" s="94"/>
      <c r="Q113" s="94"/>
      <c r="R113" s="94"/>
      <c r="S113" s="94"/>
      <c r="T113" s="94"/>
      <c r="U113" s="94"/>
      <c r="V113"/>
      <c r="AM113" s="233"/>
    </row>
    <row r="114" spans="1:39" s="185" customFormat="1" x14ac:dyDescent="0.2">
      <c r="A114" s="169"/>
      <c r="F114" s="193"/>
      <c r="G114" s="193"/>
      <c r="H114" s="193"/>
      <c r="I114" s="193"/>
      <c r="J114" s="193"/>
      <c r="K114" s="193"/>
      <c r="L114" s="193"/>
      <c r="M114" s="214"/>
      <c r="N114" s="193"/>
      <c r="O114" s="193"/>
      <c r="P114" s="193"/>
      <c r="Q114" s="193"/>
      <c r="R114" s="193"/>
      <c r="S114" s="193"/>
      <c r="T114" s="193"/>
      <c r="U114" s="193"/>
      <c r="AM114" s="234"/>
    </row>
    <row r="115" spans="1:39" x14ac:dyDescent="0.2">
      <c r="A115" t="s">
        <v>158</v>
      </c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</row>
    <row r="116" spans="1:39" x14ac:dyDescent="0.2"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</row>
    <row r="117" spans="1:39" x14ac:dyDescent="0.2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</row>
    <row r="118" spans="1:39" x14ac:dyDescent="0.2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</row>
    <row r="119" spans="1:39" x14ac:dyDescent="0.2"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</row>
    <row r="120" spans="1:39" x14ac:dyDescent="0.2"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</row>
  </sheetData>
  <mergeCells count="12">
    <mergeCell ref="A4:B4"/>
    <mergeCell ref="F2:I2"/>
    <mergeCell ref="A1:B1"/>
    <mergeCell ref="AM1:AP1"/>
    <mergeCell ref="J2:M2"/>
    <mergeCell ref="N2:Q2"/>
    <mergeCell ref="R2:U2"/>
    <mergeCell ref="AI1:AL1"/>
    <mergeCell ref="V2:Y2"/>
    <mergeCell ref="AC2:AL2"/>
    <mergeCell ref="AE1:AF1"/>
    <mergeCell ref="AC1:AD1"/>
  </mergeCells>
  <pageMargins left="0.7" right="0.7" top="0.75" bottom="0.75" header="0.3" footer="0.3"/>
  <pageSetup orientation="portrait" r:id="rId1"/>
  <ignoredErrors>
    <ignoredError sqref="AC21 AC17:AC18 AC12 AC14:AC1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C2" sqref="C2:C19"/>
    </sheetView>
  </sheetViews>
  <sheetFormatPr baseColWidth="10" defaultColWidth="8.83203125" defaultRowHeight="15" x14ac:dyDescent="0.2"/>
  <cols>
    <col min="1" max="1" width="25.5" bestFit="1" customWidth="1"/>
    <col min="2" max="2" width="8" bestFit="1" customWidth="1"/>
    <col min="3" max="3" width="11.1640625" bestFit="1" customWidth="1"/>
  </cols>
  <sheetData>
    <row r="1" spans="1:3" x14ac:dyDescent="0.2">
      <c r="A1" s="97" t="s">
        <v>356</v>
      </c>
      <c r="B1" s="97" t="s">
        <v>358</v>
      </c>
      <c r="C1" s="97" t="s">
        <v>359</v>
      </c>
    </row>
    <row r="2" spans="1:3" x14ac:dyDescent="0.2">
      <c r="A2" s="289" t="s">
        <v>361</v>
      </c>
      <c r="B2" s="289">
        <v>325</v>
      </c>
      <c r="C2" s="290">
        <f>B2*1000</f>
        <v>325000</v>
      </c>
    </row>
    <row r="3" spans="1:3" x14ac:dyDescent="0.2">
      <c r="A3" s="289" t="s">
        <v>362</v>
      </c>
      <c r="B3" s="289">
        <v>120</v>
      </c>
      <c r="C3" s="290">
        <f t="shared" ref="C3:C20" si="0">B3*1000</f>
        <v>120000</v>
      </c>
    </row>
    <row r="4" spans="1:3" x14ac:dyDescent="0.2">
      <c r="A4" s="289" t="s">
        <v>20</v>
      </c>
      <c r="B4" s="289">
        <v>166</v>
      </c>
      <c r="C4" s="290">
        <f t="shared" si="0"/>
        <v>166000</v>
      </c>
    </row>
    <row r="5" spans="1:3" x14ac:dyDescent="0.2">
      <c r="A5" s="289" t="s">
        <v>198</v>
      </c>
      <c r="B5" s="289">
        <v>82</v>
      </c>
      <c r="C5" s="290">
        <f t="shared" si="0"/>
        <v>82000</v>
      </c>
    </row>
    <row r="6" spans="1:3" x14ac:dyDescent="0.2">
      <c r="A6" s="289" t="s">
        <v>363</v>
      </c>
      <c r="B6" s="289">
        <v>63</v>
      </c>
      <c r="C6" s="290">
        <f t="shared" si="0"/>
        <v>63000</v>
      </c>
    </row>
    <row r="7" spans="1:3" x14ac:dyDescent="0.2">
      <c r="A7" s="291" t="s">
        <v>353</v>
      </c>
      <c r="B7">
        <v>22</v>
      </c>
      <c r="C7" s="290">
        <f>B7*1000</f>
        <v>22000</v>
      </c>
    </row>
    <row r="8" spans="1:3" x14ac:dyDescent="0.2">
      <c r="A8" s="176" t="s">
        <v>354</v>
      </c>
      <c r="B8">
        <v>20</v>
      </c>
      <c r="C8" s="290">
        <f>B8*1000</f>
        <v>20000</v>
      </c>
    </row>
    <row r="9" spans="1:3" x14ac:dyDescent="0.2">
      <c r="A9" s="176" t="s">
        <v>355</v>
      </c>
      <c r="B9">
        <v>9</v>
      </c>
      <c r="C9" s="290">
        <f>B9*1000</f>
        <v>9000</v>
      </c>
    </row>
    <row r="10" spans="1:3" x14ac:dyDescent="0.2">
      <c r="A10" s="291" t="s">
        <v>58</v>
      </c>
      <c r="B10" s="289">
        <f>B6-SUM(B7:B9)</f>
        <v>12</v>
      </c>
      <c r="C10" s="290">
        <f t="shared" si="0"/>
        <v>12000</v>
      </c>
    </row>
    <row r="11" spans="1:3" x14ac:dyDescent="0.2">
      <c r="A11" s="292" t="s">
        <v>364</v>
      </c>
      <c r="B11" s="289">
        <v>45</v>
      </c>
      <c r="C11" s="290">
        <f t="shared" si="0"/>
        <v>45000</v>
      </c>
    </row>
    <row r="12" spans="1:3" x14ac:dyDescent="0.2">
      <c r="A12" s="291" t="s">
        <v>365</v>
      </c>
      <c r="B12" s="289">
        <v>16</v>
      </c>
      <c r="C12" s="290">
        <f t="shared" si="0"/>
        <v>16000</v>
      </c>
    </row>
    <row r="13" spans="1:3" x14ac:dyDescent="0.2">
      <c r="A13" s="291" t="s">
        <v>58</v>
      </c>
      <c r="B13" s="289">
        <f>B11-B12</f>
        <v>29</v>
      </c>
      <c r="C13" s="290">
        <f t="shared" si="0"/>
        <v>29000</v>
      </c>
    </row>
    <row r="14" spans="1:3" x14ac:dyDescent="0.2">
      <c r="A14" s="292" t="s">
        <v>366</v>
      </c>
      <c r="B14" s="289">
        <v>80</v>
      </c>
      <c r="C14" s="290">
        <f t="shared" si="0"/>
        <v>80000</v>
      </c>
    </row>
    <row r="15" spans="1:3" x14ac:dyDescent="0.2">
      <c r="A15" s="291" t="s">
        <v>347</v>
      </c>
      <c r="B15" s="289">
        <v>26</v>
      </c>
      <c r="C15" s="290">
        <f t="shared" si="0"/>
        <v>26000</v>
      </c>
    </row>
    <row r="16" spans="1:3" x14ac:dyDescent="0.2">
      <c r="A16" s="291" t="s">
        <v>58</v>
      </c>
      <c r="B16">
        <f>B14-B15</f>
        <v>54</v>
      </c>
      <c r="C16" s="290">
        <f t="shared" si="0"/>
        <v>54000</v>
      </c>
    </row>
    <row r="17" spans="1:3" x14ac:dyDescent="0.2">
      <c r="A17" s="292" t="s">
        <v>367</v>
      </c>
      <c r="B17">
        <v>30</v>
      </c>
      <c r="C17" s="290">
        <f t="shared" si="0"/>
        <v>30000</v>
      </c>
    </row>
    <row r="18" spans="1:3" x14ac:dyDescent="0.2">
      <c r="A18" s="291" t="s">
        <v>368</v>
      </c>
      <c r="B18">
        <v>20</v>
      </c>
      <c r="C18" s="290">
        <f t="shared" si="0"/>
        <v>20000</v>
      </c>
    </row>
    <row r="19" spans="1:3" x14ac:dyDescent="0.2">
      <c r="A19" s="291" t="s">
        <v>369</v>
      </c>
      <c r="B19">
        <v>5</v>
      </c>
      <c r="C19" s="290">
        <f t="shared" si="0"/>
        <v>5000</v>
      </c>
    </row>
    <row r="20" spans="1:3" ht="16" thickBot="1" x14ac:dyDescent="0.25">
      <c r="A20" s="293" t="s">
        <v>370</v>
      </c>
      <c r="B20" s="294">
        <v>5</v>
      </c>
      <c r="C20" s="295">
        <f t="shared" si="0"/>
        <v>5000</v>
      </c>
    </row>
    <row r="21" spans="1:3" x14ac:dyDescent="0.2">
      <c r="A21" s="292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X73"/>
  <sheetViews>
    <sheetView tabSelected="1" zoomScale="130" zoomScaleNormal="130" workbookViewId="0">
      <pane xSplit="2" ySplit="8" topLeftCell="C41" activePane="bottomRight" state="frozen"/>
      <selection pane="topRight" activeCell="C1" sqref="C1"/>
      <selection pane="bottomLeft" activeCell="A9" sqref="A9"/>
      <selection pane="bottomRight" activeCell="H50" sqref="H50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6" customWidth="1"/>
    <col min="8" max="10" width="9.33203125" style="95" bestFit="1" customWidth="1"/>
    <col min="11" max="11" width="9.33203125" style="146" bestFit="1" customWidth="1"/>
    <col min="13" max="14" width="8.6640625" customWidth="1"/>
    <col min="15" max="15" width="8.6640625" style="146"/>
    <col min="19" max="19" width="8.6640625" style="146"/>
    <col min="23" max="23" width="8.6640625" style="146"/>
    <col min="27" max="27" width="8.6640625" style="146"/>
  </cols>
  <sheetData>
    <row r="1" spans="1:50" ht="19" x14ac:dyDescent="0.25">
      <c r="A1" s="335" t="s">
        <v>207</v>
      </c>
      <c r="B1" s="336"/>
      <c r="C1" s="35"/>
      <c r="H1"/>
      <c r="I1" s="240"/>
      <c r="J1" s="343" t="s">
        <v>280</v>
      </c>
      <c r="V1" s="327"/>
      <c r="W1" s="327"/>
      <c r="X1" s="327"/>
      <c r="Y1" s="327"/>
    </row>
    <row r="2" spans="1:50" x14ac:dyDescent="0.2">
      <c r="A2" s="337" t="s">
        <v>191</v>
      </c>
      <c r="B2" s="126"/>
      <c r="C2" t="s">
        <v>192</v>
      </c>
      <c r="I2" s="241"/>
      <c r="J2" s="343"/>
    </row>
    <row r="3" spans="1:50" x14ac:dyDescent="0.2">
      <c r="A3" s="338"/>
      <c r="B3" s="127"/>
      <c r="C3" t="s">
        <v>193</v>
      </c>
      <c r="I3" s="241"/>
      <c r="J3" s="343"/>
    </row>
    <row r="4" spans="1:50" x14ac:dyDescent="0.2">
      <c r="A4" s="338"/>
      <c r="B4" s="128"/>
      <c r="C4" t="s">
        <v>194</v>
      </c>
    </row>
    <row r="5" spans="1:50" x14ac:dyDescent="0.2">
      <c r="A5" s="339"/>
      <c r="B5" s="129"/>
      <c r="C5" t="s">
        <v>181</v>
      </c>
    </row>
    <row r="7" spans="1:50" x14ac:dyDescent="0.2">
      <c r="C7" s="340" t="s">
        <v>160</v>
      </c>
      <c r="D7" s="341"/>
      <c r="E7" s="341"/>
      <c r="F7" s="342"/>
      <c r="G7" s="340" t="s">
        <v>165</v>
      </c>
      <c r="H7" s="341"/>
      <c r="I7" s="341"/>
      <c r="J7" s="342"/>
      <c r="K7" s="340" t="s">
        <v>176</v>
      </c>
      <c r="L7" s="341"/>
      <c r="M7" s="341"/>
      <c r="N7" s="341"/>
      <c r="O7" s="340" t="s">
        <v>270</v>
      </c>
      <c r="P7" s="341"/>
      <c r="Q7" s="341"/>
      <c r="R7" s="341"/>
      <c r="S7" s="340" t="s">
        <v>274</v>
      </c>
      <c r="T7" s="341"/>
      <c r="U7" s="341"/>
      <c r="V7" s="341"/>
      <c r="W7" s="340" t="s">
        <v>275</v>
      </c>
      <c r="X7" s="341"/>
      <c r="Y7" s="341"/>
      <c r="Z7" s="341"/>
      <c r="AA7" s="222" t="s">
        <v>276</v>
      </c>
    </row>
    <row r="8" spans="1:50" s="2" customFormat="1" x14ac:dyDescent="0.2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50" s="2" customFormat="1" ht="19" x14ac:dyDescent="0.2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50" ht="16" x14ac:dyDescent="0.2">
      <c r="B10" s="86" t="s">
        <v>170</v>
      </c>
      <c r="D10">
        <v>200.67099999999999</v>
      </c>
      <c r="E10">
        <v>156.16</v>
      </c>
      <c r="F10">
        <v>197.62799999999999</v>
      </c>
      <c r="G10">
        <v>161.40700000000001</v>
      </c>
      <c r="H10">
        <v>165.59009035050261</v>
      </c>
      <c r="I10">
        <v>169.77318070100509</v>
      </c>
      <c r="J10">
        <v>173.95627105150791</v>
      </c>
      <c r="K10">
        <v>174.54654357698769</v>
      </c>
      <c r="L10">
        <v>175.13681610246749</v>
      </c>
      <c r="M10">
        <v>175.72708862794721</v>
      </c>
      <c r="N10">
        <v>176.31736115342699</v>
      </c>
      <c r="O10">
        <v>174.4074844576952</v>
      </c>
      <c r="P10">
        <v>172.49760776196339</v>
      </c>
      <c r="Q10">
        <v>170.58773106623161</v>
      </c>
      <c r="R10">
        <v>168.67785437049989</v>
      </c>
      <c r="S10">
        <v>169.67544494515229</v>
      </c>
      <c r="T10">
        <v>170.6730355198049</v>
      </c>
      <c r="U10">
        <v>171.6706260944575</v>
      </c>
      <c r="V10">
        <v>172.66821666911011</v>
      </c>
      <c r="W10">
        <v>175.2342089258436</v>
      </c>
      <c r="X10">
        <v>177.8002011825771</v>
      </c>
      <c r="Y10">
        <v>180.36619343931071</v>
      </c>
      <c r="Z10">
        <v>182.93218569604429</v>
      </c>
      <c r="AA10">
        <v>185.48754704600071</v>
      </c>
      <c r="AB10">
        <v>188.04290839595731</v>
      </c>
      <c r="AC10">
        <v>190.59826974591391</v>
      </c>
      <c r="AD10">
        <v>193.1536310958704</v>
      </c>
      <c r="AE10">
        <v>196.08321751100041</v>
      </c>
      <c r="AF10">
        <v>199.01280392613029</v>
      </c>
      <c r="AG10">
        <v>201.94239034126039</v>
      </c>
      <c r="AH10">
        <v>204.87197675639041</v>
      </c>
      <c r="AI10">
        <v>207.82531124553029</v>
      </c>
      <c r="AJ10">
        <v>210.77864573467019</v>
      </c>
      <c r="AK10">
        <v>213.7319802238101</v>
      </c>
      <c r="AL10">
        <v>216.68531471295</v>
      </c>
      <c r="AM10">
        <v>219.73698508977679</v>
      </c>
      <c r="AN10">
        <v>222.7886554666039</v>
      </c>
      <c r="AO10">
        <v>225.8403258434308</v>
      </c>
      <c r="AP10">
        <v>228.89199622025771</v>
      </c>
      <c r="AQ10">
        <v>232.11178924377541</v>
      </c>
      <c r="AR10">
        <v>235.3315822672931</v>
      </c>
      <c r="AS10">
        <v>238.55137529081071</v>
      </c>
      <c r="AT10">
        <v>241.77116831432841</v>
      </c>
      <c r="AU10">
        <v>245.1168175567866</v>
      </c>
      <c r="AV10">
        <v>248.46246679924459</v>
      </c>
      <c r="AW10">
        <v>251.80811604170259</v>
      </c>
      <c r="AX10">
        <v>255.15376528416061</v>
      </c>
    </row>
    <row r="11" spans="1:50" ht="16" x14ac:dyDescent="0.2">
      <c r="B11" s="86" t="s">
        <v>171</v>
      </c>
      <c r="D11">
        <v>186.4</v>
      </c>
      <c r="E11">
        <v>393.066666666667</v>
      </c>
      <c r="F11">
        <v>224.8</v>
      </c>
      <c r="G11">
        <v>145.9</v>
      </c>
      <c r="H11">
        <v>123.187827611359</v>
      </c>
      <c r="I11">
        <v>100.480777097718</v>
      </c>
      <c r="J11">
        <v>79.837867818451997</v>
      </c>
      <c r="K11">
        <v>93.489948668704102</v>
      </c>
      <c r="L11">
        <v>109.273410154041</v>
      </c>
      <c r="M11">
        <v>125.589838709288</v>
      </c>
      <c r="N11">
        <v>141.02956247526899</v>
      </c>
      <c r="O11">
        <v>155.44938450061099</v>
      </c>
      <c r="P11">
        <v>169.623729184957</v>
      </c>
      <c r="Q11">
        <v>184.56957408385901</v>
      </c>
      <c r="R11">
        <v>199.44528259961899</v>
      </c>
      <c r="S11">
        <v>199.260283817746</v>
      </c>
      <c r="T11">
        <v>199.496103334721</v>
      </c>
      <c r="U11">
        <v>200.117672958973</v>
      </c>
      <c r="V11">
        <v>201.300333648356</v>
      </c>
      <c r="W11">
        <v>200.51814947922099</v>
      </c>
      <c r="X11">
        <v>199.66582892694501</v>
      </c>
      <c r="Y11">
        <v>199.09405390723401</v>
      </c>
      <c r="Z11">
        <v>198.83789261165899</v>
      </c>
      <c r="AA11">
        <v>198.46322698311701</v>
      </c>
      <c r="AB11">
        <v>197.98335677986299</v>
      </c>
      <c r="AC11">
        <v>198.029509450169</v>
      </c>
      <c r="AD11">
        <v>198.25100307832901</v>
      </c>
      <c r="AE11">
        <v>198.216850774449</v>
      </c>
      <c r="AF11">
        <v>198.077493895857</v>
      </c>
      <c r="AG11">
        <v>198.113477975119</v>
      </c>
      <c r="AH11">
        <v>198.11439386281</v>
      </c>
      <c r="AI11">
        <v>197.81902910740601</v>
      </c>
      <c r="AJ11">
        <v>197.66393711828599</v>
      </c>
      <c r="AK11">
        <v>197.508845129165</v>
      </c>
      <c r="AL11">
        <v>197.31868494847399</v>
      </c>
      <c r="AM11">
        <v>196.515441346898</v>
      </c>
      <c r="AN11">
        <v>195.71219774532199</v>
      </c>
      <c r="AO11">
        <v>194.979090526888</v>
      </c>
      <c r="AP11">
        <v>194.10571054217101</v>
      </c>
      <c r="AQ11">
        <v>192.16216718659399</v>
      </c>
      <c r="AR11">
        <v>190.3588965973</v>
      </c>
      <c r="AS11">
        <v>188.38028505015299</v>
      </c>
      <c r="AT11">
        <v>186.47180988614599</v>
      </c>
    </row>
    <row r="12" spans="1:50" ht="16" x14ac:dyDescent="0.2">
      <c r="B12" s="86" t="s">
        <v>172</v>
      </c>
      <c r="D12">
        <v>1862.4</v>
      </c>
      <c r="E12">
        <v>1779.8</v>
      </c>
      <c r="F12">
        <v>1871.3</v>
      </c>
      <c r="G12">
        <v>1890.6</v>
      </c>
      <c r="H12">
        <v>1921.95543744052</v>
      </c>
      <c r="I12">
        <v>1952.51729994875</v>
      </c>
      <c r="J12">
        <v>1985.18305878908</v>
      </c>
      <c r="K12">
        <v>2007.0617351197</v>
      </c>
      <c r="L12">
        <v>2027.0856607365099</v>
      </c>
      <c r="M12">
        <v>2046.9065788124999</v>
      </c>
      <c r="N12">
        <v>2067.6318032066802</v>
      </c>
      <c r="O12">
        <v>2088.6615389120698</v>
      </c>
      <c r="P12">
        <v>2109.80200600337</v>
      </c>
      <c r="Q12">
        <v>2130.0658496229598</v>
      </c>
      <c r="R12">
        <v>2151.7784288747298</v>
      </c>
      <c r="S12">
        <v>2174.7275086023901</v>
      </c>
      <c r="T12">
        <v>2198.8484954974701</v>
      </c>
      <c r="U12">
        <v>2222.5450120799501</v>
      </c>
      <c r="V12">
        <v>2246.0385211215998</v>
      </c>
      <c r="W12">
        <v>2269.9657280913698</v>
      </c>
      <c r="X12">
        <v>2295.0463869975802</v>
      </c>
      <c r="Y12">
        <v>2320.4223295995298</v>
      </c>
      <c r="Z12">
        <v>2346.0474178197501</v>
      </c>
      <c r="AA12">
        <v>2371.8939688117698</v>
      </c>
      <c r="AB12">
        <v>2397.9527549600998</v>
      </c>
      <c r="AC12">
        <v>2424.1776381872801</v>
      </c>
      <c r="AD12">
        <v>2450.6055289552701</v>
      </c>
      <c r="AE12">
        <v>2477.2825653415298</v>
      </c>
      <c r="AF12">
        <v>2504.2179749615598</v>
      </c>
      <c r="AG12">
        <v>2531.3933025843799</v>
      </c>
      <c r="AH12">
        <v>2558.8915967493999</v>
      </c>
      <c r="AI12">
        <v>2586.43602899187</v>
      </c>
      <c r="AJ12">
        <v>2613.4268043048501</v>
      </c>
      <c r="AK12">
        <v>2639.6885979939998</v>
      </c>
      <c r="AL12">
        <v>2665.71970129585</v>
      </c>
      <c r="AM12">
        <v>2691.7508045977002</v>
      </c>
      <c r="AN12">
        <v>2717.4958518193098</v>
      </c>
      <c r="AO12">
        <v>2743.4623618127198</v>
      </c>
      <c r="AP12">
        <v>2769.5949688849801</v>
      </c>
      <c r="AQ12">
        <v>2795.9029006515798</v>
      </c>
      <c r="AR12">
        <v>2822.44152280548</v>
      </c>
      <c r="AS12">
        <v>2849.1277868072302</v>
      </c>
      <c r="AT12">
        <v>2875.95246504137</v>
      </c>
    </row>
    <row r="13" spans="1:50" ht="16" x14ac:dyDescent="0.2">
      <c r="B13" s="86" t="s">
        <v>173</v>
      </c>
      <c r="D13">
        <v>62.7</v>
      </c>
      <c r="E13">
        <v>54.2</v>
      </c>
      <c r="F13">
        <v>90.2</v>
      </c>
      <c r="G13">
        <v>69.033333333333303</v>
      </c>
      <c r="H13">
        <v>70.178245194458697</v>
      </c>
      <c r="I13">
        <v>71.2941804752259</v>
      </c>
      <c r="J13">
        <v>72.486937387640197</v>
      </c>
      <c r="K13">
        <v>73.285814969373106</v>
      </c>
      <c r="L13">
        <v>74.016968217943401</v>
      </c>
      <c r="M13">
        <v>74.740708852933807</v>
      </c>
      <c r="N13">
        <v>75.497469312053099</v>
      </c>
      <c r="O13">
        <v>76.2653486915424</v>
      </c>
      <c r="P13">
        <v>77.037271314802595</v>
      </c>
      <c r="Q13">
        <v>77.777184924876593</v>
      </c>
      <c r="R13">
        <v>78.569997640953105</v>
      </c>
      <c r="S13">
        <v>79.407959912471199</v>
      </c>
      <c r="T13">
        <v>80.288713180564699</v>
      </c>
      <c r="U13">
        <v>81.153967347536394</v>
      </c>
      <c r="V13">
        <v>82.011808900928202</v>
      </c>
      <c r="W13">
        <v>82.885486492422601</v>
      </c>
      <c r="X13">
        <v>83.801281206530504</v>
      </c>
      <c r="Y13">
        <v>84.727857904027502</v>
      </c>
      <c r="Z13">
        <v>85.663531900009005</v>
      </c>
      <c r="AA13">
        <v>86.607292383532197</v>
      </c>
      <c r="AB13">
        <v>87.558802417616405</v>
      </c>
      <c r="AC13">
        <v>88.516377317356898</v>
      </c>
      <c r="AD13">
        <v>89.481364830677407</v>
      </c>
      <c r="AE13">
        <v>90.455449642482407</v>
      </c>
      <c r="AF13">
        <v>91.438968689752798</v>
      </c>
      <c r="AG13">
        <v>92.431248098526794</v>
      </c>
      <c r="AH13">
        <v>93.435320301632601</v>
      </c>
      <c r="AI13">
        <v>94.441077189642996</v>
      </c>
      <c r="AJ13">
        <v>95.426617858798807</v>
      </c>
      <c r="AK13">
        <v>96.385540506463002</v>
      </c>
      <c r="AL13">
        <v>97.336039729604394</v>
      </c>
      <c r="AM13">
        <v>98.286538952745801</v>
      </c>
      <c r="AN13">
        <v>99.226593129479099</v>
      </c>
      <c r="AO13">
        <v>100.174733793754</v>
      </c>
      <c r="AP13">
        <v>101.128939323686</v>
      </c>
      <c r="AQ13">
        <v>102.089546656254</v>
      </c>
      <c r="AR13">
        <v>103.058577413346</v>
      </c>
      <c r="AS13">
        <v>104.032999162132</v>
      </c>
      <c r="AT13">
        <v>105.012474965631</v>
      </c>
    </row>
    <row r="14" spans="1:50" ht="16" x14ac:dyDescent="0.2">
      <c r="B14" s="86" t="s">
        <v>175</v>
      </c>
      <c r="D14">
        <v>1228.1289999999999</v>
      </c>
      <c r="E14">
        <v>1336.74</v>
      </c>
      <c r="F14">
        <v>1328.7719999999999</v>
      </c>
      <c r="G14">
        <v>1372.7929999999999</v>
      </c>
      <c r="H14">
        <v>1365.228724966064</v>
      </c>
      <c r="I14">
        <v>1357.664449932128</v>
      </c>
      <c r="J14">
        <v>1350.1001748981921</v>
      </c>
      <c r="K14">
        <v>1379.0396158890269</v>
      </c>
      <c r="L14">
        <v>1407.979056879863</v>
      </c>
      <c r="M14">
        <v>1436.918497870698</v>
      </c>
      <c r="N14">
        <v>1465.857938861534</v>
      </c>
      <c r="O14">
        <v>1477.7858704800731</v>
      </c>
      <c r="P14">
        <v>1489.7138020986119</v>
      </c>
      <c r="Q14">
        <v>1501.6417337171511</v>
      </c>
      <c r="R14">
        <v>1513.569665335689</v>
      </c>
      <c r="S14">
        <v>1523.810291133271</v>
      </c>
      <c r="T14">
        <v>1534.0509169308521</v>
      </c>
      <c r="U14">
        <v>1544.2915427284329</v>
      </c>
      <c r="V14">
        <v>1554.5321685260139</v>
      </c>
      <c r="W14">
        <v>1592.5682674016571</v>
      </c>
      <c r="X14">
        <v>1630.6043662772991</v>
      </c>
      <c r="Y14">
        <v>1668.640465152941</v>
      </c>
      <c r="Z14">
        <v>1706.6765640285839</v>
      </c>
      <c r="AA14">
        <v>1735.126996577955</v>
      </c>
      <c r="AB14">
        <v>1763.577429127326</v>
      </c>
      <c r="AC14">
        <v>1792.027861676698</v>
      </c>
      <c r="AD14">
        <v>1820.478294226069</v>
      </c>
      <c r="AE14">
        <v>1851.8765870702759</v>
      </c>
      <c r="AF14">
        <v>1883.2748799144831</v>
      </c>
      <c r="AG14">
        <v>1914.67317275869</v>
      </c>
      <c r="AH14">
        <v>1946.071465602897</v>
      </c>
      <c r="AI14">
        <v>1995.873954252166</v>
      </c>
      <c r="AJ14">
        <v>2045.6764429014349</v>
      </c>
      <c r="AK14">
        <v>2095.4789315507051</v>
      </c>
      <c r="AL14">
        <v>2145.281420199974</v>
      </c>
      <c r="AM14">
        <v>2145.0480738955612</v>
      </c>
      <c r="AN14">
        <v>2144.8147275911479</v>
      </c>
      <c r="AO14">
        <v>2144.581381286735</v>
      </c>
      <c r="AP14">
        <v>2144.3480349823212</v>
      </c>
      <c r="AQ14">
        <v>2194.8302571509271</v>
      </c>
      <c r="AR14">
        <v>2245.312479319532</v>
      </c>
      <c r="AS14">
        <v>2295.794701488137</v>
      </c>
      <c r="AT14">
        <v>2346.2769236567419</v>
      </c>
      <c r="AU14">
        <v>2390.3190668283441</v>
      </c>
      <c r="AV14">
        <v>2434.3612099999468</v>
      </c>
      <c r="AW14">
        <v>2478.403353171549</v>
      </c>
      <c r="AX14">
        <v>2522.4454963431522</v>
      </c>
    </row>
    <row r="15" spans="1:50" ht="16" x14ac:dyDescent="0.2">
      <c r="B15" s="86" t="s">
        <v>166</v>
      </c>
      <c r="D15">
        <v>1574.4</v>
      </c>
      <c r="E15">
        <v>3741.5333333333301</v>
      </c>
      <c r="F15">
        <v>2572.1999999999998</v>
      </c>
      <c r="G15">
        <v>2063.6999999999998</v>
      </c>
      <c r="H15">
        <v>1819.81390083411</v>
      </c>
      <c r="I15">
        <v>1623.62521731378</v>
      </c>
      <c r="J15">
        <v>1487.1097724132001</v>
      </c>
      <c r="K15">
        <v>1525.56477563047</v>
      </c>
      <c r="L15">
        <v>1537.45597233026</v>
      </c>
      <c r="M15">
        <v>1532.4524351376299</v>
      </c>
      <c r="N15">
        <v>1504.0551108309301</v>
      </c>
      <c r="O15">
        <v>1504.76699307077</v>
      </c>
      <c r="P15">
        <v>1506.4554877129101</v>
      </c>
      <c r="Q15">
        <v>1508.8118867247699</v>
      </c>
      <c r="R15">
        <v>1513.08196729581</v>
      </c>
      <c r="S15">
        <v>1528.86684944985</v>
      </c>
      <c r="T15">
        <v>1544.00925390971</v>
      </c>
      <c r="U15">
        <v>1556.1560335270599</v>
      </c>
      <c r="V15">
        <v>1566.4665870005299</v>
      </c>
      <c r="W15">
        <v>1601.9073637173799</v>
      </c>
      <c r="X15">
        <v>1631.30402307299</v>
      </c>
      <c r="Y15">
        <v>1655.34640968285</v>
      </c>
      <c r="Z15">
        <v>1673.4583263601301</v>
      </c>
      <c r="AA15">
        <v>1682.7628887994099</v>
      </c>
      <c r="AB15">
        <v>1693.56588941872</v>
      </c>
      <c r="AC15">
        <v>1707.07457155099</v>
      </c>
      <c r="AD15">
        <v>1722.68635045423</v>
      </c>
      <c r="AE15">
        <v>1735.8137825215699</v>
      </c>
      <c r="AF15">
        <v>1749.2248374552801</v>
      </c>
      <c r="AG15">
        <v>1761.02815510048</v>
      </c>
      <c r="AH15">
        <v>1772.41066492001</v>
      </c>
      <c r="AI15">
        <v>1805.0361022818399</v>
      </c>
      <c r="AJ15">
        <v>1833.15435247449</v>
      </c>
      <c r="AK15">
        <v>1857.5703695928801</v>
      </c>
      <c r="AL15">
        <v>1877.6331160100301</v>
      </c>
      <c r="AM15">
        <v>1853.42810148629</v>
      </c>
      <c r="AN15">
        <v>1839.9120282056999</v>
      </c>
      <c r="AO15">
        <v>1838.3860538377</v>
      </c>
      <c r="AP15">
        <v>1848.20267890064</v>
      </c>
      <c r="AQ15">
        <v>1906.4392549448801</v>
      </c>
      <c r="AR15">
        <v>1955.0223742324899</v>
      </c>
      <c r="AS15">
        <v>1988.91857610285</v>
      </c>
      <c r="AT15">
        <v>2011.1030125773</v>
      </c>
    </row>
    <row r="16" spans="1:50" ht="16" x14ac:dyDescent="0.2">
      <c r="B16" s="86" t="s">
        <v>169</v>
      </c>
      <c r="D16">
        <v>74.5</v>
      </c>
      <c r="E16">
        <v>1085.9000000000001</v>
      </c>
      <c r="F16">
        <v>1212.9000000000001</v>
      </c>
      <c r="G16">
        <v>609.9</v>
      </c>
      <c r="H16">
        <v>612.6833822665883</v>
      </c>
      <c r="I16">
        <v>615.55472695243679</v>
      </c>
      <c r="J16">
        <v>618.4920434527304</v>
      </c>
      <c r="K16">
        <v>621.4890487375219</v>
      </c>
      <c r="L16">
        <v>624.52061068702278</v>
      </c>
      <c r="M16">
        <v>627.53332354668225</v>
      </c>
      <c r="N16">
        <v>630.49891368173814</v>
      </c>
      <c r="O16">
        <v>633.44565472695251</v>
      </c>
      <c r="P16">
        <v>636.38611274221967</v>
      </c>
      <c r="Q16">
        <v>639.3359953024077</v>
      </c>
      <c r="R16">
        <v>642.31415149735767</v>
      </c>
      <c r="S16">
        <v>645.32058132706993</v>
      </c>
      <c r="T16">
        <v>648.34586024662372</v>
      </c>
      <c r="U16">
        <v>651.36485613623017</v>
      </c>
      <c r="V16">
        <v>654.39327657075751</v>
      </c>
      <c r="W16">
        <v>657.42798003523194</v>
      </c>
      <c r="X16">
        <v>660.45954198473294</v>
      </c>
      <c r="Y16">
        <v>663.45340575455089</v>
      </c>
      <c r="Z16">
        <v>666.42527891955376</v>
      </c>
      <c r="AA16">
        <v>669.37516147974168</v>
      </c>
      <c r="AB16">
        <v>672.30619495008807</v>
      </c>
      <c r="AC16">
        <v>675.20895478567229</v>
      </c>
      <c r="AD16">
        <v>678.10857310628319</v>
      </c>
      <c r="AE16">
        <v>681.01133294186729</v>
      </c>
      <c r="AF16">
        <v>683.91723429242518</v>
      </c>
      <c r="AG16">
        <v>686.82627715795672</v>
      </c>
      <c r="AH16">
        <v>689.75416911332968</v>
      </c>
      <c r="AI16">
        <v>692.68834409864951</v>
      </c>
      <c r="AJ16">
        <v>695.63508514386388</v>
      </c>
      <c r="AK16">
        <v>698.61952436876106</v>
      </c>
      <c r="AL16">
        <v>701.63537874339409</v>
      </c>
      <c r="AM16">
        <v>704.68578978273661</v>
      </c>
      <c r="AN16">
        <v>707.76447445684096</v>
      </c>
      <c r="AO16">
        <v>710.8651497357605</v>
      </c>
      <c r="AP16">
        <v>713.9626834997066</v>
      </c>
      <c r="AQ16">
        <v>717.05393423370526</v>
      </c>
      <c r="AR16">
        <v>720.14832648267759</v>
      </c>
      <c r="AS16">
        <v>723.2427187316498</v>
      </c>
      <c r="AT16">
        <v>726.33711098062236</v>
      </c>
      <c r="AU16">
        <v>729.44092777451556</v>
      </c>
      <c r="AV16">
        <v>732.5478860833822</v>
      </c>
      <c r="AW16">
        <v>735.66112742219616</v>
      </c>
      <c r="AX16">
        <v>738.77122724603657</v>
      </c>
    </row>
    <row r="17" spans="1:47" x14ac:dyDescent="0.2">
      <c r="B17" t="s">
        <v>195</v>
      </c>
      <c r="D17">
        <v>204.37100000000001</v>
      </c>
      <c r="E17">
        <v>279.25</v>
      </c>
      <c r="F17">
        <v>300.60000000000002</v>
      </c>
      <c r="G17">
        <v>303.95100000000002</v>
      </c>
      <c r="H17">
        <v>257.15358627705501</v>
      </c>
      <c r="I17">
        <v>228.45877209582619</v>
      </c>
      <c r="J17">
        <v>212.05070141102621</v>
      </c>
      <c r="K17">
        <v>217.20219820767471</v>
      </c>
      <c r="L17">
        <v>223.05909969580759</v>
      </c>
      <c r="M17">
        <v>228.5975776874576</v>
      </c>
      <c r="N17">
        <v>234.17911675344899</v>
      </c>
      <c r="O17">
        <v>247.8674048768593</v>
      </c>
      <c r="P17">
        <v>261.5571401329762</v>
      </c>
      <c r="Q17">
        <v>275.39010761536798</v>
      </c>
      <c r="R17">
        <v>289.36457004926609</v>
      </c>
      <c r="S17">
        <v>294.30374747872452</v>
      </c>
      <c r="T17">
        <v>299.40325070867152</v>
      </c>
      <c r="U17">
        <v>304.56298146943863</v>
      </c>
      <c r="V17">
        <v>309.82454061176958</v>
      </c>
      <c r="W17">
        <v>310.20067961913003</v>
      </c>
      <c r="X17">
        <v>310.61458852425028</v>
      </c>
      <c r="Y17">
        <v>311.07683450531948</v>
      </c>
      <c r="Z17">
        <v>311.57998240336798</v>
      </c>
      <c r="AA17">
        <v>312.18613989479883</v>
      </c>
      <c r="AB17">
        <v>312.85179437427092</v>
      </c>
      <c r="AC17">
        <v>313.5571751108431</v>
      </c>
      <c r="AD17">
        <v>314.35073176196499</v>
      </c>
      <c r="AE17">
        <v>314.03962853354523</v>
      </c>
      <c r="AF17">
        <v>313.81919364422993</v>
      </c>
      <c r="AG17">
        <v>313.67545173227802</v>
      </c>
      <c r="AH17">
        <v>313.63800269013319</v>
      </c>
      <c r="AI17">
        <v>313.61481713311082</v>
      </c>
      <c r="AJ17">
        <v>313.63894028646979</v>
      </c>
      <c r="AK17">
        <v>313.76823805739161</v>
      </c>
      <c r="AL17">
        <v>313.99473719374708</v>
      </c>
      <c r="AM17">
        <v>314.01168097553119</v>
      </c>
      <c r="AN17">
        <v>314.10042288402173</v>
      </c>
      <c r="AO17">
        <v>314.27500302878121</v>
      </c>
      <c r="AP17">
        <v>314.49957053448128</v>
      </c>
      <c r="AQ17">
        <v>314.24368766036622</v>
      </c>
      <c r="AR17">
        <v>314.0470716382373</v>
      </c>
      <c r="AS17">
        <v>313.90526484059939</v>
      </c>
      <c r="AT17">
        <v>313.81836568920642</v>
      </c>
      <c r="AU17">
        <v>313.40886978539112</v>
      </c>
    </row>
    <row r="19" spans="1:47" x14ac:dyDescent="0.2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47" ht="19" x14ac:dyDescent="0.25">
      <c r="A20" s="110" t="s">
        <v>184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47" x14ac:dyDescent="0.2">
      <c r="B21" t="s">
        <v>184</v>
      </c>
      <c r="D21" s="102">
        <f>main!L111/1000</f>
        <v>156.18299999999999</v>
      </c>
      <c r="E21" s="104">
        <f>main!M111/1000</f>
        <v>197.631</v>
      </c>
      <c r="F21" s="104">
        <f>main!N111/1000</f>
        <v>161.43899999999999</v>
      </c>
      <c r="G21" s="149">
        <f>main!O111/1000</f>
        <v>176.99406305625837</v>
      </c>
      <c r="H21" s="104">
        <f>main!P111/1000</f>
        <v>178.03012623873579</v>
      </c>
      <c r="I21" s="104">
        <f>main!Q111/1000</f>
        <v>178.03012623873579</v>
      </c>
      <c r="J21" s="104">
        <f>main!R111/1000</f>
        <v>178.03012623873579</v>
      </c>
      <c r="K21" s="149">
        <f>main!S111/1000</f>
        <v>178.03012623873579</v>
      </c>
      <c r="L21" s="104">
        <f>main!T111/1000</f>
        <v>219.11400152459788</v>
      </c>
      <c r="M21" s="223">
        <f>main!U111/1000</f>
        <v>219.11400152459788</v>
      </c>
      <c r="N21" s="104">
        <f>M21*(1+N23)</f>
        <v>219.85001198296118</v>
      </c>
      <c r="O21" s="149">
        <f t="shared" ref="O21:AA21" si="0">N21*(1+O23)</f>
        <v>217.46858787534174</v>
      </c>
      <c r="P21" s="104">
        <f t="shared" si="0"/>
        <v>215.08716376772227</v>
      </c>
      <c r="Q21" s="104">
        <f t="shared" si="0"/>
        <v>212.70573966010286</v>
      </c>
      <c r="R21" s="104">
        <f t="shared" si="0"/>
        <v>210.32431555248351</v>
      </c>
      <c r="S21" s="149">
        <f t="shared" si="0"/>
        <v>211.56821064231858</v>
      </c>
      <c r="T21" s="104">
        <f t="shared" si="0"/>
        <v>212.81210573215387</v>
      </c>
      <c r="U21" s="104">
        <f t="shared" si="0"/>
        <v>214.05600082198919</v>
      </c>
      <c r="V21" s="104">
        <f t="shared" si="0"/>
        <v>215.29989591182451</v>
      </c>
      <c r="W21" s="149">
        <f t="shared" si="0"/>
        <v>218.49943011935017</v>
      </c>
      <c r="X21" s="104">
        <f t="shared" si="0"/>
        <v>221.69896432687582</v>
      </c>
      <c r="Y21" s="104">
        <f t="shared" si="0"/>
        <v>224.89849853440163</v>
      </c>
      <c r="Z21" s="104">
        <f t="shared" si="0"/>
        <v>228.09803274192737</v>
      </c>
      <c r="AA21" s="149">
        <f t="shared" si="0"/>
        <v>231.28431127816214</v>
      </c>
      <c r="AB21" s="95"/>
    </row>
    <row r="22" spans="1:47" x14ac:dyDescent="0.2">
      <c r="B22" t="s">
        <v>177</v>
      </c>
      <c r="D22" s="102">
        <f t="shared" ref="D22:AA22" si="1">D10</f>
        <v>200.67099999999999</v>
      </c>
      <c r="E22" s="104">
        <f t="shared" si="1"/>
        <v>156.16</v>
      </c>
      <c r="F22" s="104">
        <f t="shared" si="1"/>
        <v>197.62799999999999</v>
      </c>
      <c r="G22" s="149">
        <f t="shared" si="1"/>
        <v>161.40700000000001</v>
      </c>
      <c r="H22" s="104">
        <f t="shared" si="1"/>
        <v>165.59009035050261</v>
      </c>
      <c r="I22" s="104">
        <f t="shared" si="1"/>
        <v>169.77318070100509</v>
      </c>
      <c r="J22" s="104">
        <f t="shared" si="1"/>
        <v>173.95627105150791</v>
      </c>
      <c r="K22" s="149">
        <f t="shared" si="1"/>
        <v>174.54654357698769</v>
      </c>
      <c r="L22" s="104">
        <f t="shared" si="1"/>
        <v>175.13681610246749</v>
      </c>
      <c r="M22" s="223">
        <f t="shared" si="1"/>
        <v>175.72708862794721</v>
      </c>
      <c r="N22" s="104">
        <f t="shared" si="1"/>
        <v>176.31736115342699</v>
      </c>
      <c r="O22" s="149">
        <f t="shared" si="1"/>
        <v>174.4074844576952</v>
      </c>
      <c r="P22" s="104">
        <f t="shared" si="1"/>
        <v>172.49760776196339</v>
      </c>
      <c r="Q22" s="104">
        <f t="shared" si="1"/>
        <v>170.58773106623161</v>
      </c>
      <c r="R22" s="104">
        <f t="shared" si="1"/>
        <v>168.67785437049989</v>
      </c>
      <c r="S22" s="149">
        <f t="shared" si="1"/>
        <v>169.67544494515229</v>
      </c>
      <c r="T22" s="104">
        <f t="shared" si="1"/>
        <v>170.6730355198049</v>
      </c>
      <c r="U22" s="104">
        <f t="shared" si="1"/>
        <v>171.6706260944575</v>
      </c>
      <c r="V22" s="104">
        <f t="shared" si="1"/>
        <v>172.66821666911011</v>
      </c>
      <c r="W22" s="149">
        <f t="shared" si="1"/>
        <v>175.2342089258436</v>
      </c>
      <c r="X22" s="104">
        <f t="shared" si="1"/>
        <v>177.8002011825771</v>
      </c>
      <c r="Y22" s="104">
        <f t="shared" si="1"/>
        <v>180.36619343931071</v>
      </c>
      <c r="Z22" s="104">
        <f t="shared" si="1"/>
        <v>182.93218569604429</v>
      </c>
      <c r="AA22" s="149">
        <f t="shared" si="1"/>
        <v>185.48754704600071</v>
      </c>
      <c r="AB22" s="95"/>
    </row>
    <row r="23" spans="1:47" s="170" customFormat="1" ht="12" x14ac:dyDescent="0.15">
      <c r="B23" s="210" t="s">
        <v>278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3.3590297892518439E-3</v>
      </c>
      <c r="O23" s="246">
        <f t="shared" ref="O23" si="3">(O22/N22)-1</f>
        <v>-1.0832039926402137E-2</v>
      </c>
      <c r="P23" s="230">
        <f t="shared" ref="P23" si="4">(P22/O22)-1</f>
        <v>-1.0950657889885917E-2</v>
      </c>
      <c r="Q23" s="230">
        <f t="shared" ref="Q23" si="5">(Q22/P22)-1</f>
        <v>-1.1071902506423759E-2</v>
      </c>
      <c r="R23" s="230">
        <f t="shared" ref="R23" si="6">(R22/Q22)-1</f>
        <v>-1.1195861998951173E-2</v>
      </c>
      <c r="S23" s="246">
        <f t="shared" ref="S23" si="7">(S22/R22)-1</f>
        <v>5.9141763355681221E-3</v>
      </c>
      <c r="T23" s="230">
        <f t="shared" ref="T23" si="8">(T22/S22)-1</f>
        <v>5.8794045006045348E-3</v>
      </c>
      <c r="U23" s="230">
        <f t="shared" ref="U23" si="9">(U22/T22)-1</f>
        <v>5.8450391511133404E-3</v>
      </c>
      <c r="V23" s="230">
        <f t="shared" ref="V23" si="10">(V22/U22)-1</f>
        <v>5.8110732007450316E-3</v>
      </c>
      <c r="W23" s="246">
        <f t="shared" ref="W23" si="11">(W22/V22)-1</f>
        <v>1.4860825612456496E-2</v>
      </c>
      <c r="X23" s="230">
        <f t="shared" ref="X23" si="12">(X22/W22)-1</f>
        <v>1.4643215342840854E-2</v>
      </c>
      <c r="Y23" s="230">
        <f t="shared" ref="Y23" si="13">(Y22/X22)-1</f>
        <v>1.4431886126488047E-2</v>
      </c>
      <c r="Z23" s="230">
        <f t="shared" ref="Z23" si="14">(Z22/Y22)-1</f>
        <v>1.4226569889866703E-2</v>
      </c>
      <c r="AA23" s="246">
        <f t="shared" ref="AA23" si="15">(AA22/Z22)-1</f>
        <v>1.3968899678498126E-2</v>
      </c>
      <c r="AB23" s="243"/>
    </row>
    <row r="24" spans="1:47" s="97" customFormat="1" x14ac:dyDescent="0.2">
      <c r="B24" s="99" t="s">
        <v>178</v>
      </c>
      <c r="D24" s="103"/>
      <c r="E24" s="217"/>
      <c r="F24" s="217">
        <f t="shared" ref="F24" si="16">F21-F22</f>
        <v>-36.188999999999993</v>
      </c>
      <c r="G24" s="150">
        <f t="shared" ref="G24" si="17">G21-G22</f>
        <v>15.587063056258359</v>
      </c>
      <c r="H24" s="217">
        <f t="shared" ref="H24" si="18">H21-H22</f>
        <v>12.440035888233183</v>
      </c>
      <c r="I24" s="217">
        <f t="shared" ref="I24" si="19">I21-I22</f>
        <v>8.2569455377307008</v>
      </c>
      <c r="J24" s="217">
        <f t="shared" ref="J24" si="20">J21-J22</f>
        <v>4.0738551872278777</v>
      </c>
      <c r="K24" s="150">
        <f t="shared" ref="K24:AA24" si="21">K21-K22</f>
        <v>3.4835826617481018</v>
      </c>
      <c r="L24" s="217">
        <f t="shared" si="21"/>
        <v>43.97718542213039</v>
      </c>
      <c r="M24" s="239">
        <f t="shared" si="21"/>
        <v>43.386912896650671</v>
      </c>
      <c r="N24" s="217">
        <f t="shared" si="21"/>
        <v>43.532650829534191</v>
      </c>
      <c r="O24" s="150">
        <f t="shared" si="21"/>
        <v>43.061103417646535</v>
      </c>
      <c r="P24" s="217">
        <f t="shared" si="21"/>
        <v>42.58955600575888</v>
      </c>
      <c r="Q24" s="217">
        <f t="shared" si="21"/>
        <v>42.118008593871252</v>
      </c>
      <c r="R24" s="217">
        <f t="shared" si="21"/>
        <v>41.646461181983625</v>
      </c>
      <c r="S24" s="150">
        <f t="shared" si="21"/>
        <v>41.892765697166283</v>
      </c>
      <c r="T24" s="217">
        <f t="shared" si="21"/>
        <v>42.139070212348969</v>
      </c>
      <c r="U24" s="217">
        <f t="shared" si="21"/>
        <v>42.385374727531683</v>
      </c>
      <c r="V24" s="217">
        <f t="shared" si="21"/>
        <v>42.631679242714398</v>
      </c>
      <c r="W24" s="150">
        <f t="shared" si="21"/>
        <v>43.265221193506562</v>
      </c>
      <c r="X24" s="217">
        <f t="shared" si="21"/>
        <v>43.898763144298727</v>
      </c>
      <c r="Y24" s="217">
        <f t="shared" si="21"/>
        <v>44.532305095090919</v>
      </c>
      <c r="Z24" s="217">
        <f t="shared" si="21"/>
        <v>45.165847045883083</v>
      </c>
      <c r="AA24" s="150">
        <f t="shared" si="21"/>
        <v>45.796764232161422</v>
      </c>
      <c r="AB24" s="244"/>
    </row>
    <row r="25" spans="1:47" x14ac:dyDescent="0.2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47" x14ac:dyDescent="0.2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47" ht="19" x14ac:dyDescent="0.25">
      <c r="A27" s="110" t="s">
        <v>187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47" x14ac:dyDescent="0.2">
      <c r="B28" t="s">
        <v>187</v>
      </c>
      <c r="D28" s="102"/>
      <c r="E28" s="104">
        <f>main!L112/1000</f>
        <v>404.40166666666676</v>
      </c>
      <c r="F28" s="104">
        <f>main!M112/1000</f>
        <v>330.77699999999999</v>
      </c>
      <c r="G28" s="104">
        <f>main!N112/1000</f>
        <v>181.80799999999999</v>
      </c>
      <c r="H28" s="104">
        <f>main!O112/1000</f>
        <v>205.47077000000002</v>
      </c>
      <c r="I28" s="104">
        <f>main!P112/1000</f>
        <v>189.83444692499995</v>
      </c>
      <c r="J28" s="104">
        <f>main!Q112/1000</f>
        <v>190.56361915962492</v>
      </c>
      <c r="K28" s="104">
        <f>main!R112/1000</f>
        <v>191.66284630332211</v>
      </c>
      <c r="L28" s="104">
        <f>main!S112/1000</f>
        <v>193.13947476635536</v>
      </c>
      <c r="M28" s="104">
        <f>L28*(1 + M30)</f>
        <v>221.97857145768003</v>
      </c>
      <c r="N28" s="104">
        <f t="shared" ref="N28:AA28" si="22">M28*(1 + N30)</f>
        <v>249.26810268486034</v>
      </c>
      <c r="O28" s="104">
        <f t="shared" si="22"/>
        <v>274.75496951067691</v>
      </c>
      <c r="P28" s="104">
        <f t="shared" si="22"/>
        <v>299.80795800653038</v>
      </c>
      <c r="Q28" s="104">
        <f t="shared" si="22"/>
        <v>326.22456411083431</v>
      </c>
      <c r="R28" s="104">
        <f t="shared" si="22"/>
        <v>352.51720497800534</v>
      </c>
      <c r="S28" s="104">
        <f t="shared" si="22"/>
        <v>352.19022179414571</v>
      </c>
      <c r="T28" s="104">
        <f t="shared" si="22"/>
        <v>352.607030033076</v>
      </c>
      <c r="U28" s="104">
        <f t="shared" si="22"/>
        <v>353.70564707622975</v>
      </c>
      <c r="V28" s="104">
        <f t="shared" si="22"/>
        <v>355.79598601643715</v>
      </c>
      <c r="W28" s="104">
        <f t="shared" si="22"/>
        <v>354.4134846431906</v>
      </c>
      <c r="X28" s="104">
        <f t="shared" si="22"/>
        <v>352.90701803281308</v>
      </c>
      <c r="Y28" s="104">
        <f t="shared" si="22"/>
        <v>351.89641237096151</v>
      </c>
      <c r="Z28" s="104">
        <f t="shared" si="22"/>
        <v>351.44365027620228</v>
      </c>
      <c r="AA28" s="104">
        <f t="shared" si="22"/>
        <v>350.7814331585376</v>
      </c>
      <c r="AB28" s="95"/>
    </row>
    <row r="29" spans="1:47" x14ac:dyDescent="0.2">
      <c r="B29" t="s">
        <v>177</v>
      </c>
      <c r="D29" s="102">
        <f t="shared" ref="D29:AA29" si="23">D11</f>
        <v>186.4</v>
      </c>
      <c r="E29" s="104">
        <f t="shared" si="23"/>
        <v>393.066666666667</v>
      </c>
      <c r="F29" s="104">
        <f t="shared" si="23"/>
        <v>224.8</v>
      </c>
      <c r="G29" s="149">
        <f t="shared" si="23"/>
        <v>145.9</v>
      </c>
      <c r="H29" s="104">
        <f t="shared" si="23"/>
        <v>123.187827611359</v>
      </c>
      <c r="I29" s="104">
        <f t="shared" si="23"/>
        <v>100.480777097718</v>
      </c>
      <c r="J29" s="104">
        <f t="shared" si="23"/>
        <v>79.837867818451997</v>
      </c>
      <c r="K29" s="149">
        <f t="shared" si="23"/>
        <v>93.489948668704102</v>
      </c>
      <c r="L29" s="223">
        <f t="shared" si="23"/>
        <v>109.273410154041</v>
      </c>
      <c r="M29" s="104">
        <f t="shared" si="23"/>
        <v>125.589838709288</v>
      </c>
      <c r="N29" s="104">
        <f t="shared" si="23"/>
        <v>141.02956247526899</v>
      </c>
      <c r="O29" s="149">
        <f t="shared" si="23"/>
        <v>155.44938450061099</v>
      </c>
      <c r="P29" s="104">
        <f t="shared" si="23"/>
        <v>169.623729184957</v>
      </c>
      <c r="Q29" s="104">
        <f t="shared" si="23"/>
        <v>184.56957408385901</v>
      </c>
      <c r="R29" s="104">
        <f t="shared" si="23"/>
        <v>199.44528259961899</v>
      </c>
      <c r="S29" s="149">
        <f t="shared" si="23"/>
        <v>199.260283817746</v>
      </c>
      <c r="T29" s="104">
        <f t="shared" si="23"/>
        <v>199.496103334721</v>
      </c>
      <c r="U29" s="104">
        <f t="shared" si="23"/>
        <v>200.117672958973</v>
      </c>
      <c r="V29" s="104">
        <f t="shared" si="23"/>
        <v>201.300333648356</v>
      </c>
      <c r="W29" s="149">
        <f t="shared" si="23"/>
        <v>200.51814947922099</v>
      </c>
      <c r="X29" s="104">
        <f t="shared" si="23"/>
        <v>199.66582892694501</v>
      </c>
      <c r="Y29" s="104">
        <f t="shared" si="23"/>
        <v>199.09405390723401</v>
      </c>
      <c r="Z29" s="104">
        <f t="shared" si="23"/>
        <v>198.83789261165899</v>
      </c>
      <c r="AA29" s="149">
        <f t="shared" si="23"/>
        <v>198.46322698311701</v>
      </c>
      <c r="AB29" s="95"/>
    </row>
    <row r="30" spans="1:47" s="170" customFormat="1" ht="12" x14ac:dyDescent="0.15">
      <c r="B30" s="210" t="s">
        <v>278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4">(M29/L29)-1</f>
        <v>0.14931746462607864</v>
      </c>
      <c r="N30" s="230">
        <f t="shared" ref="N30" si="25">(N29/M29)-1</f>
        <v>0.12293768289423834</v>
      </c>
      <c r="O30" s="246">
        <f t="shared" ref="O30" si="26">(O29/N29)-1</f>
        <v>0.10224680394843211</v>
      </c>
      <c r="P30" s="230">
        <f t="shared" ref="P30" si="27">(P29/O29)-1</f>
        <v>9.1183022241495548E-2</v>
      </c>
      <c r="Q30" s="230">
        <f t="shared" ref="Q30" si="28">(Q29/P29)-1</f>
        <v>8.811175753956646E-2</v>
      </c>
      <c r="R30" s="230">
        <f t="shared" ref="R30" si="29">(R29/Q29)-1</f>
        <v>8.0596753769400786E-2</v>
      </c>
      <c r="S30" s="246">
        <f t="shared" ref="S30" si="30">(S29/R29)-1</f>
        <v>-9.2756659601911373E-4</v>
      </c>
      <c r="T30" s="230">
        <f t="shared" ref="T30" si="31">(T29/S29)-1</f>
        <v>1.1834747620389496E-3</v>
      </c>
      <c r="U30" s="230">
        <f t="shared" ref="U30" si="32">(U29/T29)-1</f>
        <v>3.1156980705990822E-3</v>
      </c>
      <c r="V30" s="230">
        <f t="shared" ref="V30" si="33">(V29/U29)-1</f>
        <v>5.909826313168498E-3</v>
      </c>
      <c r="W30" s="246">
        <f t="shared" ref="W30" si="34">(W29/V29)-1</f>
        <v>-3.8856575891293987E-3</v>
      </c>
      <c r="X30" s="230">
        <f t="shared" ref="X30" si="35">(X29/W29)-1</f>
        <v>-4.2505905549676815E-3</v>
      </c>
      <c r="Y30" s="230">
        <f t="shared" ref="Y30" si="36">(Y29/X29)-1</f>
        <v>-2.8636598599963703E-3</v>
      </c>
      <c r="Z30" s="230">
        <f t="shared" ref="Z30" si="37">(Z29/Y29)-1</f>
        <v>-1.2866345857540651E-3</v>
      </c>
      <c r="AA30" s="246">
        <f t="shared" ref="AA30" si="38">(AA29/Z29)-1</f>
        <v>-1.8842768026802181E-3</v>
      </c>
      <c r="AB30" s="243"/>
    </row>
    <row r="31" spans="1:47" s="97" customFormat="1" x14ac:dyDescent="0.2">
      <c r="B31" s="99" t="s">
        <v>178</v>
      </c>
      <c r="D31" s="103"/>
      <c r="E31" s="217"/>
      <c r="F31" s="217">
        <f t="shared" ref="F31" si="39">F28-F29</f>
        <v>105.97699999999998</v>
      </c>
      <c r="G31" s="150">
        <f t="shared" ref="G31" si="40">G28-G29</f>
        <v>35.907999999999987</v>
      </c>
      <c r="H31" s="217">
        <f t="shared" ref="H31" si="41">H28-H29</f>
        <v>82.282942388641018</v>
      </c>
      <c r="I31" s="217">
        <f t="shared" ref="I31" si="42">I28-I29</f>
        <v>89.353669827281948</v>
      </c>
      <c r="J31" s="217">
        <f t="shared" ref="J31" si="43">J28-J29</f>
        <v>110.72575134117292</v>
      </c>
      <c r="K31" s="150">
        <f t="shared" ref="K31:N31" si="44">K28-K29</f>
        <v>98.17289763461801</v>
      </c>
      <c r="L31" s="239">
        <f t="shared" si="44"/>
        <v>83.866064612314361</v>
      </c>
      <c r="M31" s="217">
        <f t="shared" si="44"/>
        <v>96.38873274839203</v>
      </c>
      <c r="N31" s="217">
        <f t="shared" si="44"/>
        <v>108.23854020959135</v>
      </c>
      <c r="O31" s="150">
        <f t="shared" ref="O31:AA31" si="45">O28-O29</f>
        <v>119.30558501006593</v>
      </c>
      <c r="P31" s="150">
        <f t="shared" si="45"/>
        <v>130.18422882157338</v>
      </c>
      <c r="Q31" s="150">
        <f t="shared" si="45"/>
        <v>141.6549900269753</v>
      </c>
      <c r="R31" s="150">
        <f t="shared" si="45"/>
        <v>153.07192237838635</v>
      </c>
      <c r="S31" s="150">
        <f t="shared" si="45"/>
        <v>152.92993797639971</v>
      </c>
      <c r="T31" s="150">
        <f t="shared" si="45"/>
        <v>153.110926698355</v>
      </c>
      <c r="U31" s="150">
        <f t="shared" si="45"/>
        <v>153.58797411725675</v>
      </c>
      <c r="V31" s="150">
        <f t="shared" si="45"/>
        <v>154.49565236808115</v>
      </c>
      <c r="W31" s="150">
        <f t="shared" si="45"/>
        <v>153.89533516396961</v>
      </c>
      <c r="X31" s="150">
        <f t="shared" si="45"/>
        <v>153.24118910586807</v>
      </c>
      <c r="Y31" s="150">
        <f t="shared" si="45"/>
        <v>152.8023584637275</v>
      </c>
      <c r="Z31" s="150">
        <f t="shared" si="45"/>
        <v>152.60575766454329</v>
      </c>
      <c r="AA31" s="150">
        <f t="shared" si="45"/>
        <v>152.31820617542058</v>
      </c>
      <c r="AB31" s="244"/>
    </row>
    <row r="32" spans="1:47" s="97" customFormat="1" x14ac:dyDescent="0.2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2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9" x14ac:dyDescent="0.25">
      <c r="A34" s="110" t="s">
        <v>183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2">
      <c r="B35" t="s">
        <v>271</v>
      </c>
      <c r="D35" s="102"/>
      <c r="E35" s="104">
        <f>main!L26</f>
        <v>1779.8019999999999</v>
      </c>
      <c r="F35" s="104">
        <f>main!M26</f>
        <v>1871.3489999999999</v>
      </c>
      <c r="G35" s="149">
        <f>main!N26</f>
        <v>1871.3489999999999</v>
      </c>
      <c r="H35" s="104">
        <f>main!O26</f>
        <v>1903.7063183081548</v>
      </c>
      <c r="I35" s="104">
        <f>main!P26</f>
        <v>1923.2217714611611</v>
      </c>
      <c r="J35" s="104">
        <f>main!Q26</f>
        <v>1951.0661412276827</v>
      </c>
      <c r="K35" s="149">
        <f>main!R26</f>
        <v>1977.0025269582627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2">
      <c r="B36" t="s">
        <v>177</v>
      </c>
      <c r="D36" s="102">
        <f t="shared" ref="D36:K36" si="46">D12</f>
        <v>1862.4</v>
      </c>
      <c r="E36" s="104">
        <f t="shared" si="46"/>
        <v>1779.8</v>
      </c>
      <c r="F36" s="104">
        <f t="shared" si="46"/>
        <v>1871.3</v>
      </c>
      <c r="G36" s="149">
        <f t="shared" si="46"/>
        <v>1890.6</v>
      </c>
      <c r="H36" s="104">
        <f t="shared" si="46"/>
        <v>1921.95543744052</v>
      </c>
      <c r="I36" s="104">
        <f t="shared" si="46"/>
        <v>1952.51729994875</v>
      </c>
      <c r="J36" s="104">
        <f t="shared" si="46"/>
        <v>1985.18305878908</v>
      </c>
      <c r="K36" s="149">
        <f t="shared" si="46"/>
        <v>2007.0617351197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2">
      <c r="B37" s="99" t="s">
        <v>178</v>
      </c>
      <c r="D37" s="103"/>
      <c r="E37" s="217"/>
      <c r="F37" s="217">
        <f>F35-F36</f>
        <v>4.8999999999978172E-2</v>
      </c>
      <c r="G37" s="150">
        <f t="shared" ref="G37:K37" si="47">G35-G36</f>
        <v>-19.250999999999976</v>
      </c>
      <c r="H37" s="217">
        <f t="shared" si="47"/>
        <v>-18.249119132365195</v>
      </c>
      <c r="I37" s="217">
        <f t="shared" si="47"/>
        <v>-29.295528487588854</v>
      </c>
      <c r="J37" s="217">
        <f t="shared" si="47"/>
        <v>-34.116917561397258</v>
      </c>
      <c r="K37" s="150">
        <f t="shared" si="47"/>
        <v>-30.059208161437255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2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9" x14ac:dyDescent="0.25">
      <c r="A40" s="110" t="s">
        <v>182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2">
      <c r="B41" t="s">
        <v>271</v>
      </c>
      <c r="D41" s="102"/>
      <c r="E41" s="104">
        <f>main!L30</f>
        <v>54.2</v>
      </c>
      <c r="F41" s="104">
        <f>main!M30</f>
        <v>90.2</v>
      </c>
      <c r="G41" s="149">
        <f>main!N30</f>
        <v>91.517404099138886</v>
      </c>
      <c r="H41" s="104">
        <f>main!O30</f>
        <v>93.099822865051522</v>
      </c>
      <c r="I41" s="104">
        <f>main!P30</f>
        <v>94.054216520313844</v>
      </c>
      <c r="J41" s="104">
        <f>main!Q30</f>
        <v>95.415931753447055</v>
      </c>
      <c r="K41" s="149">
        <f>main!R30</f>
        <v>96.684337964034526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B42" t="s">
        <v>177</v>
      </c>
      <c r="D42" s="102">
        <f t="shared" ref="D42:K42" si="48">D13</f>
        <v>62.7</v>
      </c>
      <c r="E42" s="104">
        <f t="shared" si="48"/>
        <v>54.2</v>
      </c>
      <c r="F42" s="104">
        <f t="shared" si="48"/>
        <v>90.2</v>
      </c>
      <c r="G42" s="149">
        <f t="shared" si="48"/>
        <v>69.033333333333303</v>
      </c>
      <c r="H42" s="104">
        <f t="shared" si="48"/>
        <v>70.178245194458697</v>
      </c>
      <c r="I42" s="104">
        <f t="shared" si="48"/>
        <v>71.2941804752259</v>
      </c>
      <c r="J42" s="104">
        <f t="shared" si="48"/>
        <v>72.486937387640197</v>
      </c>
      <c r="K42" s="149">
        <f t="shared" si="48"/>
        <v>73.285814969373106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2">
      <c r="B43" s="99" t="s">
        <v>178</v>
      </c>
      <c r="D43" s="103"/>
      <c r="E43" s="217"/>
      <c r="F43" s="217">
        <f>F41-F42</f>
        <v>0</v>
      </c>
      <c r="G43" s="150">
        <f t="shared" ref="G43:K43" si="49">G41-G42</f>
        <v>22.484070765805583</v>
      </c>
      <c r="H43" s="217">
        <f t="shared" si="49"/>
        <v>22.921577670592825</v>
      </c>
      <c r="I43" s="217">
        <f t="shared" si="49"/>
        <v>22.760036045087944</v>
      </c>
      <c r="J43" s="217">
        <f t="shared" si="49"/>
        <v>22.928994365806858</v>
      </c>
      <c r="K43" s="150">
        <f t="shared" si="49"/>
        <v>23.39852299466142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2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9" x14ac:dyDescent="0.25">
      <c r="A46" s="105" t="s">
        <v>188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2">
      <c r="B47" t="s">
        <v>188</v>
      </c>
      <c r="D47" s="102"/>
      <c r="E47" s="104">
        <f>main!L94/1000</f>
        <v>1336.6980000000001</v>
      </c>
      <c r="F47" s="104">
        <f>main!M94/1000</f>
        <v>1328.8050000000001</v>
      </c>
      <c r="G47" s="149">
        <f>main!N94/1000</f>
        <v>1372.787</v>
      </c>
      <c r="H47" s="104">
        <f>main!O94/1000</f>
        <v>1386.8852477863672</v>
      </c>
      <c r="I47" s="104">
        <f>main!P94/1000</f>
        <v>1412.6489711213849</v>
      </c>
      <c r="J47" s="223">
        <f>main!Q94/1000</f>
        <v>1435.7432929846245</v>
      </c>
      <c r="K47" s="149">
        <f>J47*(1+K49)</f>
        <v>1466.5184969863931</v>
      </c>
      <c r="L47" s="104">
        <f t="shared" ref="L47:AA47" si="50">K47*(1+L49)</f>
        <v>1497.2937009881632</v>
      </c>
      <c r="M47" s="104">
        <f t="shared" si="50"/>
        <v>1528.068904989932</v>
      </c>
      <c r="N47" s="104">
        <f t="shared" si="50"/>
        <v>1558.8441089917019</v>
      </c>
      <c r="O47" s="149">
        <f t="shared" si="50"/>
        <v>1571.528684654236</v>
      </c>
      <c r="P47" s="104">
        <f t="shared" si="50"/>
        <v>1584.2132603167697</v>
      </c>
      <c r="Q47" s="104">
        <f t="shared" si="50"/>
        <v>1596.8978359793041</v>
      </c>
      <c r="R47" s="104">
        <f t="shared" si="50"/>
        <v>1609.5824116418369</v>
      </c>
      <c r="S47" s="149">
        <f t="shared" si="50"/>
        <v>1620.4726478466816</v>
      </c>
      <c r="T47" s="104">
        <f t="shared" si="50"/>
        <v>1631.3628840515255</v>
      </c>
      <c r="U47" s="104">
        <f t="shared" si="50"/>
        <v>1642.2531202563694</v>
      </c>
      <c r="V47" s="104">
        <f t="shared" si="50"/>
        <v>1653.1433564612132</v>
      </c>
      <c r="W47" s="149">
        <f t="shared" si="50"/>
        <v>1693.5922615627348</v>
      </c>
      <c r="X47" s="104">
        <f t="shared" si="50"/>
        <v>1734.0411666642551</v>
      </c>
      <c r="Y47" s="104">
        <f t="shared" si="50"/>
        <v>1774.4900717657754</v>
      </c>
      <c r="Z47" s="104">
        <f t="shared" si="50"/>
        <v>1814.9389768672966</v>
      </c>
      <c r="AA47" s="149">
        <f t="shared" si="50"/>
        <v>1845.1941523533312</v>
      </c>
      <c r="AB47" s="95"/>
    </row>
    <row r="48" spans="1:28" x14ac:dyDescent="0.2">
      <c r="B48" t="s">
        <v>177</v>
      </c>
      <c r="D48" s="102">
        <f t="shared" ref="D48:AA48" si="51">D14</f>
        <v>1228.1289999999999</v>
      </c>
      <c r="E48" s="104">
        <f t="shared" si="51"/>
        <v>1336.74</v>
      </c>
      <c r="F48" s="104">
        <f t="shared" si="51"/>
        <v>1328.7719999999999</v>
      </c>
      <c r="G48" s="149">
        <f t="shared" si="51"/>
        <v>1372.7929999999999</v>
      </c>
      <c r="H48" s="104">
        <f t="shared" si="51"/>
        <v>1365.228724966064</v>
      </c>
      <c r="I48" s="104">
        <f t="shared" si="51"/>
        <v>1357.664449932128</v>
      </c>
      <c r="J48" s="223">
        <f t="shared" si="51"/>
        <v>1350.1001748981921</v>
      </c>
      <c r="K48" s="149">
        <f t="shared" si="51"/>
        <v>1379.0396158890269</v>
      </c>
      <c r="L48" s="104">
        <f t="shared" si="51"/>
        <v>1407.979056879863</v>
      </c>
      <c r="M48" s="104">
        <f t="shared" si="51"/>
        <v>1436.918497870698</v>
      </c>
      <c r="N48" s="104">
        <f t="shared" si="51"/>
        <v>1465.857938861534</v>
      </c>
      <c r="O48" s="149">
        <f t="shared" si="51"/>
        <v>1477.7858704800731</v>
      </c>
      <c r="P48" s="104">
        <f t="shared" si="51"/>
        <v>1489.7138020986119</v>
      </c>
      <c r="Q48" s="104">
        <f t="shared" si="51"/>
        <v>1501.6417337171511</v>
      </c>
      <c r="R48" s="104">
        <f t="shared" si="51"/>
        <v>1513.569665335689</v>
      </c>
      <c r="S48" s="149">
        <f t="shared" si="51"/>
        <v>1523.810291133271</v>
      </c>
      <c r="T48" s="104">
        <f t="shared" si="51"/>
        <v>1534.0509169308521</v>
      </c>
      <c r="U48" s="104">
        <f t="shared" si="51"/>
        <v>1544.2915427284329</v>
      </c>
      <c r="V48" s="104">
        <f t="shared" si="51"/>
        <v>1554.5321685260139</v>
      </c>
      <c r="W48" s="149">
        <f t="shared" si="51"/>
        <v>1592.5682674016571</v>
      </c>
      <c r="X48" s="104">
        <f t="shared" si="51"/>
        <v>1630.6043662772991</v>
      </c>
      <c r="Y48" s="104">
        <f t="shared" si="51"/>
        <v>1668.640465152941</v>
      </c>
      <c r="Z48" s="104">
        <f t="shared" si="51"/>
        <v>1706.6765640285839</v>
      </c>
      <c r="AA48" s="149">
        <f t="shared" si="51"/>
        <v>1735.126996577955</v>
      </c>
      <c r="AB48" s="95"/>
    </row>
    <row r="49" spans="1:32" s="170" customFormat="1" ht="12" x14ac:dyDescent="0.15">
      <c r="B49" s="210" t="s">
        <v>278</v>
      </c>
      <c r="D49" s="228"/>
      <c r="E49" s="242"/>
      <c r="F49" s="242"/>
      <c r="G49" s="229"/>
      <c r="H49" s="242"/>
      <c r="I49" s="242"/>
      <c r="J49" s="242"/>
      <c r="K49" s="246">
        <f t="shared" ref="K49" si="52">(K48/J48)-1</f>
        <v>2.1435032398997356E-2</v>
      </c>
      <c r="L49" s="230">
        <f t="shared" ref="L49" si="53">(L48/K48)-1</f>
        <v>2.0985213664206359E-2</v>
      </c>
      <c r="M49" s="230">
        <f t="shared" ref="M49" si="54">(M48/L48)-1</f>
        <v>2.0553885975382213E-2</v>
      </c>
      <c r="N49" s="230">
        <f t="shared" ref="N49" si="55">(N48/M48)-1</f>
        <v>2.0139932107297698E-2</v>
      </c>
      <c r="O49" s="246">
        <f t="shared" ref="O49" si="56">(O48/N48)-1</f>
        <v>8.1371675264814147E-3</v>
      </c>
      <c r="P49" s="230">
        <f t="shared" ref="P49" si="57">(P48/O48)-1</f>
        <v>8.071488472591648E-3</v>
      </c>
      <c r="Q49" s="230">
        <f t="shared" ref="Q49" si="58">(Q48/P48)-1</f>
        <v>8.0068611848369553E-3</v>
      </c>
      <c r="R49" s="230">
        <f t="shared" ref="R49" si="59">(R48/Q48)-1</f>
        <v>7.9432605998579486E-3</v>
      </c>
      <c r="S49" s="246">
        <f t="shared" ref="S49" si="60">(S48/R48)-1</f>
        <v>6.7658767429847888E-3</v>
      </c>
      <c r="T49" s="230">
        <f t="shared" ref="T49" si="61">(T48/S48)-1</f>
        <v>6.7204072955597827E-3</v>
      </c>
      <c r="U49" s="230">
        <f t="shared" ref="U49" si="62">(U48/T48)-1</f>
        <v>6.6755449148123702E-3</v>
      </c>
      <c r="V49" s="230">
        <f t="shared" ref="V49" si="63">(V48/U48)-1</f>
        <v>6.6312775238592803E-3</v>
      </c>
      <c r="W49" s="246">
        <f t="shared" ref="W49" si="64">(W48/V48)-1</f>
        <v>2.4467875059612565E-2</v>
      </c>
      <c r="X49" s="230">
        <f t="shared" ref="X49" si="65">(X48/W48)-1</f>
        <v>2.3883496647650437E-2</v>
      </c>
      <c r="Y49" s="230">
        <f t="shared" ref="Y49" si="66">(Y48/X48)-1</f>
        <v>2.3326381102780402E-2</v>
      </c>
      <c r="Z49" s="230">
        <f t="shared" ref="Z49" si="67">(Z48/Y48)-1</f>
        <v>2.2794664081310367E-2</v>
      </c>
      <c r="AA49" s="246">
        <f t="shared" ref="AA49" si="68">(AA48/Z48)-1</f>
        <v>1.667007864818526E-2</v>
      </c>
      <c r="AB49" s="243"/>
    </row>
    <row r="50" spans="1:32" s="97" customFormat="1" x14ac:dyDescent="0.2">
      <c r="B50" s="99" t="s">
        <v>178</v>
      </c>
      <c r="D50" s="103"/>
      <c r="E50" s="217"/>
      <c r="F50" s="217">
        <f t="shared" ref="F50" si="69">F47-F48</f>
        <v>3.3000000000129148E-2</v>
      </c>
      <c r="G50" s="150">
        <f t="shared" ref="G50" si="70">G47-G48</f>
        <v>-5.9999999998581188E-3</v>
      </c>
      <c r="H50" s="217">
        <f t="shared" ref="H50" si="71">H47-H48</f>
        <v>21.65652282030328</v>
      </c>
      <c r="I50" s="217">
        <f t="shared" ref="I50" si="72">I47-I48</f>
        <v>54.984521189256839</v>
      </c>
      <c r="J50" s="239">
        <f t="shared" ref="J50" si="73">J47-J48</f>
        <v>85.643118086432423</v>
      </c>
      <c r="K50" s="150">
        <f t="shared" ref="K50:AA50" si="74">K47-K48</f>
        <v>87.478881097366184</v>
      </c>
      <c r="L50" s="217">
        <f t="shared" si="74"/>
        <v>89.314644108300172</v>
      </c>
      <c r="M50" s="217">
        <f t="shared" si="74"/>
        <v>91.150407119233932</v>
      </c>
      <c r="N50" s="217">
        <f t="shared" si="74"/>
        <v>92.98617013016792</v>
      </c>
      <c r="O50" s="150">
        <f t="shared" si="74"/>
        <v>93.742814174162959</v>
      </c>
      <c r="P50" s="217">
        <f t="shared" si="74"/>
        <v>94.49945821815777</v>
      </c>
      <c r="Q50" s="217">
        <f t="shared" si="74"/>
        <v>95.256102262153036</v>
      </c>
      <c r="R50" s="217">
        <f t="shared" si="74"/>
        <v>96.012746306147847</v>
      </c>
      <c r="S50" s="150">
        <f t="shared" si="74"/>
        <v>96.662356713410645</v>
      </c>
      <c r="T50" s="217">
        <f t="shared" si="74"/>
        <v>97.311967120673444</v>
      </c>
      <c r="U50" s="217">
        <f t="shared" si="74"/>
        <v>97.96157752793647</v>
      </c>
      <c r="V50" s="217">
        <f t="shared" si="74"/>
        <v>98.611187935199268</v>
      </c>
      <c r="W50" s="150">
        <f t="shared" si="74"/>
        <v>101.02399416107778</v>
      </c>
      <c r="X50" s="217">
        <f t="shared" si="74"/>
        <v>103.43680038695607</v>
      </c>
      <c r="Y50" s="217">
        <f t="shared" si="74"/>
        <v>105.84960661283435</v>
      </c>
      <c r="Z50" s="217">
        <f t="shared" si="74"/>
        <v>108.26241283871263</v>
      </c>
      <c r="AA50" s="150">
        <f t="shared" si="74"/>
        <v>110.06715577537625</v>
      </c>
      <c r="AB50" s="244"/>
    </row>
    <row r="51" spans="1:32" x14ac:dyDescent="0.2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2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9" x14ac:dyDescent="0.25">
      <c r="A53" s="105" t="s">
        <v>189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ht="16" x14ac:dyDescent="0.2">
      <c r="B54" s="86" t="s">
        <v>189</v>
      </c>
      <c r="D54" s="102">
        <f>main!K93/1000</f>
        <v>1574.462</v>
      </c>
      <c r="E54" s="104">
        <f>main!L93/1000</f>
        <v>3729.5573333333332</v>
      </c>
      <c r="F54" s="104">
        <f>main!M93/1000</f>
        <v>2466.0010000000002</v>
      </c>
      <c r="G54" s="149">
        <f>main!N93/1000</f>
        <v>2027.7929999999999</v>
      </c>
      <c r="H54" s="104">
        <f>main!O93/1000</f>
        <v>3107.7013980484894</v>
      </c>
      <c r="I54" s="104">
        <f>main!P93/1000</f>
        <v>1874.8488739812499</v>
      </c>
      <c r="J54" s="104">
        <f>main!Q93/1000</f>
        <v>1686.4675074263907</v>
      </c>
      <c r="K54" s="263">
        <f>main!R93/1000</f>
        <v>1683.0445200377862</v>
      </c>
      <c r="L54" s="104">
        <f>K54*(1+L56)</f>
        <v>1696.1632113985002</v>
      </c>
      <c r="M54" s="104">
        <f t="shared" ref="M54:AA54" si="75">L54*(1+M56)</f>
        <v>1690.6431731887944</v>
      </c>
      <c r="N54" s="104">
        <f t="shared" si="75"/>
        <v>1659.3144732728074</v>
      </c>
      <c r="O54" s="104">
        <f t="shared" si="75"/>
        <v>1660.0998411062906</v>
      </c>
      <c r="P54" s="104">
        <f t="shared" si="75"/>
        <v>1661.9626342829306</v>
      </c>
      <c r="Q54" s="104">
        <f t="shared" si="75"/>
        <v>1664.5622777115709</v>
      </c>
      <c r="R54" s="104">
        <f t="shared" si="75"/>
        <v>1669.27314664353</v>
      </c>
      <c r="S54" s="104">
        <f t="shared" si="75"/>
        <v>1686.6874576142454</v>
      </c>
      <c r="T54" s="104">
        <f t="shared" si="75"/>
        <v>1703.3929697324252</v>
      </c>
      <c r="U54" s="104">
        <f t="shared" si="75"/>
        <v>1716.7936271136491</v>
      </c>
      <c r="V54" s="104">
        <f t="shared" si="75"/>
        <v>1728.1685099106835</v>
      </c>
      <c r="W54" s="104">
        <f t="shared" si="75"/>
        <v>1767.2677379421684</v>
      </c>
      <c r="X54" s="104">
        <f t="shared" si="75"/>
        <v>1799.6989314425757</v>
      </c>
      <c r="Y54" s="104">
        <f t="shared" si="75"/>
        <v>1826.2231457392986</v>
      </c>
      <c r="Z54" s="104">
        <f t="shared" si="75"/>
        <v>1846.2047044367848</v>
      </c>
      <c r="AA54" s="104">
        <f t="shared" si="75"/>
        <v>1856.4697505855511</v>
      </c>
      <c r="AB54" s="95"/>
    </row>
    <row r="55" spans="1:32" x14ac:dyDescent="0.2">
      <c r="B55" t="s">
        <v>177</v>
      </c>
      <c r="D55" s="102">
        <f t="shared" ref="D55:AA55" si="76">D15</f>
        <v>1574.4</v>
      </c>
      <c r="E55" s="104">
        <f t="shared" si="76"/>
        <v>3741.5333333333301</v>
      </c>
      <c r="F55" s="104">
        <f t="shared" si="76"/>
        <v>2572.1999999999998</v>
      </c>
      <c r="G55" s="149">
        <f t="shared" si="76"/>
        <v>2063.6999999999998</v>
      </c>
      <c r="H55" s="104">
        <f t="shared" si="76"/>
        <v>1819.81390083411</v>
      </c>
      <c r="I55" s="104">
        <f t="shared" si="76"/>
        <v>1623.62521731378</v>
      </c>
      <c r="J55" s="104">
        <f t="shared" si="76"/>
        <v>1487.1097724132001</v>
      </c>
      <c r="K55" s="263">
        <f t="shared" si="76"/>
        <v>1525.56477563047</v>
      </c>
      <c r="L55" s="104">
        <f t="shared" si="76"/>
        <v>1537.45597233026</v>
      </c>
      <c r="M55" s="104">
        <f t="shared" si="76"/>
        <v>1532.4524351376299</v>
      </c>
      <c r="N55" s="104">
        <f t="shared" si="76"/>
        <v>1504.0551108309301</v>
      </c>
      <c r="O55" s="149">
        <f t="shared" si="76"/>
        <v>1504.76699307077</v>
      </c>
      <c r="P55" s="104">
        <f t="shared" si="76"/>
        <v>1506.4554877129101</v>
      </c>
      <c r="Q55" s="104">
        <f t="shared" si="76"/>
        <v>1508.8118867247699</v>
      </c>
      <c r="R55" s="104">
        <f t="shared" si="76"/>
        <v>1513.08196729581</v>
      </c>
      <c r="S55" s="149">
        <f t="shared" si="76"/>
        <v>1528.86684944985</v>
      </c>
      <c r="T55" s="104">
        <f t="shared" si="76"/>
        <v>1544.00925390971</v>
      </c>
      <c r="U55" s="104">
        <f t="shared" si="76"/>
        <v>1556.1560335270599</v>
      </c>
      <c r="V55" s="104">
        <f t="shared" si="76"/>
        <v>1566.4665870005299</v>
      </c>
      <c r="W55" s="149">
        <f t="shared" si="76"/>
        <v>1601.9073637173799</v>
      </c>
      <c r="X55" s="104">
        <f t="shared" si="76"/>
        <v>1631.30402307299</v>
      </c>
      <c r="Y55" s="104">
        <f t="shared" si="76"/>
        <v>1655.34640968285</v>
      </c>
      <c r="Z55" s="104">
        <f t="shared" si="76"/>
        <v>1673.4583263601301</v>
      </c>
      <c r="AA55" s="149">
        <f t="shared" si="76"/>
        <v>1682.7628887994099</v>
      </c>
      <c r="AB55" s="95"/>
    </row>
    <row r="56" spans="1:32" s="170" customFormat="1" ht="12" x14ac:dyDescent="0.15">
      <c r="B56" s="210" t="s">
        <v>278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7">(L55/K55)-1</f>
        <v>7.7946193368785277E-3</v>
      </c>
      <c r="M56" s="230">
        <f t="shared" ref="M56" si="78">(M55/L55)-1</f>
        <v>-3.2544263267887397E-3</v>
      </c>
      <c r="N56" s="230">
        <f t="shared" ref="N56" si="79">(N55/M55)-1</f>
        <v>-1.8530639943907579E-2</v>
      </c>
      <c r="O56" s="246">
        <f t="shared" ref="O56" si="80">(O55/N55)-1</f>
        <v>4.7330861396877033E-4</v>
      </c>
      <c r="P56" s="230">
        <f t="shared" ref="P56" si="81">(P55/O55)-1</f>
        <v>1.1220970754377557E-3</v>
      </c>
      <c r="Q56" s="230">
        <f t="shared" ref="Q56" si="82">(Q55/P55)-1</f>
        <v>1.5642008881637803E-3</v>
      </c>
      <c r="R56" s="230">
        <f t="shared" ref="R56" si="83">(R55/Q55)-1</f>
        <v>2.8300947312320801E-3</v>
      </c>
      <c r="S56" s="246">
        <f t="shared" ref="S56" si="84">(S55/R55)-1</f>
        <v>1.0432271678084026E-2</v>
      </c>
      <c r="T56" s="230">
        <f t="shared" ref="T56" si="85">(T55/S55)-1</f>
        <v>9.9043317377891515E-3</v>
      </c>
      <c r="U56" s="230">
        <f t="shared" ref="U56" si="86">(U55/T55)-1</f>
        <v>7.8670380935814688E-3</v>
      </c>
      <c r="V56" s="230">
        <f t="shared" ref="V56" si="87">(V55/U55)-1</f>
        <v>6.6256553014809594E-3</v>
      </c>
      <c r="W56" s="246">
        <f t="shared" ref="W56" si="88">(W55/V55)-1</f>
        <v>2.2624661777632893E-2</v>
      </c>
      <c r="X56" s="230">
        <f t="shared" ref="X56" si="89">(X55/W55)-1</f>
        <v>1.8351035784861081E-2</v>
      </c>
      <c r="Y56" s="230">
        <f t="shared" ref="Y56" si="90">(Y55/X55)-1</f>
        <v>1.4738139715103404E-2</v>
      </c>
      <c r="Z56" s="230">
        <f t="shared" ref="Z56" si="91">(Z55/Y55)-1</f>
        <v>1.0941466131400457E-2</v>
      </c>
      <c r="AA56" s="246">
        <f t="shared" ref="AA56" si="92">(AA55/Z55)-1</f>
        <v>5.5600801601780603E-3</v>
      </c>
      <c r="AB56" s="243"/>
    </row>
    <row r="57" spans="1:32" s="97" customFormat="1" x14ac:dyDescent="0.2">
      <c r="B57" s="99" t="s">
        <v>178</v>
      </c>
      <c r="D57" s="103"/>
      <c r="E57" s="217"/>
      <c r="F57" s="217">
        <f t="shared" ref="F57" si="93">F54-F55</f>
        <v>-106.19899999999961</v>
      </c>
      <c r="G57" s="150">
        <f t="shared" ref="G57" si="94">G54-G55</f>
        <v>-35.906999999999925</v>
      </c>
      <c r="H57" s="217">
        <f t="shared" ref="H57" si="95">H54-H55</f>
        <v>1287.8874972143794</v>
      </c>
      <c r="I57" s="217">
        <f t="shared" ref="I57" si="96">I54-I55</f>
        <v>251.22365666746987</v>
      </c>
      <c r="J57" s="217">
        <f t="shared" ref="J57" si="97">J54-J55</f>
        <v>199.35773501319068</v>
      </c>
      <c r="K57" s="264">
        <f t="shared" ref="K57" si="98">K54-K55</f>
        <v>157.47974440731628</v>
      </c>
      <c r="L57" s="217">
        <f t="shared" ref="L57:AA57" si="99">L54-L55</f>
        <v>158.70723906824014</v>
      </c>
      <c r="M57" s="217">
        <f t="shared" si="99"/>
        <v>158.19073805116454</v>
      </c>
      <c r="N57" s="217">
        <f t="shared" si="99"/>
        <v>155.25936244187733</v>
      </c>
      <c r="O57" s="150">
        <f t="shared" si="99"/>
        <v>155.33284803552056</v>
      </c>
      <c r="P57" s="217">
        <f t="shared" si="99"/>
        <v>155.5071465700205</v>
      </c>
      <c r="Q57" s="217">
        <f t="shared" si="99"/>
        <v>155.75039098680099</v>
      </c>
      <c r="R57" s="217">
        <f t="shared" si="99"/>
        <v>156.19117934771998</v>
      </c>
      <c r="S57" s="150">
        <f t="shared" si="99"/>
        <v>157.82060816439548</v>
      </c>
      <c r="T57" s="217">
        <f t="shared" si="99"/>
        <v>159.3837158227152</v>
      </c>
      <c r="U57" s="217">
        <f t="shared" si="99"/>
        <v>160.63759358658922</v>
      </c>
      <c r="V57" s="217">
        <f t="shared" si="99"/>
        <v>161.7019229101536</v>
      </c>
      <c r="W57" s="150">
        <f t="shared" si="99"/>
        <v>165.36037422478853</v>
      </c>
      <c r="X57" s="217">
        <f t="shared" si="99"/>
        <v>168.39490836958566</v>
      </c>
      <c r="Y57" s="217">
        <f t="shared" si="99"/>
        <v>170.87673605644864</v>
      </c>
      <c r="Z57" s="217">
        <f t="shared" si="99"/>
        <v>172.74637807665476</v>
      </c>
      <c r="AA57" s="150">
        <f t="shared" si="99"/>
        <v>173.70686178614119</v>
      </c>
      <c r="AB57" s="244"/>
    </row>
    <row r="58" spans="1:32" s="97" customFormat="1" x14ac:dyDescent="0.2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2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9" x14ac:dyDescent="0.25">
      <c r="A60" s="105" t="s">
        <v>190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2">
      <c r="B61" t="s">
        <v>211</v>
      </c>
      <c r="D61" s="100"/>
      <c r="E61" s="104">
        <f>main!L54/1000</f>
        <v>1086.548</v>
      </c>
      <c r="F61" s="104">
        <f>main!M54/1000</f>
        <v>1213.48</v>
      </c>
      <c r="G61" s="149">
        <f>main!N54/1000</f>
        <v>610.53599999999994</v>
      </c>
      <c r="H61" s="104">
        <f>main!O54/1000</f>
        <v>794.08358333333342</v>
      </c>
      <c r="I61" s="104">
        <f>main!P54/1000</f>
        <v>794.08358333333342</v>
      </c>
      <c r="J61" s="104">
        <f>main!Q54/1000</f>
        <v>144.08358333333331</v>
      </c>
      <c r="K61" s="149">
        <f>main!R54/1000</f>
        <v>122.75024999999999</v>
      </c>
      <c r="L61" s="223">
        <f>main!S54/1000</f>
        <v>77.330250000000007</v>
      </c>
      <c r="M61" s="231">
        <f>L61*(1+M63)</f>
        <v>77.703294275287249</v>
      </c>
      <c r="N61" s="231">
        <f>M61*(1+N63)</f>
        <v>78.07050365575769</v>
      </c>
      <c r="O61" s="247">
        <f>N61*(1+O63)</f>
        <v>78.435379078301409</v>
      </c>
      <c r="P61" s="231">
        <f>O61*(1+P63)</f>
        <v>78.799476514869554</v>
      </c>
      <c r="Q61" s="231">
        <f t="shared" ref="Q61:AA61" si="100">P61*(1+Q63)</f>
        <v>79.164740930401067</v>
      </c>
      <c r="R61" s="231">
        <f t="shared" si="100"/>
        <v>79.533506282822628</v>
      </c>
      <c r="S61" s="247">
        <f t="shared" si="100"/>
        <v>79.905772572134296</v>
      </c>
      <c r="T61" s="231">
        <f t="shared" si="100"/>
        <v>80.280372819372687</v>
      </c>
      <c r="U61" s="231">
        <f t="shared" si="100"/>
        <v>80.654195080635475</v>
      </c>
      <c r="V61" s="231">
        <f t="shared" si="100"/>
        <v>81.029184320861646</v>
      </c>
      <c r="W61" s="247">
        <f t="shared" si="100"/>
        <v>81.404951547063376</v>
      </c>
      <c r="X61" s="231">
        <f t="shared" si="100"/>
        <v>81.780329780277327</v>
      </c>
      <c r="Y61" s="231">
        <f t="shared" si="100"/>
        <v>82.151040097637846</v>
      </c>
      <c r="Z61" s="231">
        <f t="shared" si="100"/>
        <v>82.519027464083834</v>
      </c>
      <c r="AA61" s="247">
        <f t="shared" si="100"/>
        <v>82.884291879615333</v>
      </c>
      <c r="AB61" s="95"/>
    </row>
    <row r="62" spans="1:32" x14ac:dyDescent="0.2">
      <c r="B62" t="s">
        <v>177</v>
      </c>
      <c r="D62" s="102">
        <f t="shared" ref="D62:AA62" si="101">D16</f>
        <v>74.5</v>
      </c>
      <c r="E62" s="104">
        <f t="shared" si="101"/>
        <v>1085.9000000000001</v>
      </c>
      <c r="F62" s="104">
        <f t="shared" si="101"/>
        <v>1212.9000000000001</v>
      </c>
      <c r="G62" s="149">
        <f t="shared" si="101"/>
        <v>609.9</v>
      </c>
      <c r="H62" s="104">
        <f t="shared" si="101"/>
        <v>612.6833822665883</v>
      </c>
      <c r="I62" s="104">
        <f t="shared" si="101"/>
        <v>615.55472695243679</v>
      </c>
      <c r="J62" s="104">
        <f t="shared" si="101"/>
        <v>618.4920434527304</v>
      </c>
      <c r="K62" s="149">
        <f t="shared" si="101"/>
        <v>621.4890487375219</v>
      </c>
      <c r="L62" s="223">
        <f t="shared" si="101"/>
        <v>624.52061068702278</v>
      </c>
      <c r="M62" s="104">
        <f t="shared" si="101"/>
        <v>627.53332354668225</v>
      </c>
      <c r="N62" s="104">
        <f t="shared" si="101"/>
        <v>630.49891368173814</v>
      </c>
      <c r="O62" s="149">
        <f t="shared" si="101"/>
        <v>633.44565472695251</v>
      </c>
      <c r="P62" s="104">
        <f t="shared" si="101"/>
        <v>636.38611274221967</v>
      </c>
      <c r="Q62" s="104">
        <f t="shared" si="101"/>
        <v>639.3359953024077</v>
      </c>
      <c r="R62" s="104">
        <f t="shared" si="101"/>
        <v>642.31415149735767</v>
      </c>
      <c r="S62" s="149">
        <f t="shared" si="101"/>
        <v>645.32058132706993</v>
      </c>
      <c r="T62" s="104">
        <f t="shared" si="101"/>
        <v>648.34586024662372</v>
      </c>
      <c r="U62" s="104">
        <f t="shared" si="101"/>
        <v>651.36485613623017</v>
      </c>
      <c r="V62" s="104">
        <f t="shared" si="101"/>
        <v>654.39327657075751</v>
      </c>
      <c r="W62" s="149">
        <f t="shared" si="101"/>
        <v>657.42798003523194</v>
      </c>
      <c r="X62" s="104">
        <f t="shared" si="101"/>
        <v>660.45954198473294</v>
      </c>
      <c r="Y62" s="104">
        <f t="shared" si="101"/>
        <v>663.45340575455089</v>
      </c>
      <c r="Z62" s="104">
        <f t="shared" si="101"/>
        <v>666.42527891955376</v>
      </c>
      <c r="AA62" s="149">
        <f t="shared" si="101"/>
        <v>669.37516147974168</v>
      </c>
      <c r="AB62" s="95"/>
    </row>
    <row r="63" spans="1:32" s="170" customFormat="1" ht="12" x14ac:dyDescent="0.15">
      <c r="B63" s="210" t="s">
        <v>278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2">(M62/L62)-1</f>
        <v>4.8240407251656237E-3</v>
      </c>
      <c r="N63" s="230">
        <f t="shared" si="102"/>
        <v>4.7257890916374556E-3</v>
      </c>
      <c r="O63" s="246">
        <f t="shared" si="102"/>
        <v>4.6736655389414405E-3</v>
      </c>
      <c r="P63" s="230">
        <f t="shared" si="102"/>
        <v>4.6420051875399881E-3</v>
      </c>
      <c r="Q63" s="230">
        <f t="shared" si="102"/>
        <v>4.6353660162017363E-3</v>
      </c>
      <c r="R63" s="230">
        <f t="shared" si="102"/>
        <v>4.6582019733478752E-3</v>
      </c>
      <c r="S63" s="246">
        <f t="shared" si="102"/>
        <v>4.6806221265773829E-3</v>
      </c>
      <c r="T63" s="230">
        <f t="shared" si="102"/>
        <v>4.6880248470186903E-3</v>
      </c>
      <c r="U63" s="230">
        <f t="shared" si="102"/>
        <v>4.6564589592013039E-3</v>
      </c>
      <c r="V63" s="230">
        <f t="shared" si="102"/>
        <v>4.6493457637419855E-3</v>
      </c>
      <c r="W63" s="246">
        <f t="shared" si="102"/>
        <v>4.6374306905738738E-3</v>
      </c>
      <c r="X63" s="230">
        <f t="shared" si="102"/>
        <v>4.6112457053295586E-3</v>
      </c>
      <c r="Y63" s="230">
        <f t="shared" si="102"/>
        <v>4.5330010083906025E-3</v>
      </c>
      <c r="Z63" s="230">
        <f t="shared" si="102"/>
        <v>4.4793999687482433E-3</v>
      </c>
      <c r="AA63" s="246">
        <f t="shared" si="102"/>
        <v>4.4264265679874182E-3</v>
      </c>
      <c r="AB63" s="243"/>
    </row>
    <row r="64" spans="1:32" s="97" customFormat="1" x14ac:dyDescent="0.2">
      <c r="B64" s="99" t="s">
        <v>178</v>
      </c>
      <c r="D64" s="103"/>
      <c r="E64" s="217"/>
      <c r="F64" s="217">
        <f>F61-F62</f>
        <v>0.57999999999992724</v>
      </c>
      <c r="G64" s="150">
        <f t="shared" ref="G64:AA64" si="103">G61-G62</f>
        <v>0.63599999999996726</v>
      </c>
      <c r="H64" s="217">
        <f t="shared" si="103"/>
        <v>181.40020106674513</v>
      </c>
      <c r="I64" s="217">
        <f t="shared" si="103"/>
        <v>178.52885638089663</v>
      </c>
      <c r="J64" s="217">
        <f t="shared" si="103"/>
        <v>-474.40846011939709</v>
      </c>
      <c r="K64" s="150">
        <f t="shared" si="103"/>
        <v>-498.7387987375219</v>
      </c>
      <c r="L64" s="217">
        <f t="shared" si="103"/>
        <v>-547.1903606870228</v>
      </c>
      <c r="M64" s="217">
        <f t="shared" si="103"/>
        <v>-549.83002927139501</v>
      </c>
      <c r="N64" s="217">
        <f t="shared" si="103"/>
        <v>-552.4284100259805</v>
      </c>
      <c r="O64" s="150">
        <f t="shared" si="103"/>
        <v>-555.01027564865115</v>
      </c>
      <c r="P64" s="217">
        <f t="shared" si="103"/>
        <v>-557.58663622735014</v>
      </c>
      <c r="Q64" s="217">
        <f t="shared" si="103"/>
        <v>-560.17125437200662</v>
      </c>
      <c r="R64" s="217">
        <f t="shared" si="103"/>
        <v>-562.78064521453507</v>
      </c>
      <c r="S64" s="150">
        <f t="shared" si="103"/>
        <v>-565.41480875493562</v>
      </c>
      <c r="T64" s="217">
        <f t="shared" si="103"/>
        <v>-568.06548742725101</v>
      </c>
      <c r="U64" s="217">
        <f t="shared" si="103"/>
        <v>-570.71066105559476</v>
      </c>
      <c r="V64" s="217">
        <f t="shared" si="103"/>
        <v>-573.36409224989586</v>
      </c>
      <c r="W64" s="150">
        <f t="shared" si="103"/>
        <v>-576.02302848816862</v>
      </c>
      <c r="X64" s="217">
        <f t="shared" si="103"/>
        <v>-578.67921220445555</v>
      </c>
      <c r="Y64" s="217">
        <f t="shared" si="103"/>
        <v>-581.30236565691303</v>
      </c>
      <c r="Z64" s="217">
        <f t="shared" si="103"/>
        <v>-583.90625145546994</v>
      </c>
      <c r="AA64" s="150">
        <f t="shared" si="103"/>
        <v>-586.4908696001263</v>
      </c>
      <c r="AB64" s="217"/>
      <c r="AC64" s="217"/>
      <c r="AD64" s="150"/>
      <c r="AE64" s="150"/>
      <c r="AF64" s="150"/>
    </row>
    <row r="65" spans="1:28" x14ac:dyDescent="0.2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2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9" x14ac:dyDescent="0.25">
      <c r="A67" s="105" t="s">
        <v>196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2">
      <c r="B68" t="s">
        <v>208</v>
      </c>
      <c r="D68" s="100"/>
      <c r="E68" s="218">
        <f>main!L82/1000</f>
        <v>279.25</v>
      </c>
      <c r="F68" s="218">
        <f>main!M82/1000</f>
        <v>300.60000000000002</v>
      </c>
      <c r="G68" s="151">
        <f>main!N82/1000</f>
        <v>303.95100000000002</v>
      </c>
      <c r="H68" s="218">
        <f>main!O82/1000</f>
        <v>346.74149947361497</v>
      </c>
      <c r="I68" s="218">
        <f>main!P82/1000</f>
        <v>319.64863001710751</v>
      </c>
      <c r="J68" s="218">
        <f>main!Q82/1000</f>
        <v>320.71126865377022</v>
      </c>
      <c r="K68" s="151">
        <f>main!R82/1000</f>
        <v>316.24408517867886</v>
      </c>
      <c r="L68" s="218">
        <f>main!S82/1000</f>
        <v>311.98995960222607</v>
      </c>
      <c r="M68" s="218">
        <f>main!T82/1000</f>
        <v>313.75779375261874</v>
      </c>
      <c r="N68" s="218">
        <f>main!U82/1000</f>
        <v>315.72164407812892</v>
      </c>
      <c r="O68" s="151">
        <f>main!V82/1000</f>
        <v>317.52849383340345</v>
      </c>
      <c r="P68" s="248">
        <f>main!W82/1000</f>
        <v>319.53531291864806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4">S68*(1+T70)</f>
        <v>336.23224086572151</v>
      </c>
      <c r="U68" s="248">
        <f t="shared" si="104"/>
        <v>342.02665970336</v>
      </c>
      <c r="V68" s="248">
        <f t="shared" si="104"/>
        <v>347.93543262645312</v>
      </c>
      <c r="W68" s="249">
        <f t="shared" si="104"/>
        <v>348.35783973466744</v>
      </c>
      <c r="X68" s="248">
        <f t="shared" si="104"/>
        <v>348.8226627396063</v>
      </c>
      <c r="Y68" s="248">
        <f t="shared" si="104"/>
        <v>349.34176866674034</v>
      </c>
      <c r="Z68" s="248">
        <f t="shared" si="104"/>
        <v>349.90680777318727</v>
      </c>
      <c r="AA68" s="249">
        <f t="shared" si="104"/>
        <v>350.58752747539137</v>
      </c>
      <c r="AB68" s="95"/>
    </row>
    <row r="69" spans="1:28" x14ac:dyDescent="0.2">
      <c r="B69" t="s">
        <v>177</v>
      </c>
      <c r="D69" s="102">
        <f t="shared" ref="D69:O69" si="105">D17</f>
        <v>204.37100000000001</v>
      </c>
      <c r="E69" s="104">
        <f t="shared" si="105"/>
        <v>279.25</v>
      </c>
      <c r="F69" s="104">
        <f t="shared" si="105"/>
        <v>300.60000000000002</v>
      </c>
      <c r="G69" s="149">
        <f t="shared" si="105"/>
        <v>303.95100000000002</v>
      </c>
      <c r="H69" s="104">
        <f t="shared" si="105"/>
        <v>257.15358627705501</v>
      </c>
      <c r="I69" s="104">
        <f t="shared" si="105"/>
        <v>228.45877209582619</v>
      </c>
      <c r="J69" s="104">
        <f t="shared" si="105"/>
        <v>212.05070141102621</v>
      </c>
      <c r="K69" s="149">
        <f t="shared" si="105"/>
        <v>217.20219820767471</v>
      </c>
      <c r="L69" s="104">
        <f t="shared" si="105"/>
        <v>223.05909969580759</v>
      </c>
      <c r="M69" s="104">
        <f t="shared" si="105"/>
        <v>228.5975776874576</v>
      </c>
      <c r="N69" s="104">
        <f t="shared" si="105"/>
        <v>234.17911675344899</v>
      </c>
      <c r="O69" s="149">
        <f t="shared" si="105"/>
        <v>247.8674048768593</v>
      </c>
      <c r="P69" s="231">
        <f t="shared" ref="P69:AA69" si="106">P17</f>
        <v>261.5571401329762</v>
      </c>
      <c r="Q69" s="231">
        <f t="shared" si="106"/>
        <v>275.39010761536798</v>
      </c>
      <c r="R69" s="231">
        <f t="shared" si="106"/>
        <v>289.36457004926609</v>
      </c>
      <c r="S69" s="245">
        <f t="shared" si="106"/>
        <v>294.30374747872452</v>
      </c>
      <c r="T69" s="231">
        <f t="shared" si="106"/>
        <v>299.40325070867152</v>
      </c>
      <c r="U69" s="231">
        <f t="shared" si="106"/>
        <v>304.56298146943863</v>
      </c>
      <c r="V69" s="231">
        <f t="shared" si="106"/>
        <v>309.82454061176958</v>
      </c>
      <c r="W69" s="247">
        <f t="shared" si="106"/>
        <v>310.20067961913003</v>
      </c>
      <c r="X69" s="231">
        <f t="shared" si="106"/>
        <v>310.61458852425028</v>
      </c>
      <c r="Y69" s="231">
        <f t="shared" si="106"/>
        <v>311.07683450531948</v>
      </c>
      <c r="Z69" s="231">
        <f t="shared" si="106"/>
        <v>311.57998240336798</v>
      </c>
      <c r="AA69" s="247">
        <f t="shared" si="106"/>
        <v>312.18613989479883</v>
      </c>
      <c r="AB69" s="95"/>
    </row>
    <row r="70" spans="1:28" s="170" customFormat="1" ht="12" x14ac:dyDescent="0.15">
      <c r="B70" s="210" t="s">
        <v>278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7">(Q69/P69)-1</f>
        <v>5.2886980930281879E-2</v>
      </c>
      <c r="R70" s="230">
        <f t="shared" ref="R70" si="108">(R69/Q69)-1</f>
        <v>5.0744242612432489E-2</v>
      </c>
      <c r="S70" s="246">
        <f t="shared" ref="S70" si="109">(S69/R69)-1</f>
        <v>1.7069046941778243E-2</v>
      </c>
      <c r="T70" s="230">
        <f t="shared" ref="T70" si="110">(T69/S69)-1</f>
        <v>1.7327347251382408E-2</v>
      </c>
      <c r="U70" s="230">
        <f t="shared" ref="U70" si="111">(U69/T69)-1</f>
        <v>1.723338256533391E-2</v>
      </c>
      <c r="V70" s="230">
        <f t="shared" ref="V70" si="112">(V69/U69)-1</f>
        <v>1.7275767123585695E-2</v>
      </c>
      <c r="W70" s="246">
        <f t="shared" ref="W70" si="113">(W69/V69)-1</f>
        <v>1.2140387802004327E-3</v>
      </c>
      <c r="X70" s="230">
        <f t="shared" ref="X70" si="114">(X69/W69)-1</f>
        <v>1.3343262356113605E-3</v>
      </c>
      <c r="Y70" s="230">
        <f t="shared" ref="Y70" si="115">(Y69/X69)-1</f>
        <v>1.4881657145124905E-3</v>
      </c>
      <c r="Z70" s="230">
        <f t="shared" ref="Z70" si="116">(Z69/Y69)-1</f>
        <v>1.6174393019288136E-3</v>
      </c>
      <c r="AA70" s="246">
        <f t="shared" ref="AA70" si="117">(AA69/Z69)-1</f>
        <v>1.9454314322611133E-3</v>
      </c>
      <c r="AB70" s="243"/>
    </row>
    <row r="71" spans="1:28" s="97" customFormat="1" x14ac:dyDescent="0.2">
      <c r="B71" s="99" t="s">
        <v>178</v>
      </c>
      <c r="D71" s="103"/>
      <c r="E71" s="217"/>
      <c r="F71" s="217">
        <f>F68-F69</f>
        <v>0</v>
      </c>
      <c r="G71" s="150">
        <f t="shared" ref="G71:K71" si="118">G68-G69</f>
        <v>0</v>
      </c>
      <c r="H71" s="217">
        <f t="shared" si="118"/>
        <v>89.587913196559953</v>
      </c>
      <c r="I71" s="217">
        <f t="shared" si="118"/>
        <v>91.189857921281316</v>
      </c>
      <c r="J71" s="217">
        <f t="shared" si="118"/>
        <v>108.66056724274401</v>
      </c>
      <c r="K71" s="150">
        <f t="shared" si="118"/>
        <v>99.041886971004146</v>
      </c>
      <c r="L71" s="217">
        <f t="shared" ref="L71:N71" si="119">L68-L69</f>
        <v>88.930859906418476</v>
      </c>
      <c r="M71" s="217">
        <f t="shared" si="119"/>
        <v>85.160216065161137</v>
      </c>
      <c r="N71" s="217">
        <f t="shared" si="119"/>
        <v>81.542527324679924</v>
      </c>
      <c r="O71" s="150">
        <f t="shared" ref="O71:AA71" si="120">O68-O69</f>
        <v>69.661088956544148</v>
      </c>
      <c r="P71" s="250">
        <f t="shared" si="120"/>
        <v>57.978172785671859</v>
      </c>
      <c r="Q71" s="250">
        <f t="shared" si="120"/>
        <v>55.115350410659346</v>
      </c>
      <c r="R71" s="250">
        <f t="shared" si="120"/>
        <v>41.140887976761235</v>
      </c>
      <c r="S71" s="239">
        <f t="shared" si="120"/>
        <v>36.20171054730281</v>
      </c>
      <c r="T71" s="250">
        <f t="shared" si="120"/>
        <v>36.828990157049986</v>
      </c>
      <c r="U71" s="250">
        <f t="shared" si="120"/>
        <v>37.463678233921371</v>
      </c>
      <c r="V71" s="250">
        <f t="shared" si="120"/>
        <v>38.110892014683543</v>
      </c>
      <c r="W71" s="251">
        <f t="shared" si="120"/>
        <v>38.157160115537408</v>
      </c>
      <c r="X71" s="250">
        <f t="shared" si="120"/>
        <v>38.208074215356021</v>
      </c>
      <c r="Y71" s="250">
        <f t="shared" si="120"/>
        <v>38.264934161420854</v>
      </c>
      <c r="Z71" s="250">
        <f t="shared" si="120"/>
        <v>38.326825369819289</v>
      </c>
      <c r="AA71" s="251">
        <f t="shared" si="120"/>
        <v>38.401387580592541</v>
      </c>
      <c r="AB71" s="244"/>
    </row>
    <row r="72" spans="1:28" x14ac:dyDescent="0.2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2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H1" activePane="topRight" state="frozen"/>
      <selection pane="topRight" activeCell="I5" sqref="I5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6" x14ac:dyDescent="0.2">
      <c r="A1" t="s">
        <v>256</v>
      </c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287</v>
      </c>
      <c r="J1" t="s">
        <v>273</v>
      </c>
      <c r="K1" t="s">
        <v>289</v>
      </c>
      <c r="L1" t="s">
        <v>290</v>
      </c>
      <c r="M1" t="s">
        <v>291</v>
      </c>
      <c r="N1" t="s">
        <v>346</v>
      </c>
      <c r="O1" t="s">
        <v>360</v>
      </c>
      <c r="P1" t="s">
        <v>371</v>
      </c>
    </row>
    <row r="2" spans="1:16" x14ac:dyDescent="0.2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279.25</v>
      </c>
      <c r="K2" s="102">
        <f>main!L$40/1000</f>
        <v>1084</v>
      </c>
      <c r="L2" s="102">
        <f>main!L$42/1000</f>
        <v>822.93333333333328</v>
      </c>
      <c r="M2" s="102">
        <f>main!L$46/1000</f>
        <v>261.06666666666672</v>
      </c>
      <c r="N2">
        <v>0</v>
      </c>
      <c r="O2">
        <v>0</v>
      </c>
      <c r="P2">
        <v>0</v>
      </c>
    </row>
    <row r="3" spans="1:16" x14ac:dyDescent="0.2">
      <c r="A3" s="188">
        <v>44104</v>
      </c>
      <c r="B3" s="102">
        <f t="array" ref="B3:B24">TRANSPOSE('add-ons calculations'!F24:AA24)</f>
        <v>-36.188999999999993</v>
      </c>
      <c r="C3">
        <f t="array" ref="C3:C24">TRANSPOSE('add-ons calculations'!F31:AA31)</f>
        <v>105.97699999999998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-106.19899999999961</v>
      </c>
      <c r="H3">
        <f t="array" ref="H3:H24">TRANSPOSE('add-ons calculations'!F64:AA64)</f>
        <v>0.57999999999992724</v>
      </c>
      <c r="I3">
        <f t="array" ref="I3:I24">TRANSPOSE('add-ons calculations'!F71:AA71)</f>
        <v>0</v>
      </c>
      <c r="J3" s="102">
        <f>'add-ons calculations'!F68</f>
        <v>300.60000000000002</v>
      </c>
      <c r="K3" s="102">
        <f>main!M$40/1000</f>
        <v>881.35400000000004</v>
      </c>
      <c r="L3" s="102">
        <f>main!M$42/1000</f>
        <v>695.2</v>
      </c>
      <c r="M3" s="102">
        <f>main!M$46/1000</f>
        <v>186</v>
      </c>
      <c r="N3">
        <v>0</v>
      </c>
      <c r="O3">
        <v>0</v>
      </c>
      <c r="P3">
        <v>0</v>
      </c>
    </row>
    <row r="4" spans="1:16" x14ac:dyDescent="0.2">
      <c r="A4" s="188">
        <v>44196</v>
      </c>
      <c r="B4">
        <v>15.587063056258359</v>
      </c>
      <c r="C4">
        <v>35.907999999999987</v>
      </c>
      <c r="D4">
        <v>-19.250999999999976</v>
      </c>
      <c r="E4">
        <v>22.484070765805583</v>
      </c>
      <c r="F4">
        <v>-5.9999999998581188E-3</v>
      </c>
      <c r="G4">
        <v>-35.906999999999925</v>
      </c>
      <c r="H4">
        <v>0.63599999999996726</v>
      </c>
      <c r="I4">
        <v>0</v>
      </c>
      <c r="J4" s="151">
        <f>'add-ons calculations'!G68</f>
        <v>303.95100000000002</v>
      </c>
      <c r="K4" s="102">
        <f>main!N$40/1000</f>
        <v>338.26900000000001</v>
      </c>
      <c r="L4" s="102">
        <f>main!N$42/1000</f>
        <v>301.60000000000002</v>
      </c>
      <c r="M4" s="102">
        <f>main!N$46/1000</f>
        <v>36.699999999999989</v>
      </c>
      <c r="N4">
        <v>0</v>
      </c>
      <c r="O4">
        <v>0</v>
      </c>
      <c r="P4">
        <v>0</v>
      </c>
    </row>
    <row r="5" spans="1:16" x14ac:dyDescent="0.2">
      <c r="A5" s="188">
        <v>44286</v>
      </c>
      <c r="B5">
        <v>12.440035888233183</v>
      </c>
      <c r="C5">
        <v>82.282942388641018</v>
      </c>
      <c r="D5">
        <v>-18.249119132365195</v>
      </c>
      <c r="E5">
        <v>22.921577670592825</v>
      </c>
      <c r="F5">
        <v>21.65652282030328</v>
      </c>
      <c r="G5">
        <v>1287.8874972143794</v>
      </c>
      <c r="H5">
        <v>181.40020106674513</v>
      </c>
      <c r="I5">
        <v>89.587913196559953</v>
      </c>
      <c r="K5" s="102">
        <f>main!O$40/1000</f>
        <v>724</v>
      </c>
      <c r="L5" s="102">
        <f>main!O$42/1000</f>
        <v>664</v>
      </c>
      <c r="M5" s="102">
        <f>main!O$46/1000</f>
        <v>60</v>
      </c>
      <c r="N5">
        <v>59</v>
      </c>
      <c r="O5">
        <f>71400/1000</f>
        <v>71.400000000000006</v>
      </c>
      <c r="P5" s="296">
        <f>main!$O$37/1000</f>
        <v>664</v>
      </c>
    </row>
    <row r="6" spans="1:16" x14ac:dyDescent="0.2">
      <c r="A6" s="188">
        <v>44377</v>
      </c>
      <c r="B6">
        <v>8.2569455377307008</v>
      </c>
      <c r="C6">
        <v>89.353669827281948</v>
      </c>
      <c r="D6">
        <v>-29.295528487588854</v>
      </c>
      <c r="E6">
        <v>22.760036045087944</v>
      </c>
      <c r="F6">
        <v>54.984521189256839</v>
      </c>
      <c r="G6">
        <v>251.22365666746987</v>
      </c>
      <c r="H6">
        <v>178.52885638089663</v>
      </c>
      <c r="I6">
        <v>91.189857921281316</v>
      </c>
      <c r="K6" s="323">
        <f>main!P$40/1000</f>
        <v>152</v>
      </c>
      <c r="L6" s="102">
        <f>main!P$42/1000</f>
        <v>108</v>
      </c>
      <c r="M6" s="102">
        <f>main!P$46/1000</f>
        <v>44</v>
      </c>
      <c r="N6">
        <v>59</v>
      </c>
      <c r="O6">
        <f>71400/1000</f>
        <v>71.400000000000006</v>
      </c>
      <c r="P6">
        <v>0</v>
      </c>
    </row>
    <row r="7" spans="1:16" x14ac:dyDescent="0.2">
      <c r="A7" s="188">
        <v>44469</v>
      </c>
      <c r="B7">
        <v>4.0738551872278777</v>
      </c>
      <c r="C7">
        <v>110.72575134117292</v>
      </c>
      <c r="D7">
        <v>-34.116917561397258</v>
      </c>
      <c r="E7">
        <v>22.928994365806858</v>
      </c>
      <c r="F7">
        <v>85.643118086432423</v>
      </c>
      <c r="G7">
        <v>199.35773501319068</v>
      </c>
      <c r="H7">
        <v>-474.40846011939709</v>
      </c>
      <c r="I7">
        <v>108.66056724274401</v>
      </c>
      <c r="K7" s="102">
        <f>main!Q$40/1000</f>
        <v>44</v>
      </c>
      <c r="L7" s="102">
        <f>main!Q$42</f>
        <v>0</v>
      </c>
      <c r="M7" s="102">
        <f>main!Q$46/1000</f>
        <v>44</v>
      </c>
      <c r="N7">
        <v>59</v>
      </c>
      <c r="O7">
        <f>30600/1000</f>
        <v>30.6</v>
      </c>
      <c r="P7">
        <v>0</v>
      </c>
    </row>
    <row r="8" spans="1:16" x14ac:dyDescent="0.2">
      <c r="A8" s="188">
        <v>44561</v>
      </c>
      <c r="B8">
        <v>3.4835826617481018</v>
      </c>
      <c r="C8">
        <v>98.17289763461801</v>
      </c>
      <c r="D8">
        <v>-30.059208161437255</v>
      </c>
      <c r="E8">
        <v>23.39852299466142</v>
      </c>
      <c r="F8">
        <v>87.478881097366184</v>
      </c>
      <c r="G8">
        <v>157.47974440731628</v>
      </c>
      <c r="H8">
        <v>-498.7387987375219</v>
      </c>
      <c r="I8">
        <v>99.041886971004146</v>
      </c>
      <c r="K8" s="102">
        <f>main!R$40/1000</f>
        <v>44</v>
      </c>
      <c r="L8" s="102">
        <f>main!R$42</f>
        <v>0</v>
      </c>
      <c r="M8" s="102">
        <f>main!R$46/1000</f>
        <v>44</v>
      </c>
      <c r="N8">
        <v>59</v>
      </c>
      <c r="O8">
        <f>30600/1000</f>
        <v>30.6</v>
      </c>
      <c r="P8">
        <v>0</v>
      </c>
    </row>
    <row r="9" spans="1:16" x14ac:dyDescent="0.2">
      <c r="A9" s="188">
        <v>44651</v>
      </c>
      <c r="B9">
        <v>43.97718542213039</v>
      </c>
      <c r="C9">
        <v>83.866064612314361</v>
      </c>
      <c r="D9">
        <v>0</v>
      </c>
      <c r="E9">
        <v>0</v>
      </c>
      <c r="F9">
        <v>89.314644108300172</v>
      </c>
      <c r="G9">
        <v>158.70723906824014</v>
      </c>
      <c r="H9">
        <v>-547.1903606870228</v>
      </c>
      <c r="I9">
        <v>88.930859906418476</v>
      </c>
      <c r="K9" s="102">
        <f>main!S$40/1000</f>
        <v>44</v>
      </c>
      <c r="L9" s="102">
        <f>main!S$42</f>
        <v>0</v>
      </c>
      <c r="M9" s="102">
        <f>main!S$46/1000</f>
        <v>44</v>
      </c>
      <c r="N9">
        <v>59</v>
      </c>
      <c r="O9">
        <v>0</v>
      </c>
      <c r="P9">
        <v>0</v>
      </c>
    </row>
    <row r="10" spans="1:16" x14ac:dyDescent="0.2">
      <c r="A10" s="188">
        <v>44742</v>
      </c>
      <c r="B10">
        <v>43.386912896650671</v>
      </c>
      <c r="C10">
        <v>96.38873274839203</v>
      </c>
      <c r="D10">
        <v>0</v>
      </c>
      <c r="E10">
        <v>0</v>
      </c>
      <c r="F10">
        <v>91.150407119233932</v>
      </c>
      <c r="G10">
        <v>158.19073805116454</v>
      </c>
      <c r="H10">
        <v>-549.83002927139501</v>
      </c>
      <c r="I10">
        <v>85.160216065161137</v>
      </c>
      <c r="K10" s="102">
        <f>main!T$40/1000</f>
        <v>44</v>
      </c>
      <c r="L10" s="102">
        <f>main!T$42</f>
        <v>0</v>
      </c>
      <c r="M10" s="102">
        <f>main!T$46/1000</f>
        <v>44</v>
      </c>
      <c r="N10">
        <v>59</v>
      </c>
      <c r="O10">
        <v>0</v>
      </c>
      <c r="P10">
        <v>0</v>
      </c>
    </row>
    <row r="11" spans="1:16" x14ac:dyDescent="0.2">
      <c r="A11" s="188">
        <v>44834</v>
      </c>
      <c r="B11">
        <v>43.532650829534191</v>
      </c>
      <c r="C11">
        <v>108.23854020959135</v>
      </c>
      <c r="D11">
        <v>0</v>
      </c>
      <c r="E11">
        <v>0</v>
      </c>
      <c r="F11">
        <v>92.98617013016792</v>
      </c>
      <c r="G11">
        <v>155.25936244187733</v>
      </c>
      <c r="H11">
        <v>-552.4284100259805</v>
      </c>
      <c r="I11">
        <v>81.542527324679924</v>
      </c>
      <c r="K11" s="102">
        <f>main!U$40/1000</f>
        <v>44</v>
      </c>
      <c r="L11" s="102">
        <f>main!U$42</f>
        <v>0</v>
      </c>
      <c r="M11" s="102">
        <f>main!U$46/1000</f>
        <v>44</v>
      </c>
      <c r="N11">
        <v>59</v>
      </c>
      <c r="O11">
        <v>0</v>
      </c>
      <c r="P11">
        <v>0</v>
      </c>
    </row>
    <row r="12" spans="1:16" x14ac:dyDescent="0.2">
      <c r="A12" s="188">
        <v>44926</v>
      </c>
      <c r="B12">
        <v>43.061103417646535</v>
      </c>
      <c r="C12">
        <v>119.30558501006593</v>
      </c>
      <c r="D12">
        <v>0</v>
      </c>
      <c r="E12">
        <v>0</v>
      </c>
      <c r="F12">
        <v>93.742814174162959</v>
      </c>
      <c r="G12">
        <v>155.33284803552056</v>
      </c>
      <c r="H12">
        <v>-555.01027564865115</v>
      </c>
      <c r="I12">
        <v>69.661088956544148</v>
      </c>
      <c r="K12" s="102">
        <f>main!V$40/1000</f>
        <v>44</v>
      </c>
      <c r="L12" s="102">
        <f>main!V$42</f>
        <v>0</v>
      </c>
      <c r="M12" s="102">
        <f>main!V$46/1000</f>
        <v>44</v>
      </c>
      <c r="N12">
        <v>59</v>
      </c>
      <c r="O12">
        <v>0</v>
      </c>
      <c r="P12">
        <v>0</v>
      </c>
    </row>
    <row r="13" spans="1:16" x14ac:dyDescent="0.2">
      <c r="A13" s="188">
        <v>45016</v>
      </c>
      <c r="B13">
        <v>42.58955600575888</v>
      </c>
      <c r="C13">
        <v>130.18422882157338</v>
      </c>
      <c r="D13">
        <v>0</v>
      </c>
      <c r="E13">
        <v>0</v>
      </c>
      <c r="F13">
        <v>94.49945821815777</v>
      </c>
      <c r="G13">
        <v>155.5071465700205</v>
      </c>
      <c r="H13">
        <v>-557.58663622735014</v>
      </c>
      <c r="I13">
        <v>57.978172785671859</v>
      </c>
      <c r="K13" s="102">
        <v>44</v>
      </c>
      <c r="L13">
        <v>0</v>
      </c>
      <c r="M13">
        <v>44</v>
      </c>
      <c r="N13">
        <v>59</v>
      </c>
      <c r="O13">
        <v>0</v>
      </c>
      <c r="P13">
        <v>0</v>
      </c>
    </row>
    <row r="14" spans="1:16" x14ac:dyDescent="0.2">
      <c r="A14" s="188">
        <v>45107</v>
      </c>
      <c r="B14">
        <v>42.118008593871252</v>
      </c>
      <c r="C14">
        <v>141.6549900269753</v>
      </c>
      <c r="D14">
        <v>0</v>
      </c>
      <c r="E14">
        <v>0</v>
      </c>
      <c r="F14">
        <v>95.256102262153036</v>
      </c>
      <c r="G14">
        <v>155.75039098680099</v>
      </c>
      <c r="H14">
        <v>-560.17125437200662</v>
      </c>
      <c r="I14">
        <v>55.115350410659346</v>
      </c>
      <c r="K14" s="102">
        <v>0</v>
      </c>
      <c r="N14">
        <v>59</v>
      </c>
      <c r="O14">
        <v>0</v>
      </c>
      <c r="P14">
        <v>0</v>
      </c>
    </row>
    <row r="15" spans="1:16" x14ac:dyDescent="0.2">
      <c r="A15" s="188">
        <v>45199</v>
      </c>
      <c r="B15">
        <v>41.646461181983625</v>
      </c>
      <c r="C15">
        <v>153.07192237838635</v>
      </c>
      <c r="D15">
        <v>0</v>
      </c>
      <c r="E15">
        <v>0</v>
      </c>
      <c r="F15">
        <v>96.012746306147847</v>
      </c>
      <c r="G15">
        <v>156.19117934771998</v>
      </c>
      <c r="H15">
        <v>-562.78064521453507</v>
      </c>
      <c r="I15">
        <v>41.140887976761235</v>
      </c>
      <c r="K15" s="102">
        <v>0</v>
      </c>
      <c r="N15">
        <v>59</v>
      </c>
      <c r="O15">
        <v>0</v>
      </c>
      <c r="P15">
        <v>0</v>
      </c>
    </row>
    <row r="16" spans="1:16" x14ac:dyDescent="0.2">
      <c r="A16" s="188">
        <v>45291</v>
      </c>
      <c r="B16">
        <v>41.892765697166283</v>
      </c>
      <c r="C16">
        <v>152.92993797639971</v>
      </c>
      <c r="D16">
        <v>0</v>
      </c>
      <c r="E16">
        <v>0</v>
      </c>
      <c r="F16">
        <v>96.662356713410645</v>
      </c>
      <c r="G16">
        <v>157.82060816439548</v>
      </c>
      <c r="H16">
        <v>-565.41480875493562</v>
      </c>
      <c r="I16">
        <v>36.20171054730281</v>
      </c>
      <c r="K16" s="102">
        <v>0</v>
      </c>
      <c r="N16">
        <v>59</v>
      </c>
      <c r="O16">
        <v>0</v>
      </c>
      <c r="P16">
        <v>0</v>
      </c>
    </row>
    <row r="17" spans="1:16" x14ac:dyDescent="0.2">
      <c r="A17" s="188">
        <v>45382</v>
      </c>
      <c r="B17">
        <v>42.139070212348969</v>
      </c>
      <c r="C17">
        <v>153.110926698355</v>
      </c>
      <c r="D17">
        <v>0</v>
      </c>
      <c r="E17">
        <v>0</v>
      </c>
      <c r="F17">
        <v>97.311967120673444</v>
      </c>
      <c r="G17">
        <v>159.3837158227152</v>
      </c>
      <c r="H17">
        <v>-568.06548742725101</v>
      </c>
      <c r="I17">
        <v>36.828990157049986</v>
      </c>
      <c r="K17" s="102">
        <v>0</v>
      </c>
      <c r="N17">
        <v>59</v>
      </c>
      <c r="O17">
        <v>0</v>
      </c>
      <c r="P17">
        <v>0</v>
      </c>
    </row>
    <row r="18" spans="1:16" x14ac:dyDescent="0.2">
      <c r="A18" s="188">
        <v>45473</v>
      </c>
      <c r="B18">
        <v>42.385374727531683</v>
      </c>
      <c r="C18">
        <v>153.58797411725675</v>
      </c>
      <c r="D18">
        <v>0</v>
      </c>
      <c r="E18">
        <v>0</v>
      </c>
      <c r="F18">
        <v>97.96157752793647</v>
      </c>
      <c r="G18">
        <v>160.63759358658922</v>
      </c>
      <c r="H18">
        <v>-570.71066105559476</v>
      </c>
      <c r="I18">
        <v>37.463678233921371</v>
      </c>
      <c r="K18" s="102">
        <v>0</v>
      </c>
      <c r="N18">
        <v>59</v>
      </c>
      <c r="O18">
        <v>0</v>
      </c>
      <c r="P18">
        <v>0</v>
      </c>
    </row>
    <row r="19" spans="1:16" x14ac:dyDescent="0.2">
      <c r="A19" s="188">
        <v>45565</v>
      </c>
      <c r="B19">
        <v>42.631679242714398</v>
      </c>
      <c r="C19">
        <v>154.49565236808115</v>
      </c>
      <c r="D19">
        <v>0</v>
      </c>
      <c r="E19">
        <v>0</v>
      </c>
      <c r="F19">
        <v>98.611187935199268</v>
      </c>
      <c r="G19">
        <v>161.7019229101536</v>
      </c>
      <c r="H19">
        <v>-573.36409224989586</v>
      </c>
      <c r="I19">
        <v>38.110892014683543</v>
      </c>
      <c r="K19" s="102">
        <v>0</v>
      </c>
      <c r="N19">
        <v>59</v>
      </c>
      <c r="O19">
        <v>0</v>
      </c>
      <c r="P19">
        <v>0</v>
      </c>
    </row>
    <row r="20" spans="1:16" x14ac:dyDescent="0.2">
      <c r="A20" s="188">
        <v>45657</v>
      </c>
      <c r="B20">
        <v>43.265221193506562</v>
      </c>
      <c r="C20">
        <v>153.89533516396961</v>
      </c>
      <c r="D20">
        <v>0</v>
      </c>
      <c r="E20">
        <v>0</v>
      </c>
      <c r="F20">
        <v>101.02399416107778</v>
      </c>
      <c r="G20">
        <v>165.36037422478853</v>
      </c>
      <c r="H20">
        <v>-576.02302848816862</v>
      </c>
      <c r="I20">
        <v>38.157160115537408</v>
      </c>
      <c r="K20" s="102">
        <v>0</v>
      </c>
      <c r="N20">
        <v>59</v>
      </c>
      <c r="O20">
        <v>0</v>
      </c>
      <c r="P20">
        <v>0</v>
      </c>
    </row>
    <row r="21" spans="1:16" x14ac:dyDescent="0.2">
      <c r="A21" s="188">
        <v>45747</v>
      </c>
      <c r="B21">
        <v>43.898763144298727</v>
      </c>
      <c r="C21">
        <v>153.24118910586807</v>
      </c>
      <c r="D21">
        <v>0</v>
      </c>
      <c r="E21">
        <v>0</v>
      </c>
      <c r="F21">
        <v>103.43680038695607</v>
      </c>
      <c r="G21">
        <v>168.39490836958566</v>
      </c>
      <c r="H21">
        <v>-578.67921220445555</v>
      </c>
      <c r="I21">
        <v>38.208074215356021</v>
      </c>
      <c r="K21" s="102">
        <v>0</v>
      </c>
      <c r="N21">
        <v>59</v>
      </c>
      <c r="O21">
        <v>0</v>
      </c>
      <c r="P21">
        <v>0</v>
      </c>
    </row>
    <row r="22" spans="1:16" x14ac:dyDescent="0.2">
      <c r="A22" s="188">
        <v>45838</v>
      </c>
      <c r="B22">
        <v>44.532305095090919</v>
      </c>
      <c r="C22">
        <v>152.8023584637275</v>
      </c>
      <c r="D22">
        <v>0</v>
      </c>
      <c r="E22">
        <v>0</v>
      </c>
      <c r="F22">
        <v>105.84960661283435</v>
      </c>
      <c r="G22">
        <v>170.87673605644864</v>
      </c>
      <c r="H22">
        <v>-581.30236565691303</v>
      </c>
      <c r="I22">
        <v>38.264934161420854</v>
      </c>
      <c r="K22" s="102">
        <v>0</v>
      </c>
      <c r="N22">
        <v>59</v>
      </c>
      <c r="O22">
        <v>0</v>
      </c>
      <c r="P22">
        <v>0</v>
      </c>
    </row>
    <row r="23" spans="1:16" x14ac:dyDescent="0.2">
      <c r="A23" s="188">
        <v>45930</v>
      </c>
      <c r="B23">
        <v>45.165847045883083</v>
      </c>
      <c r="C23">
        <v>152.60575766454329</v>
      </c>
      <c r="D23">
        <v>0</v>
      </c>
      <c r="E23">
        <v>0</v>
      </c>
      <c r="F23">
        <v>108.26241283871263</v>
      </c>
      <c r="G23">
        <v>172.74637807665476</v>
      </c>
      <c r="H23">
        <v>-583.90625145546994</v>
      </c>
      <c r="I23">
        <v>38.326825369819289</v>
      </c>
      <c r="K23" s="102">
        <v>0</v>
      </c>
      <c r="N23">
        <v>59</v>
      </c>
      <c r="O23">
        <v>0</v>
      </c>
      <c r="P23">
        <v>0</v>
      </c>
    </row>
    <row r="24" spans="1:16" x14ac:dyDescent="0.2">
      <c r="A24" s="188">
        <v>46022</v>
      </c>
      <c r="B24">
        <v>45.796764232161422</v>
      </c>
      <c r="C24">
        <v>152.31820617542058</v>
      </c>
      <c r="D24">
        <v>0</v>
      </c>
      <c r="E24">
        <v>0</v>
      </c>
      <c r="F24">
        <v>110.06715577537625</v>
      </c>
      <c r="G24">
        <v>173.70686178614119</v>
      </c>
      <c r="H24">
        <v>-586.4908696001263</v>
      </c>
      <c r="I24">
        <v>38.401387580592541</v>
      </c>
      <c r="K24" s="102">
        <v>0</v>
      </c>
      <c r="N24">
        <v>59</v>
      </c>
      <c r="O24">
        <v>0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baseColWidth="10" defaultColWidth="10.83203125" defaultRowHeight="15" x14ac:dyDescent="0.2"/>
  <cols>
    <col min="4" max="4" width="11.1640625" bestFit="1" customWidth="1"/>
    <col min="10" max="23" width="12.6640625" bestFit="1" customWidth="1"/>
  </cols>
  <sheetData>
    <row r="1" spans="1:36" x14ac:dyDescent="0.2">
      <c r="D1" s="327" t="s">
        <v>21</v>
      </c>
      <c r="E1" s="327"/>
      <c r="F1" s="327"/>
      <c r="G1" s="327"/>
      <c r="H1" s="327" t="s">
        <v>9</v>
      </c>
      <c r="I1" s="327"/>
      <c r="J1" s="327"/>
      <c r="K1" s="327"/>
      <c r="L1" s="327" t="s">
        <v>10</v>
      </c>
      <c r="M1" s="327"/>
      <c r="N1" s="327"/>
      <c r="O1" s="327"/>
      <c r="P1" s="327" t="s">
        <v>11</v>
      </c>
      <c r="Q1" s="327"/>
      <c r="R1" s="327"/>
      <c r="S1" s="327"/>
      <c r="T1" s="327" t="s">
        <v>266</v>
      </c>
      <c r="U1" s="327"/>
      <c r="V1" s="327"/>
      <c r="W1" s="327"/>
    </row>
    <row r="2" spans="1:36" x14ac:dyDescent="0.2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2">
      <c r="A3" s="35" t="s">
        <v>14</v>
      </c>
      <c r="D3" s="197">
        <f>main!F34</f>
        <v>2220523</v>
      </c>
      <c r="E3" s="197">
        <f>main!G34</f>
        <v>2298792</v>
      </c>
      <c r="F3" s="197">
        <f>main!H34</f>
        <v>2315842</v>
      </c>
      <c r="G3" s="197">
        <f>main!I34</f>
        <v>2331428</v>
      </c>
      <c r="H3" s="197">
        <f>main!J34</f>
        <v>2347737</v>
      </c>
      <c r="I3" s="197">
        <f>main!K34</f>
        <v>2422546</v>
      </c>
      <c r="J3" s="197">
        <f>main!L34</f>
        <v>4815254</v>
      </c>
      <c r="K3" s="197">
        <f>main!M34</f>
        <v>3494888</v>
      </c>
      <c r="L3" s="255">
        <f>main!N34</f>
        <v>2925056</v>
      </c>
      <c r="M3" s="255">
        <f>main!O34</f>
        <v>3270456.7169724014</v>
      </c>
      <c r="N3" s="255">
        <f>main!P34</f>
        <v>2708796.7165770018</v>
      </c>
      <c r="O3" s="255">
        <f>main!Q34</f>
        <v>2611509.6718853824</v>
      </c>
      <c r="P3" s="255">
        <f>main!R34</f>
        <v>2678465.9441347551</v>
      </c>
      <c r="Q3" s="255">
        <f>main!S34</f>
        <v>2735176.6542439447</v>
      </c>
      <c r="R3" s="255">
        <f>main!T34</f>
        <v>2793300.2519227522</v>
      </c>
      <c r="S3" s="255">
        <f>main!U34</f>
        <v>2852876.3150512893</v>
      </c>
      <c r="T3" s="255">
        <f>main!V34</f>
        <v>0</v>
      </c>
      <c r="U3" s="255"/>
      <c r="V3" s="255"/>
      <c r="W3" s="255"/>
      <c r="AJ3" s="233"/>
    </row>
    <row r="4" spans="1:36" s="35" customFormat="1" x14ac:dyDescent="0.2">
      <c r="A4" s="35" t="s">
        <v>214</v>
      </c>
      <c r="D4" s="197">
        <f>main!F35</f>
        <v>753311</v>
      </c>
      <c r="E4" s="197">
        <f>main!G35</f>
        <v>767353</v>
      </c>
      <c r="F4" s="197">
        <f>main!H35</f>
        <v>779707</v>
      </c>
      <c r="G4" s="197">
        <f>main!I35</f>
        <v>789893</v>
      </c>
      <c r="H4" s="197">
        <f>main!J35</f>
        <v>797912</v>
      </c>
      <c r="I4" s="197">
        <f>main!K35</f>
        <v>804655</v>
      </c>
      <c r="J4" s="197">
        <f>main!L35</f>
        <v>824058</v>
      </c>
      <c r="K4" s="197">
        <f>main!M35</f>
        <v>842733</v>
      </c>
      <c r="L4" s="213">
        <f>main!N35</f>
        <v>860594</v>
      </c>
      <c r="M4" s="213">
        <f>main!O35</f>
        <v>883132.91447240114</v>
      </c>
      <c r="N4" s="213">
        <f>main!P35</f>
        <v>905947.84259575198</v>
      </c>
      <c r="O4" s="213">
        <f>main!Q35</f>
        <v>929042.16445899184</v>
      </c>
      <c r="P4" s="213">
        <f>main!R35</f>
        <v>971421.42409696849</v>
      </c>
      <c r="Q4" s="213">
        <f>main!S35</f>
        <v>1003186.4664055918</v>
      </c>
      <c r="R4" s="213">
        <f>main!T35</f>
        <v>1035990.2112668242</v>
      </c>
      <c r="S4" s="213">
        <f>main!U35</f>
        <v>1069866.6237855225</v>
      </c>
      <c r="T4" s="213">
        <f>main!V35</f>
        <v>1080647.7677858607</v>
      </c>
      <c r="U4" s="213">
        <f>main!W35</f>
        <v>1091537.5543621723</v>
      </c>
      <c r="V4" s="213">
        <f>main!X35</f>
        <v>1102537.0783156503</v>
      </c>
      <c r="W4" s="213">
        <f>main!Y35</f>
        <v>1113647.4454798999</v>
      </c>
      <c r="AJ4" s="233"/>
    </row>
    <row r="5" spans="1:36" s="35" customFormat="1" x14ac:dyDescent="0.2">
      <c r="A5" s="35" t="s">
        <v>15</v>
      </c>
      <c r="D5" s="197">
        <f>main!F96</f>
        <v>728844</v>
      </c>
      <c r="E5" s="197">
        <f>main!G96</f>
        <v>738714</v>
      </c>
      <c r="F5" s="197">
        <f>main!H96</f>
        <v>755204</v>
      </c>
      <c r="G5" s="197">
        <f>main!I96</f>
        <v>763370</v>
      </c>
      <c r="H5" s="197">
        <f>main!J96</f>
        <v>760967</v>
      </c>
      <c r="I5" s="197">
        <f>main!K96</f>
        <v>767087</v>
      </c>
      <c r="J5" s="197">
        <f>main!L96</f>
        <v>812158</v>
      </c>
      <c r="K5" s="197">
        <f>main!M96</f>
        <v>828480</v>
      </c>
      <c r="L5" s="262">
        <f>main!N96</f>
        <v>818740</v>
      </c>
      <c r="M5" s="262">
        <f>main!O96</f>
        <v>826217.16637022444</v>
      </c>
      <c r="N5" s="262">
        <f>main!P96</f>
        <v>830565.70168936846</v>
      </c>
      <c r="O5" s="262">
        <f>main!Q96</f>
        <v>831294.87392399344</v>
      </c>
      <c r="P5" s="262">
        <f>main!R96</f>
        <v>832394.10106769064</v>
      </c>
      <c r="Q5" s="262">
        <f>main!S96</f>
        <v>833870.72953072388</v>
      </c>
      <c r="R5" s="262">
        <f>main!T96</f>
        <v>835215.82925763074</v>
      </c>
      <c r="S5" s="262">
        <f>main!U96</f>
        <v>836647.31153580686</v>
      </c>
      <c r="T5" s="262">
        <f>main!V96</f>
        <v>838140.49563631811</v>
      </c>
      <c r="U5" s="262"/>
      <c r="V5" s="262"/>
      <c r="W5" s="262"/>
      <c r="AJ5" s="258"/>
    </row>
    <row r="6" spans="1:36" s="35" customFormat="1" x14ac:dyDescent="0.2">
      <c r="A6" s="35" t="s">
        <v>213</v>
      </c>
      <c r="D6" s="197">
        <f>main!F99</f>
        <v>589819</v>
      </c>
      <c r="E6" s="197">
        <f>main!G99</f>
        <v>599372</v>
      </c>
      <c r="F6" s="197">
        <f>main!H99</f>
        <v>614976</v>
      </c>
      <c r="G6" s="197">
        <f>main!I99</f>
        <v>622265</v>
      </c>
      <c r="H6" s="197">
        <f>main!J99</f>
        <v>619632</v>
      </c>
      <c r="I6" s="197">
        <f>main!K99</f>
        <v>624096</v>
      </c>
      <c r="J6" s="197">
        <f>main!L99</f>
        <v>668823</v>
      </c>
      <c r="K6" s="197">
        <f>main!M99</f>
        <v>683703</v>
      </c>
      <c r="L6" s="35">
        <f>main!N99</f>
        <v>673632</v>
      </c>
      <c r="M6" s="35">
        <f>main!O99</f>
        <v>680746.39637022442</v>
      </c>
      <c r="N6" s="35">
        <f>main!P99</f>
        <v>684731.25476436852</v>
      </c>
      <c r="O6" s="35">
        <f>main!Q99</f>
        <v>684731.25476436852</v>
      </c>
      <c r="P6" s="35">
        <f>main!R99</f>
        <v>684731.25476436852</v>
      </c>
      <c r="Q6" s="35">
        <f>main!S99</f>
        <v>684731.25476436852</v>
      </c>
      <c r="R6" s="35">
        <f>main!T99</f>
        <v>684731.25476436852</v>
      </c>
      <c r="S6" s="35">
        <f>main!U99</f>
        <v>684731.25476436852</v>
      </c>
      <c r="T6" s="35">
        <f>main!V99</f>
        <v>684731.25476436852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baseColWidth="10" defaultColWidth="10.83203125" defaultRowHeight="15" x14ac:dyDescent="0.2"/>
  <cols>
    <col min="2" max="2" width="25.1640625" customWidth="1"/>
    <col min="7" max="7" width="10.83203125" style="146"/>
    <col min="11" max="11" width="10.83203125" style="146"/>
    <col min="15" max="15" width="10.83203125" style="146"/>
    <col min="19" max="19" width="10.83203125" style="146"/>
    <col min="23" max="23" width="10.83203125" style="146"/>
    <col min="27" max="27" width="12.1640625" style="146" bestFit="1" customWidth="1"/>
  </cols>
  <sheetData>
    <row r="1" spans="1:27" ht="19" x14ac:dyDescent="0.25">
      <c r="A1" s="335" t="s">
        <v>207</v>
      </c>
      <c r="B1" s="336"/>
      <c r="C1" s="35"/>
      <c r="I1" s="240"/>
      <c r="J1" s="343" t="s">
        <v>280</v>
      </c>
      <c r="V1" s="327"/>
      <c r="W1" s="327"/>
      <c r="X1" s="327"/>
      <c r="Y1" s="327"/>
    </row>
    <row r="2" spans="1:27" x14ac:dyDescent="0.2">
      <c r="A2" s="337" t="s">
        <v>191</v>
      </c>
      <c r="B2" s="126"/>
      <c r="C2" t="s">
        <v>192</v>
      </c>
      <c r="H2" s="95"/>
      <c r="I2" s="241"/>
      <c r="J2" s="343"/>
    </row>
    <row r="3" spans="1:27" x14ac:dyDescent="0.2">
      <c r="A3" s="338"/>
      <c r="B3" s="127"/>
      <c r="C3" t="s">
        <v>193</v>
      </c>
      <c r="H3" s="95"/>
      <c r="I3" s="241"/>
      <c r="J3" s="343"/>
    </row>
    <row r="4" spans="1:27" x14ac:dyDescent="0.2">
      <c r="A4" s="338"/>
      <c r="B4" s="128"/>
      <c r="C4" t="s">
        <v>194</v>
      </c>
      <c r="H4" s="95"/>
      <c r="I4" s="95"/>
      <c r="J4" s="95"/>
    </row>
    <row r="5" spans="1:27" x14ac:dyDescent="0.2">
      <c r="A5" s="339"/>
      <c r="B5" s="129"/>
      <c r="C5" t="s">
        <v>181</v>
      </c>
      <c r="H5" s="95"/>
      <c r="I5" s="95"/>
      <c r="J5" s="95"/>
    </row>
    <row r="6" spans="1:27" x14ac:dyDescent="0.2">
      <c r="H6" s="95"/>
      <c r="I6" s="95"/>
      <c r="J6" s="95"/>
    </row>
    <row r="7" spans="1:27" x14ac:dyDescent="0.2">
      <c r="C7" s="340" t="s">
        <v>160</v>
      </c>
      <c r="D7" s="341"/>
      <c r="E7" s="341"/>
      <c r="F7" s="342"/>
      <c r="G7" s="340" t="s">
        <v>165</v>
      </c>
      <c r="H7" s="341"/>
      <c r="I7" s="341"/>
      <c r="J7" s="342"/>
      <c r="K7" s="340" t="s">
        <v>176</v>
      </c>
      <c r="L7" s="341"/>
      <c r="M7" s="341"/>
      <c r="N7" s="341"/>
      <c r="O7" s="340" t="s">
        <v>270</v>
      </c>
      <c r="P7" s="341"/>
      <c r="Q7" s="341"/>
      <c r="R7" s="341"/>
      <c r="S7" s="340" t="s">
        <v>274</v>
      </c>
      <c r="T7" s="341"/>
      <c r="U7" s="341"/>
      <c r="V7" s="341"/>
      <c r="W7" s="340" t="s">
        <v>275</v>
      </c>
      <c r="X7" s="341"/>
      <c r="Y7" s="341"/>
      <c r="Z7" s="341"/>
      <c r="AA7" s="222" t="s">
        <v>276</v>
      </c>
    </row>
    <row r="8" spans="1:27" s="257" customFormat="1" x14ac:dyDescent="0.2">
      <c r="B8" s="257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9" x14ac:dyDescent="0.2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170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ht="16" x14ac:dyDescent="0.2">
      <c r="B11" s="86" t="s">
        <v>171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ht="16" x14ac:dyDescent="0.2">
      <c r="B12" s="86" t="s">
        <v>172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ht="16" x14ac:dyDescent="0.2">
      <c r="B13" s="86" t="s">
        <v>173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ht="16" x14ac:dyDescent="0.2">
      <c r="B14" s="86" t="s">
        <v>174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ht="16" x14ac:dyDescent="0.2">
      <c r="B15" s="86" t="s">
        <v>175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ht="16" x14ac:dyDescent="0.2">
      <c r="B16" s="86" t="s">
        <v>166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ht="16" x14ac:dyDescent="0.2">
      <c r="B17" s="86" t="s">
        <v>167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ht="16" x14ac:dyDescent="0.2">
      <c r="B18" s="86" t="s">
        <v>168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ht="16" x14ac:dyDescent="0.2">
      <c r="B19" s="86" t="s">
        <v>169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2">
      <c r="B20" t="s">
        <v>195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2">
      <c r="H21" s="95"/>
      <c r="I21" s="95"/>
      <c r="J21" s="95"/>
    </row>
    <row r="22" spans="1:28" x14ac:dyDescent="0.2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184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184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680.74639637022437</v>
      </c>
      <c r="I24" s="102">
        <f>main_nipas!N6/1000</f>
        <v>684.73125476436849</v>
      </c>
      <c r="J24" s="102">
        <f>main_nipas!O6/1000</f>
        <v>684.73125476436849</v>
      </c>
      <c r="K24" s="149">
        <f>main_nipas!P6/1000</f>
        <v>684.73125476436849</v>
      </c>
      <c r="L24" s="102">
        <f>main_nipas!Q6/1000</f>
        <v>684.73125476436849</v>
      </c>
      <c r="M24" s="102">
        <f>main_nipas!R6/1000</f>
        <v>684.73125476436849</v>
      </c>
      <c r="N24" s="102">
        <f>M24*(1+N26)</f>
        <v>677.70588317735701</v>
      </c>
      <c r="O24" s="149">
        <f t="shared" ref="O24:AA24" si="0">N24*(1+O26)</f>
        <v>670.74946181856797</v>
      </c>
      <c r="P24" s="102">
        <f t="shared" si="0"/>
        <v>663.79304045977881</v>
      </c>
      <c r="Q24" s="102">
        <f t="shared" si="0"/>
        <v>656.83661910098954</v>
      </c>
      <c r="R24" s="102">
        <f t="shared" si="0"/>
        <v>649.88019774220038</v>
      </c>
      <c r="S24" s="149">
        <f t="shared" si="0"/>
        <v>657.2033686482481</v>
      </c>
      <c r="T24" s="102">
        <f t="shared" si="0"/>
        <v>664.52653955429582</v>
      </c>
      <c r="U24" s="102">
        <f t="shared" si="0"/>
        <v>671.84971046034354</v>
      </c>
      <c r="V24" s="102">
        <f t="shared" si="0"/>
        <v>679.17288136639127</v>
      </c>
      <c r="W24" s="149">
        <f t="shared" si="0"/>
        <v>688.44964207207067</v>
      </c>
      <c r="X24" s="102">
        <f t="shared" si="0"/>
        <v>697.72640277774997</v>
      </c>
      <c r="Y24" s="102">
        <f t="shared" si="0"/>
        <v>707.00316348342949</v>
      </c>
      <c r="Z24" s="102">
        <f t="shared" si="0"/>
        <v>716.2799241891089</v>
      </c>
      <c r="AA24" s="149">
        <f t="shared" si="0"/>
        <v>725.93328447465001</v>
      </c>
      <c r="AB24" s="95"/>
    </row>
    <row r="25" spans="1:28" x14ac:dyDescent="0.2">
      <c r="B25" t="s">
        <v>177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15">
      <c r="B26" s="210" t="s">
        <v>278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2">
      <c r="B27" s="99" t="s">
        <v>178</v>
      </c>
      <c r="D27" s="103"/>
      <c r="E27" s="217"/>
      <c r="F27" s="217">
        <f t="shared" ref="F27:AA27" si="3">F24-F25</f>
        <v>-15.297000000000025</v>
      </c>
      <c r="G27" s="150">
        <f t="shared" si="3"/>
        <v>-52.043157750019304</v>
      </c>
      <c r="H27" s="217">
        <f t="shared" si="3"/>
        <v>-71.603919129814244</v>
      </c>
      <c r="I27" s="217">
        <f t="shared" si="3"/>
        <v>-94.294218485689498</v>
      </c>
      <c r="J27" s="217">
        <f t="shared" si="3"/>
        <v>-120.96937623570864</v>
      </c>
      <c r="K27" s="150">
        <f t="shared" si="3"/>
        <v>-112.94970037929011</v>
      </c>
      <c r="L27" s="217">
        <f t="shared" si="3"/>
        <v>-104.93002452287169</v>
      </c>
      <c r="M27" s="239">
        <f t="shared" si="3"/>
        <v>-96.910348666453274</v>
      </c>
      <c r="N27" s="217">
        <f t="shared" si="3"/>
        <v>-95.916044397046221</v>
      </c>
      <c r="O27" s="150">
        <f t="shared" si="3"/>
        <v>-94.931498687090198</v>
      </c>
      <c r="P27" s="217">
        <f t="shared" si="3"/>
        <v>-93.946952977134174</v>
      </c>
      <c r="Q27" s="217">
        <f t="shared" si="3"/>
        <v>-92.962407267178264</v>
      </c>
      <c r="R27" s="217">
        <f t="shared" si="3"/>
        <v>-91.977861557222354</v>
      </c>
      <c r="S27" s="150">
        <f t="shared" si="3"/>
        <v>-93.014313509592057</v>
      </c>
      <c r="T27" s="217">
        <f t="shared" si="3"/>
        <v>-94.05076546196176</v>
      </c>
      <c r="U27" s="217">
        <f t="shared" si="3"/>
        <v>-95.087217414331576</v>
      </c>
      <c r="V27" s="217">
        <f t="shared" si="3"/>
        <v>-96.123669366701392</v>
      </c>
      <c r="W27" s="150">
        <f t="shared" si="3"/>
        <v>-97.436613836852644</v>
      </c>
      <c r="X27" s="217">
        <f t="shared" si="3"/>
        <v>-98.749558307004008</v>
      </c>
      <c r="Y27" s="217">
        <f t="shared" si="3"/>
        <v>-100.06250277715526</v>
      </c>
      <c r="Z27" s="217">
        <f t="shared" si="3"/>
        <v>-101.37544724730662</v>
      </c>
      <c r="AA27" s="150">
        <f t="shared" si="3"/>
        <v>-102.74169203979329</v>
      </c>
      <c r="AB27" s="24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187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187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826.21716637022439</v>
      </c>
      <c r="I31" s="104">
        <f>main_nipas!N5/1000</f>
        <v>830.56570168936844</v>
      </c>
      <c r="J31" s="104">
        <f>main_nipas!O5/1000</f>
        <v>831.29487392399346</v>
      </c>
      <c r="K31" s="149">
        <f>main_nipas!P5/1000</f>
        <v>832.3941010676906</v>
      </c>
      <c r="L31" s="104">
        <f>main_nipas!Q5/1000</f>
        <v>833.87072953072391</v>
      </c>
      <c r="M31" s="104">
        <f>L31*(1 + M33)</f>
        <v>1013.9264125742985</v>
      </c>
      <c r="N31" s="104">
        <f t="shared" ref="N31:AA31" si="4">M31*(1 + N33)</f>
        <v>1184.4975109638447</v>
      </c>
      <c r="O31" s="149">
        <f t="shared" si="4"/>
        <v>1344.0001397267108</v>
      </c>
      <c r="P31" s="104">
        <f t="shared" si="4"/>
        <v>1500.8470847864478</v>
      </c>
      <c r="Q31" s="104">
        <f t="shared" si="4"/>
        <v>1666.0404643417328</v>
      </c>
      <c r="R31" s="104">
        <f t="shared" si="4"/>
        <v>1830.475077124695</v>
      </c>
      <c r="S31" s="149">
        <f t="shared" si="4"/>
        <v>1824.7864773921826</v>
      </c>
      <c r="T31" s="104">
        <f t="shared" si="4"/>
        <v>1823.6504782936083</v>
      </c>
      <c r="U31" s="104">
        <f t="shared" si="4"/>
        <v>1826.6876964428034</v>
      </c>
      <c r="V31" s="104">
        <f t="shared" si="4"/>
        <v>1835.7950487705809</v>
      </c>
      <c r="W31" s="149">
        <f t="shared" si="4"/>
        <v>1822.6622022475669</v>
      </c>
      <c r="X31" s="104">
        <f t="shared" si="4"/>
        <v>1808.7705889522304</v>
      </c>
      <c r="Y31" s="104">
        <f t="shared" si="4"/>
        <v>1797.914042746183</v>
      </c>
      <c r="Z31" s="104">
        <f t="shared" si="4"/>
        <v>1790.471947015586</v>
      </c>
      <c r="AA31" s="149">
        <f t="shared" si="4"/>
        <v>1781.5582013467781</v>
      </c>
      <c r="AB31" s="95"/>
    </row>
    <row r="32" spans="1:28" x14ac:dyDescent="0.2">
      <c r="B32" t="s">
        <v>177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15">
      <c r="B33" s="210" t="s">
        <v>278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2">
      <c r="B34" s="99" t="s">
        <v>178</v>
      </c>
      <c r="D34" s="103"/>
      <c r="E34" s="217"/>
      <c r="F34" s="217">
        <f t="shared" ref="F34:AA34" si="7">F31-F32</f>
        <v>683.88</v>
      </c>
      <c r="G34" s="150">
        <f t="shared" si="7"/>
        <v>698.70615775001932</v>
      </c>
      <c r="H34" s="217">
        <f t="shared" si="7"/>
        <v>730.74420937026309</v>
      </c>
      <c r="I34" s="217">
        <f t="shared" si="7"/>
        <v>759.64834425817651</v>
      </c>
      <c r="J34" s="217">
        <f t="shared" si="7"/>
        <v>782.80296008941457</v>
      </c>
      <c r="K34" s="150">
        <f t="shared" si="7"/>
        <v>769.47606729043321</v>
      </c>
      <c r="L34" s="239">
        <f t="shared" si="7"/>
        <v>754.32703000783897</v>
      </c>
      <c r="M34" s="217">
        <f t="shared" si="7"/>
        <v>917.20703504498442</v>
      </c>
      <c r="N34" s="217">
        <f t="shared" si="7"/>
        <v>1071.5071987235567</v>
      </c>
      <c r="O34" s="150">
        <f t="shared" si="7"/>
        <v>1215.7947243222145</v>
      </c>
      <c r="P34" s="150">
        <f t="shared" si="7"/>
        <v>1357.6798943404706</v>
      </c>
      <c r="Q34" s="150">
        <f t="shared" si="7"/>
        <v>1507.1153247542738</v>
      </c>
      <c r="R34" s="150">
        <f t="shared" si="7"/>
        <v>1655.8643678593908</v>
      </c>
      <c r="S34" s="150">
        <f t="shared" si="7"/>
        <v>1650.7184089125594</v>
      </c>
      <c r="T34" s="150">
        <f t="shared" si="7"/>
        <v>1649.690773817847</v>
      </c>
      <c r="U34" s="150">
        <f t="shared" si="7"/>
        <v>1652.4382689209042</v>
      </c>
      <c r="V34" s="150">
        <f t="shared" si="7"/>
        <v>1660.6768624934516</v>
      </c>
      <c r="W34" s="150">
        <f t="shared" si="7"/>
        <v>1648.7967703371664</v>
      </c>
      <c r="X34" s="150">
        <f t="shared" si="7"/>
        <v>1636.2302908721949</v>
      </c>
      <c r="Y34" s="150">
        <f t="shared" si="7"/>
        <v>1626.4093606419667</v>
      </c>
      <c r="Z34" s="150">
        <f t="shared" si="7"/>
        <v>1619.6771733008252</v>
      </c>
      <c r="AA34" s="150">
        <f t="shared" si="7"/>
        <v>1611.6137180691239</v>
      </c>
      <c r="AB34" s="244"/>
    </row>
    <row r="35" spans="1:28" s="97" customFormat="1" x14ac:dyDescent="0.2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2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9" x14ac:dyDescent="0.25">
      <c r="A37" s="105" t="s">
        <v>188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188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883.13291447240113</v>
      </c>
      <c r="I38" s="104">
        <f>main_nipas!N4/1000</f>
        <v>905.94784259575204</v>
      </c>
      <c r="J38" s="104">
        <f>main_nipas!O4/1000</f>
        <v>929.04216445899181</v>
      </c>
      <c r="K38" s="149">
        <f t="shared" ref="K38:AA38" si="8">J38*(1+K40)</f>
        <v>975.95103026212053</v>
      </c>
      <c r="L38" s="149">
        <f t="shared" si="8"/>
        <v>1022.8598960652491</v>
      </c>
      <c r="M38" s="149">
        <f t="shared" si="8"/>
        <v>1069.7687618683776</v>
      </c>
      <c r="N38" s="149">
        <f t="shared" si="8"/>
        <v>1116.6776276715061</v>
      </c>
      <c r="O38" s="149">
        <f t="shared" si="8"/>
        <v>1128.101730223234</v>
      </c>
      <c r="P38" s="149">
        <f t="shared" si="8"/>
        <v>1139.5258327749618</v>
      </c>
      <c r="Q38" s="149">
        <f t="shared" si="8"/>
        <v>1150.9499353266897</v>
      </c>
      <c r="R38" s="149">
        <f t="shared" si="8"/>
        <v>1162.3740378784175</v>
      </c>
      <c r="S38" s="149">
        <f t="shared" si="8"/>
        <v>1169.0137166437935</v>
      </c>
      <c r="T38" s="149">
        <f t="shared" si="8"/>
        <v>1175.6533954091694</v>
      </c>
      <c r="U38" s="149">
        <f t="shared" si="8"/>
        <v>1182.2930741745452</v>
      </c>
      <c r="V38" s="149">
        <f t="shared" si="8"/>
        <v>1188.9327529399211</v>
      </c>
      <c r="W38" s="149">
        <f t="shared" si="8"/>
        <v>1223.7968031773141</v>
      </c>
      <c r="X38" s="149">
        <f t="shared" si="8"/>
        <v>1258.660853414706</v>
      </c>
      <c r="Y38" s="149">
        <f t="shared" si="8"/>
        <v>1293.5249036520981</v>
      </c>
      <c r="Z38" s="149">
        <f t="shared" si="8"/>
        <v>1328.38895388949</v>
      </c>
      <c r="AA38" s="149">
        <f t="shared" si="8"/>
        <v>1351.8905713062136</v>
      </c>
      <c r="AB38" s="95"/>
    </row>
    <row r="39" spans="1:28" x14ac:dyDescent="0.2">
      <c r="B39" t="s">
        <v>177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15">
      <c r="B40" s="210" t="s">
        <v>278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2">
      <c r="B41" s="99" t="s">
        <v>178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66.012511731550148</v>
      </c>
      <c r="I41" s="217">
        <f t="shared" si="11"/>
        <v>101.61723848447548</v>
      </c>
      <c r="J41" s="239">
        <f t="shared" si="11"/>
        <v>137.50135897728978</v>
      </c>
      <c r="K41" s="150">
        <f t="shared" si="11"/>
        <v>144.44402858127864</v>
      </c>
      <c r="L41" s="217">
        <f t="shared" si="11"/>
        <v>151.38669818526751</v>
      </c>
      <c r="M41" s="217">
        <f t="shared" si="11"/>
        <v>158.32936778925637</v>
      </c>
      <c r="N41" s="217">
        <f t="shared" si="11"/>
        <v>165.27203739324511</v>
      </c>
      <c r="O41" s="150">
        <f t="shared" si="11"/>
        <v>166.96284291968027</v>
      </c>
      <c r="P41" s="217">
        <f t="shared" si="11"/>
        <v>168.65364844611543</v>
      </c>
      <c r="Q41" s="217">
        <f t="shared" si="11"/>
        <v>170.34445397255058</v>
      </c>
      <c r="R41" s="217">
        <f t="shared" si="11"/>
        <v>172.03525949898574</v>
      </c>
      <c r="S41" s="150">
        <f t="shared" si="11"/>
        <v>173.01795424453962</v>
      </c>
      <c r="T41" s="217">
        <f t="shared" si="11"/>
        <v>174.0006489900934</v>
      </c>
      <c r="U41" s="217">
        <f t="shared" si="11"/>
        <v>174.98334373564717</v>
      </c>
      <c r="V41" s="217">
        <f t="shared" si="11"/>
        <v>175.96603848120105</v>
      </c>
      <c r="W41" s="150">
        <f t="shared" si="11"/>
        <v>181.12603494905306</v>
      </c>
      <c r="X41" s="217">
        <f t="shared" si="11"/>
        <v>186.28603141690496</v>
      </c>
      <c r="Y41" s="217">
        <f t="shared" si="11"/>
        <v>191.44602788475709</v>
      </c>
      <c r="Z41" s="217">
        <f t="shared" si="11"/>
        <v>196.60602435260898</v>
      </c>
      <c r="AA41" s="150">
        <f t="shared" si="11"/>
        <v>200.08434262123751</v>
      </c>
      <c r="AB41" s="244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2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9" x14ac:dyDescent="0.25">
      <c r="A44" s="105" t="s">
        <v>189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ht="16" x14ac:dyDescent="0.2">
      <c r="B45" s="86" t="s">
        <v>189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3270.4567169724014</v>
      </c>
      <c r="I45" s="102">
        <f>main_nipas!N3/1000</f>
        <v>2708.7967165770019</v>
      </c>
      <c r="J45" s="102">
        <f>main_nipas!O3/1000</f>
        <v>2611.5096718853824</v>
      </c>
      <c r="K45" s="263">
        <f>main_nipas!P3/1000</f>
        <v>2678.4659441347549</v>
      </c>
      <c r="L45" s="104">
        <f>K45*(1+L47)</f>
        <v>2705.5862740878774</v>
      </c>
      <c r="M45" s="104">
        <f t="shared" ref="M45:AA45" si="12">L45*(1+M47)</f>
        <v>2704.7609300180629</v>
      </c>
      <c r="N45" s="104">
        <f t="shared" si="12"/>
        <v>2665.2397915655642</v>
      </c>
      <c r="O45" s="104">
        <f t="shared" si="12"/>
        <v>2668.2319318700488</v>
      </c>
      <c r="P45" s="104">
        <f t="shared" si="12"/>
        <v>2672.8394922228958</v>
      </c>
      <c r="Q45" s="104">
        <f t="shared" si="12"/>
        <v>2678.5518369371657</v>
      </c>
      <c r="R45" s="104">
        <f t="shared" si="12"/>
        <v>2687.4296130442599</v>
      </c>
      <c r="S45" s="104">
        <f t="shared" si="12"/>
        <v>2714.5941259926144</v>
      </c>
      <c r="T45" s="104">
        <f t="shared" si="12"/>
        <v>2740.6959129860525</v>
      </c>
      <c r="U45" s="104">
        <f t="shared" si="12"/>
        <v>2761.8426201376674</v>
      </c>
      <c r="V45" s="104">
        <f t="shared" si="12"/>
        <v>2779.9520153329941</v>
      </c>
      <c r="W45" s="104">
        <f t="shared" si="12"/>
        <v>2844.112631221165</v>
      </c>
      <c r="X45" s="104">
        <f t="shared" si="12"/>
        <v>2898.2756387060926</v>
      </c>
      <c r="Y45" s="104">
        <f t="shared" si="12"/>
        <v>2943.5821136326804</v>
      </c>
      <c r="Z45" s="104">
        <f t="shared" si="12"/>
        <v>2979.0789650047236</v>
      </c>
      <c r="AA45" s="104">
        <f t="shared" si="12"/>
        <v>2998.2027061270114</v>
      </c>
      <c r="AB45" s="95"/>
    </row>
    <row r="46" spans="1:28" x14ac:dyDescent="0.2">
      <c r="B46" t="s">
        <v>177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15">
      <c r="B47" s="210" t="s">
        <v>278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2">
      <c r="B48" s="99" t="s">
        <v>178</v>
      </c>
      <c r="D48" s="103"/>
      <c r="E48" s="217"/>
      <c r="F48" s="217">
        <f t="shared" ref="F48:AA48" si="30">F45-F46</f>
        <v>823.78800000000001</v>
      </c>
      <c r="G48" s="150">
        <f t="shared" si="30"/>
        <v>591.06441309996126</v>
      </c>
      <c r="H48" s="217">
        <f t="shared" si="30"/>
        <v>1201.8936191406992</v>
      </c>
      <c r="I48" s="217">
        <f t="shared" si="30"/>
        <v>854.05661636033483</v>
      </c>
      <c r="J48" s="217">
        <f t="shared" si="30"/>
        <v>906.03001879956446</v>
      </c>
      <c r="K48" s="264">
        <f t="shared" si="30"/>
        <v>926.50683572140088</v>
      </c>
      <c r="L48" s="217">
        <f t="shared" si="30"/>
        <v>935.88801570004148</v>
      </c>
      <c r="M48" s="217">
        <f t="shared" si="30"/>
        <v>935.60252133929384</v>
      </c>
      <c r="N48" s="217">
        <f t="shared" si="30"/>
        <v>921.93178379942924</v>
      </c>
      <c r="O48" s="150">
        <f t="shared" si="30"/>
        <v>922.96679357866992</v>
      </c>
      <c r="P48" s="217">
        <f t="shared" si="30"/>
        <v>924.56059251132388</v>
      </c>
      <c r="Q48" s="217">
        <f t="shared" si="30"/>
        <v>926.53654685838478</v>
      </c>
      <c r="R48" s="217">
        <f t="shared" si="30"/>
        <v>929.6074540197169</v>
      </c>
      <c r="S48" s="150">
        <f t="shared" si="30"/>
        <v>939.00391731648051</v>
      </c>
      <c r="T48" s="217">
        <f t="shared" si="30"/>
        <v>948.03277360151947</v>
      </c>
      <c r="U48" s="217">
        <f t="shared" si="30"/>
        <v>955.34762065860946</v>
      </c>
      <c r="V48" s="217">
        <f t="shared" si="30"/>
        <v>961.61183263262797</v>
      </c>
      <c r="W48" s="150">
        <f t="shared" si="30"/>
        <v>983.80559967852105</v>
      </c>
      <c r="X48" s="217">
        <f t="shared" si="30"/>
        <v>1002.5410989249847</v>
      </c>
      <c r="Y48" s="217">
        <f t="shared" si="30"/>
        <v>1018.2130393556045</v>
      </c>
      <c r="Z48" s="217">
        <f t="shared" si="30"/>
        <v>1030.4917377332347</v>
      </c>
      <c r="AA48" s="150">
        <f t="shared" si="30"/>
        <v>1037.1068216073324</v>
      </c>
      <c r="AB48" s="244"/>
    </row>
    <row r="49" spans="2:28" s="97" customFormat="1" x14ac:dyDescent="0.2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2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baseColWidth="10" defaultColWidth="10.83203125" defaultRowHeight="15" x14ac:dyDescent="0.2"/>
  <cols>
    <col min="1" max="1" width="10.5" bestFit="1" customWidth="1"/>
    <col min="2" max="2" width="23.1640625" bestFit="1" customWidth="1"/>
    <col min="3" max="3" width="23.5" bestFit="1" customWidth="1"/>
    <col min="4" max="4" width="23" bestFit="1" customWidth="1"/>
    <col min="5" max="5" width="24.33203125" bestFit="1" customWidth="1"/>
    <col min="6" max="6" width="25.1640625" bestFit="1" customWidth="1"/>
    <col min="7" max="7" width="25.5" bestFit="1" customWidth="1"/>
    <col min="8" max="8" width="20.5" bestFit="1" customWidth="1"/>
    <col min="9" max="9" width="18.33203125" customWidth="1"/>
  </cols>
  <sheetData>
    <row r="1" spans="1:9" x14ac:dyDescent="0.2">
      <c r="A1" s="259" t="s">
        <v>256</v>
      </c>
      <c r="B1" s="259" t="s">
        <v>249</v>
      </c>
      <c r="C1" s="259" t="s">
        <v>250</v>
      </c>
      <c r="D1" s="259" t="s">
        <v>251</v>
      </c>
      <c r="E1" s="259" t="s">
        <v>252</v>
      </c>
      <c r="F1" s="259" t="s">
        <v>253</v>
      </c>
      <c r="G1" s="259" t="s">
        <v>254</v>
      </c>
      <c r="H1" s="259" t="s">
        <v>255</v>
      </c>
      <c r="I1" s="259" t="s">
        <v>287</v>
      </c>
    </row>
    <row r="2" spans="1:9" x14ac:dyDescent="0.2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4.8999999999978172E-2</v>
      </c>
      <c r="E2" s="259">
        <f t="array" ref="E2:E23">TRANSPOSE('add-ons calculations'!F43:AA43)</f>
        <v>0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0.57999999999992724</v>
      </c>
      <c r="I2" s="259">
        <f t="array" ref="I2:I23">TRANSPOSE('add-ons calculations'!F71:AA71)</f>
        <v>0</v>
      </c>
    </row>
    <row r="3" spans="1:9" x14ac:dyDescent="0.2">
      <c r="A3" s="260">
        <v>44196</v>
      </c>
      <c r="B3" s="259">
        <v>-52.043157750019304</v>
      </c>
      <c r="C3" s="259">
        <v>698.70615775001932</v>
      </c>
      <c r="D3" s="259">
        <v>-19.250999999999976</v>
      </c>
      <c r="E3" s="259">
        <v>22.484070765805583</v>
      </c>
      <c r="F3" s="259">
        <v>30.68379862957454</v>
      </c>
      <c r="G3" s="259">
        <v>591.06441309996126</v>
      </c>
      <c r="H3" s="259">
        <v>0.63599999999996726</v>
      </c>
      <c r="I3" s="259">
        <v>0</v>
      </c>
    </row>
    <row r="4" spans="1:9" x14ac:dyDescent="0.2">
      <c r="A4" s="260">
        <v>44286</v>
      </c>
      <c r="B4" s="259">
        <v>-71.603919129814244</v>
      </c>
      <c r="C4" s="259">
        <v>730.74420937026309</v>
      </c>
      <c r="D4" s="259">
        <v>-18.249119132365195</v>
      </c>
      <c r="E4" s="259">
        <v>22.921577670592825</v>
      </c>
      <c r="F4" s="259">
        <v>66.012511731550148</v>
      </c>
      <c r="G4" s="259">
        <v>1201.8936191406992</v>
      </c>
      <c r="H4" s="259">
        <v>181.40020106674513</v>
      </c>
      <c r="I4" s="259">
        <v>89.587913196559953</v>
      </c>
    </row>
    <row r="5" spans="1:9" x14ac:dyDescent="0.2">
      <c r="A5" s="260">
        <v>44377</v>
      </c>
      <c r="B5" s="259">
        <v>-94.294218485689498</v>
      </c>
      <c r="C5" s="259">
        <v>759.64834425817651</v>
      </c>
      <c r="D5" s="259">
        <v>-29.295528487588854</v>
      </c>
      <c r="E5" s="259">
        <v>22.760036045087944</v>
      </c>
      <c r="F5" s="259">
        <v>101.61723848447548</v>
      </c>
      <c r="G5" s="259">
        <v>854.05661636033483</v>
      </c>
      <c r="H5" s="259">
        <v>178.52885638089663</v>
      </c>
      <c r="I5" s="259">
        <v>91.189857921281316</v>
      </c>
    </row>
    <row r="6" spans="1:9" x14ac:dyDescent="0.2">
      <c r="A6" s="260">
        <v>44469</v>
      </c>
      <c r="B6" s="259">
        <v>-120.96937623570864</v>
      </c>
      <c r="C6" s="259">
        <v>782.80296008941457</v>
      </c>
      <c r="D6" s="259">
        <v>-34.116917561397258</v>
      </c>
      <c r="E6" s="259">
        <v>22.928994365806858</v>
      </c>
      <c r="F6" s="259">
        <v>137.50135897728978</v>
      </c>
      <c r="G6" s="259">
        <v>906.03001879956446</v>
      </c>
      <c r="H6" s="259">
        <v>-474.40846011939709</v>
      </c>
      <c r="I6" s="259">
        <v>108.66056724274401</v>
      </c>
    </row>
    <row r="7" spans="1:9" x14ac:dyDescent="0.2">
      <c r="A7" s="260">
        <v>44561</v>
      </c>
      <c r="B7" s="259">
        <v>-112.94970037929011</v>
      </c>
      <c r="C7" s="259">
        <v>769.47606729043321</v>
      </c>
      <c r="D7" s="259">
        <v>-30.059208161437255</v>
      </c>
      <c r="E7" s="259">
        <v>23.39852299466142</v>
      </c>
      <c r="F7" s="259">
        <v>144.44402858127864</v>
      </c>
      <c r="G7" s="259">
        <v>926.50683572140088</v>
      </c>
      <c r="H7" s="259">
        <v>-498.7387987375219</v>
      </c>
      <c r="I7" s="259">
        <v>99.041886971004146</v>
      </c>
    </row>
    <row r="8" spans="1:9" x14ac:dyDescent="0.2">
      <c r="A8" s="260">
        <v>44651</v>
      </c>
      <c r="B8" s="259">
        <v>-104.93002452287169</v>
      </c>
      <c r="C8" s="259">
        <v>754.32703000783897</v>
      </c>
      <c r="D8" s="259">
        <v>0</v>
      </c>
      <c r="E8" s="259">
        <v>0</v>
      </c>
      <c r="F8" s="259">
        <v>151.38669818526751</v>
      </c>
      <c r="G8" s="259">
        <v>935.88801570004148</v>
      </c>
      <c r="H8" s="259">
        <v>-547.1903606870228</v>
      </c>
      <c r="I8" s="259">
        <v>88.930859906418476</v>
      </c>
    </row>
    <row r="9" spans="1:9" x14ac:dyDescent="0.2">
      <c r="A9" s="260">
        <v>44742</v>
      </c>
      <c r="B9" s="259">
        <v>-96.910348666453274</v>
      </c>
      <c r="C9" s="259">
        <v>917.20703504498442</v>
      </c>
      <c r="D9" s="259">
        <v>0</v>
      </c>
      <c r="E9" s="259">
        <v>0</v>
      </c>
      <c r="F9" s="259">
        <v>158.32936778925637</v>
      </c>
      <c r="G9" s="259">
        <v>935.60252133929384</v>
      </c>
      <c r="H9" s="259">
        <v>-549.83002927139501</v>
      </c>
      <c r="I9" s="259">
        <v>85.160216065161137</v>
      </c>
    </row>
    <row r="10" spans="1:9" x14ac:dyDescent="0.2">
      <c r="A10" s="260">
        <v>44834</v>
      </c>
      <c r="B10" s="259">
        <v>-95.916044397046221</v>
      </c>
      <c r="C10" s="259">
        <v>1071.5071987235567</v>
      </c>
      <c r="D10" s="259">
        <v>0</v>
      </c>
      <c r="E10" s="259">
        <v>0</v>
      </c>
      <c r="F10" s="259">
        <v>165.27203739324511</v>
      </c>
      <c r="G10" s="259">
        <v>921.93178379942924</v>
      </c>
      <c r="H10" s="259">
        <v>-552.4284100259805</v>
      </c>
      <c r="I10" s="259">
        <v>81.542527324679924</v>
      </c>
    </row>
    <row r="11" spans="1:9" x14ac:dyDescent="0.2">
      <c r="A11" s="260">
        <v>44926</v>
      </c>
      <c r="B11" s="259">
        <v>-94.931498687090198</v>
      </c>
      <c r="C11" s="259">
        <v>1215.7947243222145</v>
      </c>
      <c r="D11" s="259">
        <v>0</v>
      </c>
      <c r="E11" s="259">
        <v>0</v>
      </c>
      <c r="F11" s="259">
        <v>166.96284291968027</v>
      </c>
      <c r="G11" s="259">
        <v>922.96679357866992</v>
      </c>
      <c r="H11" s="259">
        <v>-555.01027564865115</v>
      </c>
      <c r="I11" s="259">
        <v>69.661088956544148</v>
      </c>
    </row>
    <row r="12" spans="1:9" x14ac:dyDescent="0.2">
      <c r="A12" s="260">
        <v>45016</v>
      </c>
      <c r="B12" s="259">
        <v>-93.946952977134174</v>
      </c>
      <c r="C12" s="259">
        <v>1357.6798943404706</v>
      </c>
      <c r="D12" s="259">
        <v>0</v>
      </c>
      <c r="E12" s="259">
        <v>0</v>
      </c>
      <c r="F12" s="259">
        <v>168.65364844611543</v>
      </c>
      <c r="G12" s="259">
        <v>924.56059251132388</v>
      </c>
      <c r="H12" s="259">
        <v>-557.58663622735014</v>
      </c>
      <c r="I12" s="259">
        <v>57.978172785671859</v>
      </c>
    </row>
    <row r="13" spans="1:9" x14ac:dyDescent="0.2">
      <c r="A13" s="260">
        <v>45107</v>
      </c>
      <c r="B13" s="259">
        <v>-92.962407267178264</v>
      </c>
      <c r="C13" s="259">
        <v>1507.1153247542738</v>
      </c>
      <c r="D13" s="259">
        <v>0</v>
      </c>
      <c r="E13" s="259">
        <v>0</v>
      </c>
      <c r="F13" s="259">
        <v>170.34445397255058</v>
      </c>
      <c r="G13" s="259">
        <v>926.53654685838478</v>
      </c>
      <c r="H13" s="259">
        <v>-560.17125437200662</v>
      </c>
      <c r="I13" s="259">
        <v>55.115350410659346</v>
      </c>
    </row>
    <row r="14" spans="1:9" x14ac:dyDescent="0.2">
      <c r="A14" s="260">
        <v>45199</v>
      </c>
      <c r="B14" s="259">
        <v>-91.977861557222354</v>
      </c>
      <c r="C14" s="259">
        <v>1655.8643678593908</v>
      </c>
      <c r="D14" s="259">
        <v>0</v>
      </c>
      <c r="E14" s="259">
        <v>0</v>
      </c>
      <c r="F14" s="259">
        <v>172.03525949898574</v>
      </c>
      <c r="G14" s="259">
        <v>929.6074540197169</v>
      </c>
      <c r="H14" s="259">
        <v>-562.78064521453507</v>
      </c>
      <c r="I14" s="259">
        <v>41.140887976761235</v>
      </c>
    </row>
    <row r="15" spans="1:9" x14ac:dyDescent="0.2">
      <c r="A15" s="260">
        <v>45291</v>
      </c>
      <c r="B15" s="259">
        <v>-93.014313509592057</v>
      </c>
      <c r="C15" s="259">
        <v>1650.7184089125594</v>
      </c>
      <c r="D15" s="259">
        <v>0</v>
      </c>
      <c r="E15" s="259">
        <v>0</v>
      </c>
      <c r="F15" s="259">
        <v>173.01795424453962</v>
      </c>
      <c r="G15" s="259">
        <v>939.00391731648051</v>
      </c>
      <c r="H15" s="259">
        <v>-565.41480875493562</v>
      </c>
      <c r="I15" s="259">
        <v>36.20171054730281</v>
      </c>
    </row>
    <row r="16" spans="1:9" x14ac:dyDescent="0.2">
      <c r="A16" s="260">
        <v>45382</v>
      </c>
      <c r="B16" s="259">
        <v>-94.05076546196176</v>
      </c>
      <c r="C16" s="259">
        <v>1649.690773817847</v>
      </c>
      <c r="D16" s="259">
        <v>0</v>
      </c>
      <c r="E16" s="259">
        <v>0</v>
      </c>
      <c r="F16" s="259">
        <v>174.0006489900934</v>
      </c>
      <c r="G16" s="259">
        <v>948.03277360151947</v>
      </c>
      <c r="H16" s="259">
        <v>-568.06548742725101</v>
      </c>
      <c r="I16" s="259">
        <v>36.828990157049986</v>
      </c>
    </row>
    <row r="17" spans="1:9" x14ac:dyDescent="0.2">
      <c r="A17" s="260">
        <v>45473</v>
      </c>
      <c r="B17" s="259">
        <v>-95.087217414331576</v>
      </c>
      <c r="C17" s="259">
        <v>1652.4382689209042</v>
      </c>
      <c r="D17" s="259">
        <v>0</v>
      </c>
      <c r="E17" s="259">
        <v>0</v>
      </c>
      <c r="F17" s="259">
        <v>174.98334373564717</v>
      </c>
      <c r="G17" s="259">
        <v>955.34762065860946</v>
      </c>
      <c r="H17" s="259">
        <v>-570.71066105559476</v>
      </c>
      <c r="I17" s="259">
        <v>37.463678233921371</v>
      </c>
    </row>
    <row r="18" spans="1:9" x14ac:dyDescent="0.2">
      <c r="A18" s="260">
        <v>45565</v>
      </c>
      <c r="B18" s="259">
        <v>-96.123669366701392</v>
      </c>
      <c r="C18" s="259">
        <v>1660.6768624934516</v>
      </c>
      <c r="D18" s="259">
        <v>0</v>
      </c>
      <c r="E18" s="259">
        <v>0</v>
      </c>
      <c r="F18" s="259">
        <v>175.96603848120105</v>
      </c>
      <c r="G18" s="259">
        <v>961.61183263262797</v>
      </c>
      <c r="H18" s="259">
        <v>-573.36409224989586</v>
      </c>
      <c r="I18" s="259">
        <v>38.110892014683543</v>
      </c>
    </row>
    <row r="19" spans="1:9" x14ac:dyDescent="0.2">
      <c r="A19" s="260">
        <v>45657</v>
      </c>
      <c r="B19" s="259">
        <v>-97.436613836852644</v>
      </c>
      <c r="C19" s="259">
        <v>1648.7967703371664</v>
      </c>
      <c r="D19" s="259">
        <v>0</v>
      </c>
      <c r="E19" s="259">
        <v>0</v>
      </c>
      <c r="F19" s="259">
        <v>181.12603494905306</v>
      </c>
      <c r="G19" s="259">
        <v>983.80559967852105</v>
      </c>
      <c r="H19" s="259">
        <v>-576.02302848816862</v>
      </c>
      <c r="I19" s="259">
        <v>38.157160115537408</v>
      </c>
    </row>
    <row r="20" spans="1:9" x14ac:dyDescent="0.2">
      <c r="A20" s="260">
        <v>45747</v>
      </c>
      <c r="B20" s="259">
        <v>-98.749558307004008</v>
      </c>
      <c r="C20" s="259">
        <v>1636.2302908721949</v>
      </c>
      <c r="D20" s="259">
        <v>0</v>
      </c>
      <c r="E20" s="259">
        <v>0</v>
      </c>
      <c r="F20" s="259">
        <v>186.28603141690496</v>
      </c>
      <c r="G20" s="259">
        <v>1002.5410989249847</v>
      </c>
      <c r="H20" s="259">
        <v>-578.67921220445555</v>
      </c>
      <c r="I20" s="259">
        <v>38.208074215356021</v>
      </c>
    </row>
    <row r="21" spans="1:9" x14ac:dyDescent="0.2">
      <c r="A21" s="260">
        <v>45838</v>
      </c>
      <c r="B21" s="259">
        <v>-100.06250277715526</v>
      </c>
      <c r="C21" s="259">
        <v>1626.4093606419667</v>
      </c>
      <c r="D21" s="259">
        <v>0</v>
      </c>
      <c r="E21" s="259">
        <v>0</v>
      </c>
      <c r="F21" s="259">
        <v>191.44602788475709</v>
      </c>
      <c r="G21" s="259">
        <v>1018.2130393556045</v>
      </c>
      <c r="H21" s="259">
        <v>-581.30236565691303</v>
      </c>
      <c r="I21" s="259">
        <v>38.264934161420854</v>
      </c>
    </row>
    <row r="22" spans="1:9" x14ac:dyDescent="0.2">
      <c r="A22" s="260">
        <v>45930</v>
      </c>
      <c r="B22" s="259">
        <v>-101.37544724730662</v>
      </c>
      <c r="C22" s="259">
        <v>1619.6771733008252</v>
      </c>
      <c r="D22" s="259">
        <v>0</v>
      </c>
      <c r="E22" s="259">
        <v>0</v>
      </c>
      <c r="F22" s="259">
        <v>196.60602435260898</v>
      </c>
      <c r="G22" s="259">
        <v>1030.4917377332347</v>
      </c>
      <c r="H22" s="259">
        <v>-583.90625145546994</v>
      </c>
      <c r="I22" s="259">
        <v>38.326825369819289</v>
      </c>
    </row>
    <row r="23" spans="1:9" x14ac:dyDescent="0.2">
      <c r="A23" s="260">
        <v>46022</v>
      </c>
      <c r="B23" s="259">
        <v>-102.74169203979329</v>
      </c>
      <c r="C23" s="259">
        <v>1611.6137180691239</v>
      </c>
      <c r="D23" s="259">
        <v>0</v>
      </c>
      <c r="E23" s="259">
        <v>0</v>
      </c>
      <c r="F23" s="259">
        <v>200.08434262123751</v>
      </c>
      <c r="G23" s="259">
        <v>1037.1068216073324</v>
      </c>
      <c r="H23" s="259">
        <v>-586.4908696001263</v>
      </c>
      <c r="I23" s="259">
        <v>38.401387580592541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J34"/>
  <sheetViews>
    <sheetView workbookViewId="0">
      <selection activeCell="J25" sqref="J25"/>
    </sheetView>
  </sheetViews>
  <sheetFormatPr baseColWidth="10" defaultColWidth="8.83203125" defaultRowHeight="15" x14ac:dyDescent="0.2"/>
  <sheetData>
    <row r="1" spans="1:10" s="297" customFormat="1" x14ac:dyDescent="0.2">
      <c r="A1" s="297" t="s">
        <v>322</v>
      </c>
      <c r="B1" s="297" t="s">
        <v>323</v>
      </c>
      <c r="C1" s="297" t="s">
        <v>324</v>
      </c>
      <c r="D1" s="297" t="s">
        <v>325</v>
      </c>
      <c r="E1" s="297" t="s">
        <v>326</v>
      </c>
      <c r="F1" s="297" t="s">
        <v>327</v>
      </c>
      <c r="G1" s="297" t="s">
        <v>328</v>
      </c>
      <c r="H1" s="297" t="s">
        <v>329</v>
      </c>
      <c r="I1" s="297" t="s">
        <v>330</v>
      </c>
      <c r="J1" s="297" t="s">
        <v>375</v>
      </c>
    </row>
    <row r="2" spans="1:10" x14ac:dyDescent="0.2">
      <c r="A2" t="s">
        <v>292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</row>
    <row r="3" spans="1:10" x14ac:dyDescent="0.2">
      <c r="A3" t="s">
        <v>293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</row>
    <row r="4" spans="1:10" x14ac:dyDescent="0.2">
      <c r="A4" t="s">
        <v>294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</row>
    <row r="5" spans="1:10" x14ac:dyDescent="0.2">
      <c r="A5" t="s">
        <v>295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</row>
    <row r="6" spans="1:10" x14ac:dyDescent="0.2">
      <c r="A6" t="s">
        <v>296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</row>
    <row r="7" spans="1:10" x14ac:dyDescent="0.2">
      <c r="A7" t="s">
        <v>297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10" x14ac:dyDescent="0.2">
      <c r="A8" t="s">
        <v>298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</row>
    <row r="9" spans="1:10" x14ac:dyDescent="0.2">
      <c r="A9" t="s">
        <v>299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</row>
    <row r="10" spans="1:10" x14ac:dyDescent="0.2">
      <c r="A10" t="s">
        <v>331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</row>
    <row r="11" spans="1:10" x14ac:dyDescent="0.2">
      <c r="A11" t="s">
        <v>332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</row>
    <row r="12" spans="1:10" x14ac:dyDescent="0.2">
      <c r="A12" t="s">
        <v>301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10" x14ac:dyDescent="0.2">
      <c r="A13" t="s">
        <v>302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</row>
    <row r="14" spans="1:10" x14ac:dyDescent="0.2">
      <c r="A14" t="s">
        <v>303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</row>
    <row r="15" spans="1:10" x14ac:dyDescent="0.2">
      <c r="A15" t="s">
        <v>304</v>
      </c>
      <c r="H15">
        <v>1078100</v>
      </c>
      <c r="I15">
        <v>15600</v>
      </c>
      <c r="J15">
        <v>5000</v>
      </c>
    </row>
    <row r="16" spans="1:10" x14ac:dyDescent="0.2">
      <c r="A16" t="s">
        <v>305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</row>
    <row r="17" spans="1:10" x14ac:dyDescent="0.2">
      <c r="A17" t="s">
        <v>306</v>
      </c>
      <c r="H17">
        <v>19100</v>
      </c>
      <c r="I17">
        <v>27000</v>
      </c>
      <c r="J17">
        <v>10800</v>
      </c>
    </row>
    <row r="18" spans="1:10" x14ac:dyDescent="0.2">
      <c r="A18" t="s">
        <v>307</v>
      </c>
      <c r="H18">
        <v>160900</v>
      </c>
      <c r="I18">
        <v>58400</v>
      </c>
      <c r="J18">
        <v>34500</v>
      </c>
    </row>
    <row r="19" spans="1:10" x14ac:dyDescent="0.2">
      <c r="A19" t="s">
        <v>308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</row>
    <row r="20" spans="1:10" x14ac:dyDescent="0.2">
      <c r="A20" t="s">
        <v>309</v>
      </c>
      <c r="H20">
        <v>609300</v>
      </c>
      <c r="I20">
        <v>865600</v>
      </c>
      <c r="J20">
        <v>260300</v>
      </c>
    </row>
    <row r="21" spans="1:10" x14ac:dyDescent="0.2">
      <c r="A21" t="s">
        <v>310</v>
      </c>
      <c r="H21">
        <v>63800</v>
      </c>
      <c r="I21">
        <v>15000</v>
      </c>
      <c r="J21">
        <v>100</v>
      </c>
    </row>
    <row r="22" spans="1:10" x14ac:dyDescent="0.2">
      <c r="A22" t="s">
        <v>311</v>
      </c>
      <c r="H22">
        <v>73300</v>
      </c>
      <c r="I22">
        <v>73300</v>
      </c>
      <c r="J22">
        <v>73300</v>
      </c>
    </row>
    <row r="23" spans="1:10" x14ac:dyDescent="0.2">
      <c r="A23" t="s">
        <v>312</v>
      </c>
      <c r="H23">
        <v>140000</v>
      </c>
      <c r="I23">
        <v>140000</v>
      </c>
      <c r="J23">
        <v>140000</v>
      </c>
    </row>
    <row r="24" spans="1:10" x14ac:dyDescent="0.2">
      <c r="A24" t="s">
        <v>313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</row>
    <row r="25" spans="1:10" x14ac:dyDescent="0.2">
      <c r="A25" t="s">
        <v>316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</row>
    <row r="26" spans="1:10" x14ac:dyDescent="0.2">
      <c r="A26" t="s">
        <v>315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</row>
    <row r="27" spans="1:10" x14ac:dyDescent="0.2">
      <c r="A27" t="s">
        <v>317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</row>
    <row r="28" spans="1:10" x14ac:dyDescent="0.2">
      <c r="A28" t="s">
        <v>318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</row>
    <row r="29" spans="1:10" x14ac:dyDescent="0.2">
      <c r="A29" t="s">
        <v>319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</row>
    <row r="30" spans="1:10" x14ac:dyDescent="0.2">
      <c r="A30" t="s">
        <v>320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</row>
    <row r="31" spans="1:10" x14ac:dyDescent="0.2">
      <c r="A31" t="s">
        <v>321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</row>
    <row r="32" spans="1:10" x14ac:dyDescent="0.2">
      <c r="A32" t="s">
        <v>300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2">
      <c r="A33" t="s">
        <v>334</v>
      </c>
      <c r="H33">
        <v>277100</v>
      </c>
      <c r="I33">
        <v>228300</v>
      </c>
      <c r="J33">
        <v>213400</v>
      </c>
    </row>
    <row r="34" spans="1:10" x14ac:dyDescent="0.2">
      <c r="A34" t="s">
        <v>314</v>
      </c>
      <c r="H34">
        <v>690700</v>
      </c>
      <c r="I34">
        <v>39200</v>
      </c>
      <c r="J34">
        <v>29000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baseColWidth="10" defaultColWidth="10.83203125" defaultRowHeight="15" x14ac:dyDescent="0.2"/>
  <sheetData>
    <row r="1" spans="1:2" x14ac:dyDescent="0.2">
      <c r="A1" t="s">
        <v>256</v>
      </c>
      <c r="B1" t="s">
        <v>288</v>
      </c>
    </row>
    <row r="2" spans="1:2" x14ac:dyDescent="0.2">
      <c r="A2" s="188">
        <v>44104</v>
      </c>
      <c r="B2">
        <v>337800</v>
      </c>
    </row>
    <row r="3" spans="1:2" x14ac:dyDescent="0.2">
      <c r="A3" s="188">
        <v>44196</v>
      </c>
      <c r="B3">
        <v>244000</v>
      </c>
    </row>
    <row r="4" spans="1:2" x14ac:dyDescent="0.2">
      <c r="A4" s="188">
        <v>44286</v>
      </c>
      <c r="B4">
        <v>152000</v>
      </c>
    </row>
    <row r="5" spans="1:2" x14ac:dyDescent="0.2">
      <c r="A5" s="188">
        <v>44377</v>
      </c>
      <c r="B5">
        <v>44000</v>
      </c>
    </row>
    <row r="6" spans="1:2" x14ac:dyDescent="0.2">
      <c r="A6" s="188">
        <v>44469</v>
      </c>
      <c r="B6">
        <v>44000</v>
      </c>
    </row>
    <row r="7" spans="1:2" x14ac:dyDescent="0.2">
      <c r="A7" s="188">
        <v>44561</v>
      </c>
      <c r="B7">
        <v>44000</v>
      </c>
    </row>
    <row r="8" spans="1:2" x14ac:dyDescent="0.2">
      <c r="A8" s="188">
        <v>44651</v>
      </c>
      <c r="B8">
        <v>44000</v>
      </c>
    </row>
    <row r="9" spans="1:2" x14ac:dyDescent="0.2">
      <c r="A9" s="188">
        <v>44742</v>
      </c>
      <c r="B9">
        <v>44000</v>
      </c>
    </row>
    <row r="10" spans="1:2" x14ac:dyDescent="0.2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232</v>
      </c>
    </row>
    <row r="3" spans="1:16" x14ac:dyDescent="0.2">
      <c r="B3" s="157" t="s">
        <v>233</v>
      </c>
    </row>
    <row r="4" spans="1:16" x14ac:dyDescent="0.2">
      <c r="A4" s="157" t="s">
        <v>234</v>
      </c>
      <c r="C4" s="157" t="s">
        <v>235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236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237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2">
      <c r="B8" s="160" t="s">
        <v>238</v>
      </c>
      <c r="C8" s="160"/>
      <c r="D8" s="161">
        <f>SUMPRODUCT(B5:B6,C5:C6)</f>
        <v>0.45</v>
      </c>
    </row>
    <row r="9" spans="1:16" x14ac:dyDescent="0.2">
      <c r="B9" s="157" t="s">
        <v>239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2">
      <c r="D11" s="163"/>
    </row>
    <row r="14" spans="1:16" x14ac:dyDescent="0.2">
      <c r="A14" s="157" t="s">
        <v>240</v>
      </c>
      <c r="C14" s="157" t="s">
        <v>235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237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241</v>
      </c>
      <c r="D19" s="157">
        <f>SUMPRODUCT(C15:C17,B15:B17)</f>
        <v>0.86186821348990206</v>
      </c>
    </row>
    <row r="20" spans="1:12" x14ac:dyDescent="0.2">
      <c r="B20" s="161" t="s">
        <v>239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242</v>
      </c>
    </row>
    <row r="23" spans="1:12" x14ac:dyDescent="0.2">
      <c r="A23" s="157" t="s">
        <v>243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244</v>
      </c>
      <c r="C26" s="157">
        <v>1065.5</v>
      </c>
      <c r="D26" s="157">
        <f>C26/C25</f>
        <v>0.18843065822516181</v>
      </c>
    </row>
    <row r="27" spans="1:12" x14ac:dyDescent="0.2">
      <c r="B27" s="157" t="s">
        <v>245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232</v>
      </c>
    </row>
    <row r="3" spans="1:16" x14ac:dyDescent="0.2">
      <c r="B3" s="157" t="s">
        <v>233</v>
      </c>
    </row>
    <row r="4" spans="1:16" x14ac:dyDescent="0.2">
      <c r="A4" s="157" t="s">
        <v>234</v>
      </c>
      <c r="C4" s="157" t="s">
        <v>235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236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237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2">
      <c r="B8" s="160" t="s">
        <v>238</v>
      </c>
      <c r="C8" s="160"/>
      <c r="D8" s="161">
        <f>SUMPRODUCT(B5:B6,C5:C6)</f>
        <v>0.52500000000000002</v>
      </c>
    </row>
    <row r="9" spans="1:16" x14ac:dyDescent="0.2">
      <c r="B9" s="157" t="s">
        <v>239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2">
      <c r="D11" s="163"/>
    </row>
    <row r="14" spans="1:16" x14ac:dyDescent="0.2">
      <c r="A14" s="157" t="s">
        <v>240</v>
      </c>
      <c r="C14" s="157" t="s">
        <v>235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237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241</v>
      </c>
      <c r="D19" s="157">
        <f>SUMPRODUCT(C15:C17,B15:B17)</f>
        <v>0.86186821348990206</v>
      </c>
    </row>
    <row r="20" spans="1:12" x14ac:dyDescent="0.2">
      <c r="B20" s="161" t="s">
        <v>239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242</v>
      </c>
    </row>
    <row r="23" spans="1:12" x14ac:dyDescent="0.2">
      <c r="A23" s="157" t="s">
        <v>243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244</v>
      </c>
      <c r="C26" s="157">
        <v>1065.5</v>
      </c>
      <c r="D26" s="157">
        <f>C26/C25</f>
        <v>0.18843065822516181</v>
      </c>
    </row>
    <row r="27" spans="1:12" x14ac:dyDescent="0.2">
      <c r="B27" s="157" t="s">
        <v>245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topLeftCell="A3" workbookViewId="0">
      <selection activeCell="I15" sqref="I15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44" t="s">
        <v>32</v>
      </c>
      <c r="B5" s="345"/>
      <c r="C5" s="345"/>
      <c r="D5" s="345"/>
      <c r="E5" s="345"/>
      <c r="F5" s="345"/>
      <c r="G5" s="345"/>
      <c r="H5" s="345"/>
      <c r="I5" s="345"/>
      <c r="J5" s="345"/>
      <c r="K5" s="345"/>
      <c r="L5" s="345"/>
      <c r="M5" s="345"/>
      <c r="N5" s="345"/>
      <c r="O5" s="345"/>
      <c r="P5" s="345"/>
      <c r="Q5" s="345"/>
      <c r="R5" s="345"/>
      <c r="S5" s="345"/>
    </row>
    <row r="6" spans="1:19" s="6" customFormat="1" ht="15" customHeight="1" x14ac:dyDescent="0.15">
      <c r="A6" s="346" t="s">
        <v>33</v>
      </c>
      <c r="B6" s="346"/>
      <c r="C6" s="346"/>
      <c r="D6" s="346"/>
      <c r="E6" s="346"/>
      <c r="F6" s="346"/>
      <c r="G6" s="346"/>
      <c r="H6" s="346"/>
      <c r="I6" s="346"/>
      <c r="J6" s="346"/>
      <c r="K6" s="346"/>
      <c r="L6" s="346"/>
      <c r="M6" s="346"/>
      <c r="N6" s="346"/>
      <c r="O6" s="346"/>
      <c r="P6" s="346"/>
      <c r="Q6" s="346"/>
      <c r="R6" s="346"/>
      <c r="S6" s="346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47"/>
      <c r="S8" s="348"/>
    </row>
    <row r="9" spans="1:19" s="6" customFormat="1" ht="15" customHeight="1" x14ac:dyDescent="0.15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2">
      <c r="A11" s="130"/>
      <c r="B11" s="28" t="s">
        <v>2</v>
      </c>
      <c r="C11" s="28"/>
      <c r="D11" s="28"/>
      <c r="E11" s="28"/>
      <c r="F11" s="102">
        <v>409.42099999999999</v>
      </c>
      <c r="G11" s="325">
        <v>458.46899999999999</v>
      </c>
      <c r="H11" s="325">
        <v>507.26100000000002</v>
      </c>
      <c r="I11" s="325">
        <v>514.14599999999996</v>
      </c>
      <c r="J11" s="325">
        <v>491.86900000000003</v>
      </c>
      <c r="K11" s="325">
        <v>503.505</v>
      </c>
      <c r="L11" s="325">
        <v>533.43499999999995</v>
      </c>
      <c r="M11" s="325"/>
      <c r="N11" s="325"/>
      <c r="O11" s="325"/>
      <c r="P11" s="325"/>
      <c r="Q11" s="325"/>
      <c r="R11" s="325"/>
      <c r="S11" s="25"/>
    </row>
    <row r="12" spans="1:19" s="6" customFormat="1" ht="15" customHeight="1" x14ac:dyDescent="0.15">
      <c r="A12" s="130"/>
      <c r="B12" s="28"/>
      <c r="C12" s="28"/>
      <c r="D12" s="28" t="s">
        <v>220</v>
      </c>
      <c r="E12" s="28" t="s">
        <v>218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226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0" t="s">
        <v>219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646.21543293487082</v>
      </c>
      <c r="H13" s="25">
        <f t="shared" si="0"/>
        <v>685.05483158949448</v>
      </c>
      <c r="I13" s="25">
        <f t="shared" si="0"/>
        <v>724.69257459442645</v>
      </c>
      <c r="J13" s="25">
        <f t="shared" si="0"/>
        <v>724.970362029998</v>
      </c>
      <c r="K13" s="25">
        <f t="shared" si="0"/>
        <v>742.12077226642486</v>
      </c>
      <c r="L13" s="25">
        <f t="shared" si="0"/>
        <v>786.2348817865568</v>
      </c>
      <c r="M13" s="25"/>
      <c r="N13" s="25" t="s">
        <v>225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224</v>
      </c>
    </row>
    <row r="15" spans="1:19" x14ac:dyDescent="0.2">
      <c r="A15" t="s">
        <v>223</v>
      </c>
      <c r="F15" s="94">
        <f>main!K101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2">
      <c r="A19" t="s">
        <v>221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8" customWidth="1"/>
    <col min="8" max="10" width="9.33203125" style="95" bestFit="1" customWidth="1"/>
    <col min="11" max="11" width="9.33203125" style="118" bestFit="1" customWidth="1"/>
  </cols>
  <sheetData>
    <row r="1" spans="1:32" ht="19" x14ac:dyDescent="0.25">
      <c r="A1" s="328" t="s">
        <v>207</v>
      </c>
      <c r="B1" s="328"/>
      <c r="C1" s="35"/>
      <c r="H1"/>
      <c r="I1"/>
      <c r="J1"/>
      <c r="X1" t="s">
        <v>28</v>
      </c>
      <c r="Z1" s="349" t="s">
        <v>84</v>
      </c>
      <c r="AA1" s="349"/>
      <c r="AB1" s="349"/>
      <c r="AC1" s="327"/>
      <c r="AD1" s="327"/>
      <c r="AE1" s="327"/>
      <c r="AF1" s="327"/>
    </row>
    <row r="2" spans="1:32" x14ac:dyDescent="0.2">
      <c r="A2" s="350" t="s">
        <v>191</v>
      </c>
      <c r="B2" s="107"/>
      <c r="C2" t="s">
        <v>192</v>
      </c>
    </row>
    <row r="3" spans="1:32" x14ac:dyDescent="0.2">
      <c r="A3" s="350"/>
      <c r="B3" s="108"/>
      <c r="C3" t="s">
        <v>193</v>
      </c>
    </row>
    <row r="4" spans="1:32" x14ac:dyDescent="0.2">
      <c r="A4" s="350"/>
      <c r="B4" s="109"/>
      <c r="C4" t="s">
        <v>194</v>
      </c>
    </row>
    <row r="5" spans="1:32" x14ac:dyDescent="0.2">
      <c r="A5" s="350"/>
      <c r="B5" s="98"/>
      <c r="C5" t="s">
        <v>181</v>
      </c>
    </row>
    <row r="7" spans="1:32" x14ac:dyDescent="0.2">
      <c r="C7" s="340" t="s">
        <v>160</v>
      </c>
      <c r="D7" s="341"/>
      <c r="E7" s="341"/>
      <c r="F7" s="342"/>
      <c r="G7" s="340" t="s">
        <v>165</v>
      </c>
      <c r="H7" s="341"/>
      <c r="I7" s="341"/>
      <c r="J7" s="342"/>
      <c r="K7" s="340" t="s">
        <v>176</v>
      </c>
      <c r="L7" s="341"/>
      <c r="M7" s="341"/>
      <c r="N7" s="342"/>
    </row>
    <row r="8" spans="1:32" s="2" customFormat="1" x14ac:dyDescent="0.2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9" x14ac:dyDescent="0.25">
      <c r="A9" s="106" t="s">
        <v>164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ht="16" x14ac:dyDescent="0.2">
      <c r="B10" s="86" t="s">
        <v>170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ht="16" x14ac:dyDescent="0.2">
      <c r="B11" s="86" t="s">
        <v>171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ht="16" x14ac:dyDescent="0.2">
      <c r="B12" s="86" t="s">
        <v>172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ht="16" x14ac:dyDescent="0.2">
      <c r="B13" s="86" t="s">
        <v>173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ht="16" x14ac:dyDescent="0.2">
      <c r="B14" s="86" t="s">
        <v>174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ht="16" x14ac:dyDescent="0.2">
      <c r="B15" s="86" t="s">
        <v>175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ht="16" x14ac:dyDescent="0.2">
      <c r="B16" s="86" t="s">
        <v>166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ht="16" x14ac:dyDescent="0.2">
      <c r="B17" s="86" t="s">
        <v>167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ht="16" x14ac:dyDescent="0.2">
      <c r="B18" s="86" t="s">
        <v>168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ht="16" x14ac:dyDescent="0.2">
      <c r="B19" s="86" t="s">
        <v>169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2">
      <c r="B20" t="s">
        <v>195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9" x14ac:dyDescent="0.25">
      <c r="A23" s="110" t="s">
        <v>184</v>
      </c>
      <c r="B23" s="110"/>
    </row>
    <row r="24" spans="1:12" x14ac:dyDescent="0.2">
      <c r="B24" t="s">
        <v>185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2">
      <c r="B25" t="s">
        <v>186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2">
      <c r="B26" t="s">
        <v>179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2">
      <c r="B27" t="s">
        <v>177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2">
      <c r="B28" s="99" t="s">
        <v>178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2">
      <c r="D29" s="102"/>
      <c r="E29" s="102"/>
      <c r="F29" s="102"/>
      <c r="G29" s="122"/>
      <c r="H29" s="104"/>
      <c r="I29" s="104"/>
      <c r="J29" s="104"/>
      <c r="K29" s="122"/>
    </row>
    <row r="30" spans="1:12" x14ac:dyDescent="0.2">
      <c r="D30" s="102"/>
      <c r="E30" s="102"/>
      <c r="F30" s="102"/>
      <c r="G30" s="122"/>
      <c r="H30" s="104"/>
      <c r="I30" s="104"/>
      <c r="J30" s="104"/>
      <c r="K30" s="122"/>
    </row>
    <row r="31" spans="1:12" ht="19" x14ac:dyDescent="0.25">
      <c r="A31" s="110" t="s">
        <v>187</v>
      </c>
      <c r="B31" s="110"/>
    </row>
    <row r="32" spans="1:12" x14ac:dyDescent="0.2">
      <c r="B32" t="s">
        <v>185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2">
      <c r="B33" t="s">
        <v>186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2">
      <c r="B34" t="s">
        <v>179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2">
      <c r="B35" t="s">
        <v>177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2">
      <c r="B36" s="99" t="s">
        <v>178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2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9" x14ac:dyDescent="0.25">
      <c r="A39" s="110" t="s">
        <v>183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2">
      <c r="B40" t="s">
        <v>179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2">
      <c r="B41" t="s">
        <v>180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2">
      <c r="B42" t="s">
        <v>177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2">
      <c r="B43" s="99" t="s">
        <v>178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2">
      <c r="D44" s="102"/>
      <c r="E44" s="102"/>
      <c r="F44" s="102"/>
      <c r="G44" s="122"/>
      <c r="H44" s="104"/>
      <c r="I44" s="104"/>
      <c r="J44" s="104"/>
      <c r="K44" s="122"/>
    </row>
    <row r="45" spans="1:11" x14ac:dyDescent="0.2">
      <c r="D45" s="102"/>
      <c r="E45" s="102"/>
      <c r="F45" s="102"/>
      <c r="G45" s="122"/>
      <c r="H45" s="104"/>
      <c r="I45" s="104"/>
      <c r="J45" s="104"/>
      <c r="K45" s="122"/>
    </row>
    <row r="46" spans="1:11" ht="19" x14ac:dyDescent="0.25">
      <c r="A46" s="110" t="s">
        <v>182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2">
      <c r="B47" t="s">
        <v>179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2">
      <c r="B48" t="s">
        <v>180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2">
      <c r="B49" t="s">
        <v>177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2">
      <c r="B50" s="99" t="s">
        <v>178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2">
      <c r="D51" s="102"/>
      <c r="E51" s="102"/>
      <c r="F51" s="102"/>
      <c r="G51" s="122"/>
      <c r="H51" s="104"/>
      <c r="I51" s="104"/>
      <c r="J51" s="104"/>
      <c r="K51" s="122"/>
    </row>
    <row r="53" spans="1:12" ht="19" x14ac:dyDescent="0.25">
      <c r="A53" s="105" t="s">
        <v>188</v>
      </c>
      <c r="B53" s="105"/>
    </row>
    <row r="54" spans="1:12" x14ac:dyDescent="0.2">
      <c r="B54" t="s">
        <v>185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2">
      <c r="B55" t="s">
        <v>186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2">
      <c r="B56" t="s">
        <v>179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2">
      <c r="B57" t="s">
        <v>177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2">
      <c r="B58" s="99" t="s">
        <v>178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2">
      <c r="D59" s="102"/>
      <c r="E59" s="102"/>
      <c r="F59" s="102"/>
      <c r="G59" s="122"/>
      <c r="H59" s="104"/>
      <c r="I59" s="104"/>
      <c r="J59" s="104"/>
      <c r="K59" s="122"/>
    </row>
    <row r="60" spans="1:12" x14ac:dyDescent="0.2">
      <c r="D60" s="102"/>
      <c r="E60" s="102"/>
      <c r="F60" s="102"/>
      <c r="G60" s="122"/>
      <c r="H60" s="104"/>
      <c r="I60" s="104"/>
      <c r="J60" s="104"/>
      <c r="K60" s="122"/>
    </row>
    <row r="61" spans="1:12" ht="19" x14ac:dyDescent="0.25">
      <c r="A61" s="105" t="s">
        <v>189</v>
      </c>
      <c r="B61" s="105"/>
    </row>
    <row r="62" spans="1:12" x14ac:dyDescent="0.2">
      <c r="B62" t="s">
        <v>185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2">
      <c r="B63" t="s">
        <v>186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2">
      <c r="B64" t="s">
        <v>179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2">
      <c r="B65" t="s">
        <v>177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2">
      <c r="B66" s="99" t="s">
        <v>178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2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9" x14ac:dyDescent="0.25">
      <c r="A69" s="105" t="s">
        <v>190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2">
      <c r="B70" t="s">
        <v>4</v>
      </c>
      <c r="D70" s="100"/>
      <c r="E70" s="102">
        <f>main!L54/1000</f>
        <v>1086.548</v>
      </c>
      <c r="F70" s="102">
        <f>main!M54/1000</f>
        <v>1213.48</v>
      </c>
      <c r="G70" s="102">
        <f>main!N54/1000</f>
        <v>610.53599999999994</v>
      </c>
      <c r="H70" s="102">
        <f>main!O54/1000</f>
        <v>794.08358333333342</v>
      </c>
      <c r="I70" s="102">
        <f>main!P54/1000</f>
        <v>794.08358333333342</v>
      </c>
      <c r="J70" s="102">
        <f>main!Q54/1000</f>
        <v>144.08358333333331</v>
      </c>
      <c r="K70" s="102">
        <f>main!R54/1000</f>
        <v>122.75024999999999</v>
      </c>
    </row>
    <row r="71" spans="1:11" x14ac:dyDescent="0.2">
      <c r="B71" t="s">
        <v>177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2">
      <c r="B72" s="99" t="s">
        <v>178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-303.00454818230662</v>
      </c>
      <c r="I72" s="103">
        <f t="shared" si="23"/>
        <v>-306.96952490565661</v>
      </c>
      <c r="J72" s="103">
        <f t="shared" si="23"/>
        <v>-961.25124727310663</v>
      </c>
      <c r="K72" s="103">
        <f t="shared" si="23"/>
        <v>-987.20001713462989</v>
      </c>
    </row>
    <row r="73" spans="1:11" x14ac:dyDescent="0.2">
      <c r="D73" s="102"/>
      <c r="E73" s="102"/>
      <c r="F73" s="102"/>
      <c r="G73" s="122"/>
      <c r="H73" s="104"/>
      <c r="I73" s="104"/>
      <c r="J73" s="104"/>
      <c r="K73" s="122"/>
    </row>
    <row r="74" spans="1:11" x14ac:dyDescent="0.2">
      <c r="D74" s="102"/>
      <c r="E74" s="102"/>
      <c r="F74" s="102"/>
      <c r="G74" s="122"/>
      <c r="H74" s="104"/>
      <c r="I74" s="104"/>
      <c r="J74" s="104"/>
      <c r="K74" s="122"/>
    </row>
    <row r="75" spans="1:11" ht="19" x14ac:dyDescent="0.25">
      <c r="A75" s="105" t="s">
        <v>196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2">
      <c r="B76" t="s">
        <v>185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2">
      <c r="B77" t="s">
        <v>186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2">
      <c r="B78" s="111" t="s">
        <v>197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2">
      <c r="B79" s="112" t="s">
        <v>198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2">
      <c r="B80" t="s">
        <v>179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2">
      <c r="B81" t="s">
        <v>177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2">
      <c r="B82" s="99" t="s">
        <v>178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B1" zoomScale="110" zoomScaleNormal="110" workbookViewId="0">
      <selection activeCell="M13" sqref="M13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  <col min="14" max="14" width="13.83203125" bestFit="1" customWidth="1"/>
  </cols>
  <sheetData>
    <row r="1" spans="1:24" x14ac:dyDescent="0.2">
      <c r="L1" s="46"/>
      <c r="M1" s="46"/>
    </row>
    <row r="2" spans="1:24" x14ac:dyDescent="0.2">
      <c r="A2" s="356" t="s">
        <v>104</v>
      </c>
      <c r="B2" s="356"/>
      <c r="C2" s="356"/>
      <c r="D2" s="356"/>
      <c r="E2" s="356"/>
      <c r="F2" s="356"/>
      <c r="G2" s="356"/>
      <c r="H2" s="356"/>
      <c r="I2" s="356"/>
      <c r="J2" s="356"/>
      <c r="K2" s="77"/>
    </row>
    <row r="3" spans="1:24" x14ac:dyDescent="0.2">
      <c r="A3" s="356" t="s">
        <v>105</v>
      </c>
      <c r="B3" s="356"/>
      <c r="C3" s="356"/>
      <c r="D3" s="356"/>
      <c r="E3" s="356"/>
      <c r="F3" s="356"/>
      <c r="G3" s="356"/>
      <c r="H3" s="356"/>
      <c r="I3" s="356"/>
      <c r="J3" s="356"/>
      <c r="K3" s="77"/>
    </row>
    <row r="4" spans="1:24" ht="16" thickBot="1" x14ac:dyDescent="0.25">
      <c r="A4" s="357"/>
      <c r="B4" s="357"/>
      <c r="C4" s="357"/>
      <c r="D4" s="357"/>
      <c r="E4" s="357"/>
      <c r="F4" s="357"/>
      <c r="G4" s="357"/>
      <c r="H4" s="357"/>
      <c r="I4" s="357"/>
      <c r="J4" s="357"/>
      <c r="K4" s="362" t="s">
        <v>160</v>
      </c>
      <c r="L4" s="362"/>
      <c r="M4" s="362"/>
      <c r="N4" s="362"/>
    </row>
    <row r="5" spans="1:24" x14ac:dyDescent="0.2">
      <c r="A5" s="47"/>
      <c r="B5" s="48"/>
      <c r="C5" s="358" t="s">
        <v>106</v>
      </c>
      <c r="D5" s="359"/>
      <c r="E5" s="359"/>
      <c r="F5" s="359"/>
      <c r="G5" s="359"/>
      <c r="H5" s="359"/>
      <c r="I5" s="359"/>
      <c r="J5" s="360"/>
      <c r="K5" s="78"/>
      <c r="L5" s="361" t="s">
        <v>107</v>
      </c>
      <c r="M5" s="327"/>
      <c r="N5" s="327"/>
    </row>
    <row r="6" spans="1:24" x14ac:dyDescent="0.2">
      <c r="A6" s="1" t="s">
        <v>109</v>
      </c>
      <c r="B6" s="49"/>
      <c r="C6" s="352">
        <v>2020</v>
      </c>
      <c r="D6" s="353"/>
      <c r="E6" s="353"/>
      <c r="F6" s="353"/>
      <c r="G6" s="353"/>
      <c r="H6" s="353"/>
      <c r="I6" s="353"/>
      <c r="J6" s="354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2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2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7" x14ac:dyDescent="0.2">
      <c r="B9" s="74" t="s">
        <v>131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2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2">
      <c r="K13" s="35" t="s">
        <v>140</v>
      </c>
      <c r="M13" s="73">
        <f>0</f>
        <v>0</v>
      </c>
      <c r="N13" s="73">
        <f>12</f>
        <v>12</v>
      </c>
      <c r="O13">
        <f>4*O31</f>
        <v>8</v>
      </c>
    </row>
    <row r="15" spans="1:24" x14ac:dyDescent="0.2">
      <c r="K15" t="s">
        <v>137</v>
      </c>
    </row>
    <row r="17" spans="3:23" x14ac:dyDescent="0.2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822.93333333333328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261.06666666666672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32" x14ac:dyDescent="0.2">
      <c r="C20" s="67"/>
      <c r="D20" s="67"/>
      <c r="E20" s="67"/>
      <c r="F20" s="68"/>
      <c r="G20" s="68"/>
      <c r="N20" s="81" t="s">
        <v>136</v>
      </c>
    </row>
    <row r="21" spans="3:23" x14ac:dyDescent="0.2">
      <c r="C21" s="69" t="s">
        <v>121</v>
      </c>
      <c r="D21" s="69"/>
      <c r="E21" s="69"/>
      <c r="F21" s="70"/>
      <c r="G21" s="67"/>
    </row>
    <row r="22" spans="3:23" x14ac:dyDescent="0.2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27" t="s">
        <v>9</v>
      </c>
      <c r="L22" s="327"/>
      <c r="M22" s="327"/>
      <c r="N22" s="327"/>
      <c r="O22" s="327" t="s">
        <v>10</v>
      </c>
      <c r="P22" s="327"/>
      <c r="Q22" s="327"/>
      <c r="R22" s="327"/>
      <c r="S22" s="327" t="s">
        <v>11</v>
      </c>
      <c r="T22" s="327"/>
      <c r="U22" s="327"/>
      <c r="V22" s="327"/>
    </row>
    <row r="23" spans="3:23" x14ac:dyDescent="0.2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55" t="s">
        <v>108</v>
      </c>
      <c r="L23" s="355"/>
      <c r="M23" s="355"/>
      <c r="N23" s="355"/>
      <c r="O23" s="35" t="s">
        <v>146</v>
      </c>
      <c r="P23" s="35"/>
      <c r="Q23" s="35"/>
      <c r="R23" s="35"/>
    </row>
    <row r="24" spans="3:23" x14ac:dyDescent="0.2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16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I28" s="351" t="s">
        <v>258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126</v>
      </c>
      <c r="F29">
        <f>557</f>
        <v>557</v>
      </c>
      <c r="G29">
        <v>166</v>
      </c>
      <c r="H29">
        <v>67</v>
      </c>
      <c r="I29" s="351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51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6" t="s">
        <v>128</v>
      </c>
      <c r="F31" s="72">
        <f>F24</f>
        <v>11.12</v>
      </c>
      <c r="G31" s="72">
        <f>G24</f>
        <v>47.8</v>
      </c>
      <c r="H31">
        <f>24</f>
        <v>24</v>
      </c>
      <c r="I31" s="351"/>
      <c r="J31" s="35" t="s">
        <v>140</v>
      </c>
      <c r="K31" s="35"/>
      <c r="L31" s="35"/>
      <c r="M31" s="83">
        <f>M13/4</f>
        <v>0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6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2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51" t="s">
        <v>141</v>
      </c>
      <c r="J33" s="85" t="s">
        <v>258</v>
      </c>
      <c r="M33" s="72">
        <f t="shared" ref="M33:V33" si="9">SUM(M28:M31)</f>
        <v>203.96666666666664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351"/>
      <c r="J34" t="s">
        <v>259</v>
      </c>
      <c r="K34" s="72">
        <f>K26-K33</f>
        <v>6.95</v>
      </c>
      <c r="L34" s="72">
        <f>L26-L33</f>
        <v>10.85</v>
      </c>
      <c r="M34" s="72">
        <f>M26-M33</f>
        <v>67.03333333333336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2">
      <c r="N35" s="72">
        <f>SUM(K34:N34)</f>
        <v>137.33333333333337</v>
      </c>
      <c r="R35" s="72"/>
    </row>
    <row r="36" spans="3:23" x14ac:dyDescent="0.2">
      <c r="C36" t="s">
        <v>267</v>
      </c>
    </row>
    <row r="37" spans="3:23" x14ac:dyDescent="0.2">
      <c r="C37" t="s">
        <v>268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205.73333333333332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65.26666666666668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O40" s="72"/>
      <c r="P40" s="72"/>
      <c r="Q40" s="72"/>
      <c r="R40" s="72"/>
      <c r="S40" s="72"/>
    </row>
    <row r="42" spans="3:23" x14ac:dyDescent="0.2">
      <c r="O42" t="s">
        <v>376</v>
      </c>
    </row>
    <row r="43" spans="3:23" x14ac:dyDescent="0.2">
      <c r="N43" s="82" t="s">
        <v>144</v>
      </c>
      <c r="O43" s="72">
        <v>15</v>
      </c>
    </row>
    <row r="44" spans="3:23" x14ac:dyDescent="0.2">
      <c r="N44" s="82" t="s">
        <v>143</v>
      </c>
      <c r="O44" s="72">
        <v>10</v>
      </c>
    </row>
    <row r="45" spans="3:23" x14ac:dyDescent="0.2">
      <c r="N45" s="82" t="s">
        <v>142</v>
      </c>
      <c r="O45" s="72">
        <v>5</v>
      </c>
    </row>
    <row r="46" spans="3:23" x14ac:dyDescent="0.2">
      <c r="N46" s="35" t="s">
        <v>140</v>
      </c>
      <c r="O46" s="72">
        <v>2</v>
      </c>
    </row>
    <row r="47" spans="3:23" x14ac:dyDescent="0.2">
      <c r="N47" s="316" t="s">
        <v>258</v>
      </c>
      <c r="O47">
        <v>32</v>
      </c>
    </row>
    <row r="48" spans="3:23" x14ac:dyDescent="0.2">
      <c r="N48" t="s">
        <v>259</v>
      </c>
      <c r="O48">
        <v>36.75</v>
      </c>
    </row>
    <row r="49" spans="14:15" x14ac:dyDescent="0.2">
      <c r="N49" t="s">
        <v>145</v>
      </c>
      <c r="O49">
        <v>47</v>
      </c>
    </row>
    <row r="50" spans="14:15" x14ac:dyDescent="0.2">
      <c r="N50" t="s">
        <v>129</v>
      </c>
      <c r="O50">
        <v>21.75</v>
      </c>
    </row>
  </sheetData>
  <mergeCells count="13">
    <mergeCell ref="A2:J2"/>
    <mergeCell ref="A3:J3"/>
    <mergeCell ref="A4:J4"/>
    <mergeCell ref="C5:J5"/>
    <mergeCell ref="L5:N5"/>
    <mergeCell ref="K4:N4"/>
    <mergeCell ref="O22:R22"/>
    <mergeCell ref="S22:V22"/>
    <mergeCell ref="I28:I31"/>
    <mergeCell ref="I33:I34"/>
    <mergeCell ref="C6:J6"/>
    <mergeCell ref="K23:N23"/>
    <mergeCell ref="K22:N2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85</v>
      </c>
    </row>
    <row r="2" spans="1:18" x14ac:dyDescent="0.2">
      <c r="A2" t="s">
        <v>86</v>
      </c>
    </row>
    <row r="4" spans="1:18" x14ac:dyDescent="0.2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364" t="s">
        <v>87</v>
      </c>
      <c r="F6" s="364"/>
      <c r="G6" s="364"/>
      <c r="H6" s="364"/>
      <c r="I6" s="364"/>
      <c r="J6" s="364"/>
      <c r="K6" s="364"/>
      <c r="L6" s="364"/>
      <c r="M6" s="364"/>
      <c r="N6" s="364"/>
      <c r="O6" s="364"/>
      <c r="P6" s="364"/>
      <c r="Q6" s="364"/>
      <c r="R6" s="364"/>
    </row>
    <row r="7" spans="1:18" x14ac:dyDescent="0.2">
      <c r="A7" s="363" t="s">
        <v>88</v>
      </c>
      <c r="B7" s="363"/>
      <c r="C7" s="363"/>
      <c r="D7" s="363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363" t="s">
        <v>89</v>
      </c>
      <c r="C8" s="363"/>
      <c r="D8" s="363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363" t="s">
        <v>90</v>
      </c>
      <c r="C9" s="363"/>
      <c r="D9" s="363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363" t="s">
        <v>91</v>
      </c>
      <c r="C10" s="363"/>
      <c r="D10" s="363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363" t="s">
        <v>58</v>
      </c>
      <c r="C11" s="363"/>
      <c r="D11" s="363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2">
      <c r="A13" s="36"/>
      <c r="B13" s="36"/>
      <c r="C13" s="363" t="s">
        <v>34</v>
      </c>
      <c r="D13" s="363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103</v>
      </c>
    </row>
    <row r="19" spans="1:20" x14ac:dyDescent="0.2">
      <c r="A19" s="36"/>
      <c r="B19" s="363" t="s">
        <v>89</v>
      </c>
      <c r="C19" s="363"/>
      <c r="D19" s="363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363" t="s">
        <v>90</v>
      </c>
      <c r="C20" s="363"/>
      <c r="D20" s="363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363" t="s">
        <v>91</v>
      </c>
      <c r="C21" s="363"/>
      <c r="D21" s="363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363" t="s">
        <v>58</v>
      </c>
      <c r="C22" s="363"/>
      <c r="D22" s="363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365" t="s">
        <v>95</v>
      </c>
      <c r="I27" s="365"/>
      <c r="J27" s="365"/>
      <c r="K27" s="365"/>
      <c r="L27" s="365"/>
      <c r="M27" s="365"/>
      <c r="N27" s="365"/>
      <c r="O27" s="365"/>
      <c r="P27" s="365"/>
      <c r="Q27" s="365"/>
      <c r="R27" s="365"/>
      <c r="S27" s="365"/>
      <c r="T27" s="365"/>
    </row>
    <row r="28" spans="1:20" x14ac:dyDescent="0.2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2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366" t="s">
        <v>99</v>
      </c>
      <c r="G37" s="366"/>
      <c r="H37" s="366"/>
      <c r="I37" s="366"/>
      <c r="J37" s="366"/>
      <c r="K37" s="366"/>
      <c r="L37" s="366"/>
      <c r="M37" s="366"/>
      <c r="N37" s="366"/>
      <c r="O37" s="366"/>
      <c r="P37" s="366"/>
      <c r="Q37" s="366"/>
      <c r="R37" s="366"/>
    </row>
    <row r="38" spans="1:18" ht="16" x14ac:dyDescent="0.2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2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365" t="s">
        <v>101</v>
      </c>
      <c r="G48" s="365"/>
      <c r="H48" s="365"/>
      <c r="I48" s="365"/>
      <c r="J48" s="365"/>
      <c r="K48" s="365"/>
      <c r="L48" s="365"/>
      <c r="M48" s="365"/>
      <c r="N48" s="365"/>
      <c r="O48" s="365"/>
      <c r="P48" s="365"/>
      <c r="Q48" s="365"/>
      <c r="R48" s="365"/>
    </row>
    <row r="49" spans="1:18" x14ac:dyDescent="0.2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2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C13:D13"/>
    <mergeCell ref="H27:T27"/>
    <mergeCell ref="F37:R37"/>
    <mergeCell ref="F48:R48"/>
    <mergeCell ref="B19:D19"/>
    <mergeCell ref="B20:D20"/>
    <mergeCell ref="B21:D21"/>
    <mergeCell ref="B22:D22"/>
    <mergeCell ref="B11:D11"/>
    <mergeCell ref="E6:R6"/>
    <mergeCell ref="A7:D7"/>
    <mergeCell ref="B8:D8"/>
    <mergeCell ref="B9:D9"/>
    <mergeCell ref="B10:D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44" t="s">
        <v>32</v>
      </c>
      <c r="B5" s="345"/>
      <c r="C5" s="345"/>
      <c r="D5" s="345"/>
      <c r="E5" s="345"/>
      <c r="F5" s="345"/>
      <c r="G5" s="345"/>
      <c r="H5" s="345"/>
      <c r="I5" s="345"/>
      <c r="J5" s="345"/>
      <c r="K5" s="345"/>
      <c r="L5" s="345"/>
      <c r="M5" s="345"/>
      <c r="N5" s="345"/>
      <c r="O5" s="345"/>
      <c r="P5" s="345"/>
      <c r="Q5" s="345"/>
      <c r="R5" s="345"/>
      <c r="S5" s="345"/>
    </row>
    <row r="6" spans="1:19" s="6" customFormat="1" ht="15" customHeight="1" x14ac:dyDescent="0.15">
      <c r="A6" s="346" t="s">
        <v>33</v>
      </c>
      <c r="B6" s="346"/>
      <c r="C6" s="346"/>
      <c r="D6" s="346"/>
      <c r="E6" s="346"/>
      <c r="F6" s="346"/>
      <c r="G6" s="346"/>
      <c r="H6" s="346"/>
      <c r="I6" s="346"/>
      <c r="J6" s="346"/>
      <c r="K6" s="346"/>
      <c r="L6" s="346"/>
      <c r="M6" s="346"/>
      <c r="N6" s="346"/>
      <c r="O6" s="346"/>
      <c r="P6" s="346"/>
      <c r="Q6" s="346"/>
      <c r="R6" s="346"/>
      <c r="S6" s="346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47" t="s">
        <v>34</v>
      </c>
      <c r="S8" s="348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15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15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15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15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15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15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15">
      <c r="A75" s="10"/>
      <c r="B75" s="10"/>
      <c r="C75" s="10"/>
      <c r="D75" s="367" t="s">
        <v>42</v>
      </c>
      <c r="E75" s="368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15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0E13C6-C717-4C73-9EC5-EE5855C1B9D0}">
  <ds:schemaRefs>
    <ds:schemaRef ds:uri="http://www.w3.org/XML/1998/namespace"/>
    <ds:schemaRef ds:uri="cac5d118-ba7b-4807-b700-df6f95cfff50"/>
    <ds:schemaRef ds:uri="66951ee6-cd93-49c7-9437-e871b2a117d6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2021-02-25T17:53:50Z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