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D0C584BE-2FEF-EA44-8A35-0864C9EF290F}" xr6:coauthVersionLast="45" xr6:coauthVersionMax="45" xr10:uidLastSave="{00000000-0000-0000-0000-000000000000}"/>
  <bookViews>
    <workbookView xWindow="0" yWindow="460" windowWidth="27200" windowHeight="1324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6" i="1" l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K82" i="1"/>
  <c r="K78" i="1"/>
  <c r="E78" i="1"/>
  <c r="F78" i="1"/>
  <c r="G78" i="1"/>
  <c r="H78" i="1"/>
  <c r="I78" i="1"/>
  <c r="J78" i="1"/>
  <c r="J82" i="1"/>
  <c r="I82" i="1"/>
  <c r="K33" i="1" l="1"/>
  <c r="N36" i="1"/>
  <c r="K49" i="1" l="1"/>
  <c r="J49" i="1"/>
  <c r="M32" i="1"/>
  <c r="M36" i="1"/>
  <c r="L33" i="1" s="1"/>
  <c r="M39" i="1"/>
  <c r="M40" i="1"/>
  <c r="M80" i="1"/>
  <c r="M77" i="1"/>
  <c r="M74" i="1"/>
  <c r="M72" i="1"/>
  <c r="M71" i="1"/>
  <c r="M67" i="1"/>
  <c r="M65" i="1"/>
  <c r="M64" i="1"/>
  <c r="M61" i="1"/>
  <c r="M60" i="1"/>
  <c r="M59" i="1"/>
  <c r="M57" i="1"/>
  <c r="M54" i="1"/>
  <c r="M48" i="1"/>
  <c r="M46" i="1"/>
  <c r="M43" i="1"/>
  <c r="M42" i="1"/>
  <c r="M33" i="1"/>
  <c r="M31" i="1"/>
  <c r="M30" i="1"/>
  <c r="M25" i="1"/>
  <c r="M24" i="1"/>
  <c r="M23" i="1"/>
  <c r="M16" i="1"/>
  <c r="M14" i="1"/>
  <c r="M12" i="1"/>
  <c r="M7" i="1"/>
  <c r="M5" i="1"/>
  <c r="K72" i="1"/>
  <c r="K55" i="1"/>
  <c r="M55" i="1" s="1"/>
  <c r="N16" i="1"/>
  <c r="N6" i="1"/>
  <c r="N12" i="1"/>
  <c r="N14" i="1"/>
  <c r="N11" i="1" l="1"/>
  <c r="T26" i="5"/>
  <c r="S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Q25" i="5"/>
  <c r="P25" i="5"/>
  <c r="P26" i="5" s="1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Y65" i="5" l="1"/>
  <c r="M52" i="5"/>
  <c r="V26" i="5"/>
  <c r="Z52" i="5"/>
  <c r="X26" i="5"/>
  <c r="Z26" i="5"/>
  <c r="O26" i="5"/>
  <c r="Y52" i="5"/>
  <c r="N52" i="5"/>
  <c r="W26" i="5"/>
  <c r="AA52" i="5"/>
  <c r="Y33" i="5"/>
  <c r="Q52" i="5"/>
  <c r="R26" i="5"/>
  <c r="Y26" i="5"/>
  <c r="N26" i="5"/>
  <c r="R52" i="5"/>
  <c r="S52" i="5"/>
  <c r="T52" i="5"/>
  <c r="Q26" i="5"/>
  <c r="V52" i="5"/>
  <c r="U52" i="5"/>
  <c r="X52" i="5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Z66" i="1"/>
  <c r="Y66" i="1"/>
  <c r="X66" i="1"/>
  <c r="W66" i="1"/>
  <c r="P71" i="5"/>
  <c r="Q71" i="5"/>
  <c r="Q72" i="5" l="1"/>
  <c r="R72" i="5"/>
  <c r="O71" i="5"/>
  <c r="S47" i="1"/>
  <c r="N48" i="1"/>
  <c r="P48" i="1"/>
  <c r="Q48" i="1"/>
  <c r="R48" i="1"/>
  <c r="T48" i="1"/>
  <c r="U48" i="1"/>
  <c r="V48" i="1"/>
  <c r="T49" i="1"/>
  <c r="U49" i="1"/>
  <c r="V49" i="1"/>
  <c r="M49" i="1"/>
  <c r="O47" i="1" l="1"/>
  <c r="P47" i="1"/>
  <c r="U47" i="1"/>
  <c r="T47" i="1"/>
  <c r="N47" i="1"/>
  <c r="V47" i="1"/>
  <c r="R47" i="1"/>
  <c r="Q47" i="1"/>
  <c r="K47" i="1"/>
  <c r="M47" i="1" s="1"/>
  <c r="E44" i="5"/>
  <c r="L32" i="5"/>
  <c r="M32" i="5"/>
  <c r="L64" i="5"/>
  <c r="M65" i="5" s="1"/>
  <c r="L71" i="5"/>
  <c r="M71" i="5"/>
  <c r="N71" i="5"/>
  <c r="S58" i="1"/>
  <c r="T58" i="1"/>
  <c r="U58" i="1"/>
  <c r="V58" i="1"/>
  <c r="W58" i="1"/>
  <c r="T17" i="4"/>
  <c r="U17" i="4"/>
  <c r="V17" i="4"/>
  <c r="W17" i="4"/>
  <c r="N33" i="5" l="1"/>
  <c r="M33" i="5"/>
  <c r="N26" i="4"/>
  <c r="W18" i="4"/>
  <c r="V37" i="1" s="1"/>
  <c r="V33" i="1" s="1"/>
  <c r="V18" i="4"/>
  <c r="U37" i="1" s="1"/>
  <c r="U33" i="1" s="1"/>
  <c r="U18" i="4"/>
  <c r="T37" i="1" s="1"/>
  <c r="T33" i="1" s="1"/>
  <c r="T18" i="4"/>
  <c r="S37" i="1" s="1"/>
  <c r="S33" i="1" s="1"/>
  <c r="F29" i="4"/>
  <c r="S37" i="4"/>
  <c r="V33" i="4"/>
  <c r="V26" i="4" s="1"/>
  <c r="U33" i="4"/>
  <c r="U26" i="4" s="1"/>
  <c r="T33" i="4"/>
  <c r="T26" i="4" s="1"/>
  <c r="S33" i="4"/>
  <c r="S26" i="4" s="1"/>
  <c r="V83" i="1"/>
  <c r="V46" i="1"/>
  <c r="U46" i="1"/>
  <c r="T46" i="1"/>
  <c r="S46" i="1"/>
  <c r="L63" i="5" s="1"/>
  <c r="M63" i="5" l="1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V6" i="1"/>
  <c r="U6" i="1"/>
  <c r="T6" i="1"/>
  <c r="S6" i="1"/>
  <c r="R6" i="1"/>
  <c r="Q6" i="1"/>
  <c r="P6" i="1"/>
  <c r="O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M66" i="5" l="1"/>
  <c r="N63" i="5"/>
  <c r="N24" i="1"/>
  <c r="O24" i="1" s="1"/>
  <c r="P24" i="1" s="1"/>
  <c r="Q24" i="1" s="1"/>
  <c r="R24" i="1" s="1"/>
  <c r="S24" i="1" s="1"/>
  <c r="T24" i="1" s="1"/>
  <c r="U24" i="1" s="1"/>
  <c r="V24" i="1" s="1"/>
  <c r="K26" i="1"/>
  <c r="M26" i="1" s="1"/>
  <c r="N25" i="1"/>
  <c r="O25" i="1" s="1"/>
  <c r="P25" i="1" s="1"/>
  <c r="Q25" i="1" s="1"/>
  <c r="R25" i="1" s="1"/>
  <c r="S25" i="1" s="1"/>
  <c r="T25" i="1" s="1"/>
  <c r="U25" i="1" s="1"/>
  <c r="V25" i="1" s="1"/>
  <c r="N66" i="5" l="1"/>
  <c r="O63" i="5"/>
  <c r="F44" i="5"/>
  <c r="F46" i="5" s="1"/>
  <c r="N26" i="1"/>
  <c r="K22" i="1"/>
  <c r="N23" i="1"/>
  <c r="F38" i="5" l="1"/>
  <c r="M22" i="1"/>
  <c r="P63" i="5"/>
  <c r="O66" i="5"/>
  <c r="O26" i="1"/>
  <c r="G44" i="5"/>
  <c r="G46" i="5" s="1"/>
  <c r="O23" i="1"/>
  <c r="N22" i="1"/>
  <c r="G38" i="5" s="1"/>
  <c r="Q63" i="5" l="1"/>
  <c r="P66" i="5"/>
  <c r="P26" i="1"/>
  <c r="H44" i="5"/>
  <c r="H46" i="5" s="1"/>
  <c r="P23" i="1"/>
  <c r="O22" i="1"/>
  <c r="H38" i="5" s="1"/>
  <c r="Q66" i="5" l="1"/>
  <c r="R63" i="5"/>
  <c r="Q26" i="1"/>
  <c r="I44" i="5"/>
  <c r="I46" i="5" s="1"/>
  <c r="Q23" i="1"/>
  <c r="P22" i="1"/>
  <c r="I38" i="5" s="1"/>
  <c r="S63" i="5" l="1"/>
  <c r="R66" i="5"/>
  <c r="R26" i="1"/>
  <c r="J44" i="5"/>
  <c r="J46" i="5" s="1"/>
  <c r="R23" i="1"/>
  <c r="Q22" i="1"/>
  <c r="J38" i="5" s="1"/>
  <c r="T63" i="5" l="1"/>
  <c r="S66" i="5"/>
  <c r="S26" i="1"/>
  <c r="T26" i="1" s="1"/>
  <c r="U26" i="1" s="1"/>
  <c r="V26" i="1" s="1"/>
  <c r="K44" i="5"/>
  <c r="K46" i="5" s="1"/>
  <c r="E2" i="9" s="1" a="1"/>
  <c r="S23" i="1"/>
  <c r="R22" i="1"/>
  <c r="K38" i="5" s="1"/>
  <c r="T66" i="5" l="1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T23" i="1"/>
  <c r="S22" i="1"/>
  <c r="V63" i="5" l="1"/>
  <c r="U66" i="5"/>
  <c r="U23" i="1"/>
  <c r="T22" i="1"/>
  <c r="W63" i="5" l="1"/>
  <c r="V66" i="5"/>
  <c r="U22" i="1"/>
  <c r="V23" i="1"/>
  <c r="V22" i="1" s="1"/>
  <c r="AC14" i="1"/>
  <c r="X63" i="5" l="1"/>
  <c r="W66" i="5"/>
  <c r="F25" i="5"/>
  <c r="AB18" i="1"/>
  <c r="AB16" i="1"/>
  <c r="AB14" i="1"/>
  <c r="AB12" i="1"/>
  <c r="J11" i="1"/>
  <c r="I11" i="1"/>
  <c r="H11" i="1"/>
  <c r="G11" i="1"/>
  <c r="F11" i="1"/>
  <c r="E11" i="1"/>
  <c r="D11" i="1"/>
  <c r="O14" i="1"/>
  <c r="P14" i="1" s="1"/>
  <c r="Q14" i="1" s="1"/>
  <c r="R14" i="1" s="1"/>
  <c r="S14" i="1" s="1"/>
  <c r="T14" i="1" s="1"/>
  <c r="U14" i="1" s="1"/>
  <c r="V14" i="1" s="1"/>
  <c r="X66" i="5" l="1"/>
  <c r="Y63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J67" i="1"/>
  <c r="AI67" i="1"/>
  <c r="AH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I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1" i="1" s="1"/>
  <c r="V81" i="1" s="1"/>
  <c r="U83" i="1"/>
  <c r="N74" i="1" l="1"/>
  <c r="O74" i="1" s="1"/>
  <c r="P74" i="1" s="1"/>
  <c r="Q74" i="1" s="1"/>
  <c r="R74" i="1" s="1"/>
  <c r="S74" i="1" s="1"/>
  <c r="T74" i="1" s="1"/>
  <c r="U74" i="1" s="1"/>
  <c r="V74" i="1" s="1"/>
  <c r="V67" i="1" s="1"/>
  <c r="L15" i="7"/>
  <c r="L13" i="7" s="1"/>
  <c r="AC74" i="1"/>
  <c r="D25" i="5"/>
  <c r="J69" i="1"/>
  <c r="E50" i="5" s="1"/>
  <c r="K86" i="1"/>
  <c r="M86" i="1" s="1"/>
  <c r="D85" i="1"/>
  <c r="D87" i="1" s="1"/>
  <c r="J86" i="1"/>
  <c r="D24" i="5" s="1"/>
  <c r="K38" i="1"/>
  <c r="J38" i="1"/>
  <c r="M38" i="1" l="1"/>
  <c r="K41" i="1"/>
  <c r="V86" i="1"/>
  <c r="N67" i="1"/>
  <c r="E24" i="5"/>
  <c r="K58" i="1"/>
  <c r="M58" i="1" s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N66" i="1"/>
  <c r="O66" i="1"/>
  <c r="P66" i="1"/>
  <c r="Q66" i="1"/>
  <c r="R66" i="1"/>
  <c r="S66" i="1"/>
  <c r="T66" i="1"/>
  <c r="U66" i="1"/>
  <c r="V66" i="1"/>
  <c r="K66" i="1"/>
  <c r="K56" i="1" s="1"/>
  <c r="M56" i="1" s="1"/>
  <c r="O38" i="1"/>
  <c r="P38" i="1"/>
  <c r="Q38" i="1"/>
  <c r="R38" i="1"/>
  <c r="N38" i="1"/>
  <c r="O67" i="1" l="1"/>
  <c r="AD74" i="1"/>
  <c r="N56" i="1"/>
  <c r="O56" i="1" s="1"/>
  <c r="E54" i="6"/>
  <c r="E56" i="6" s="1"/>
  <c r="F54" i="6"/>
  <c r="K62" i="1"/>
  <c r="P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70" i="5" l="1"/>
  <c r="J3" i="9" s="1"/>
  <c r="M62" i="1"/>
  <c r="P56" i="1"/>
  <c r="Q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Q56" i="1" l="1"/>
  <c r="R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R56" i="1" l="1"/>
  <c r="S56" i="1" s="1"/>
  <c r="S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T56" i="1" l="1"/>
  <c r="S62" i="1"/>
  <c r="L70" i="5" s="1"/>
  <c r="L73" i="5" s="1"/>
  <c r="T67" i="1"/>
  <c r="U67" i="1"/>
  <c r="AE74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U56" i="1" l="1"/>
  <c r="T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V56" i="1" l="1"/>
  <c r="U62" i="1"/>
  <c r="N70" i="5" s="1"/>
  <c r="N73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9" l="1" a="1"/>
  <c r="D18" i="9" s="1"/>
  <c r="K52" i="5"/>
  <c r="L52" i="5"/>
  <c r="V62" i="1"/>
  <c r="O70" i="5" s="1"/>
  <c r="O73" i="5" s="1"/>
  <c r="W56" i="1"/>
  <c r="W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N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O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70" i="5" l="1"/>
  <c r="R73" i="5"/>
  <c r="R54" i="1"/>
  <c r="Q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D38" i="1"/>
  <c r="AE38" i="1"/>
  <c r="X42" i="2"/>
  <c r="F47" i="2"/>
  <c r="X41" i="2"/>
  <c r="X40" i="2"/>
  <c r="X38" i="2"/>
  <c r="X37" i="2"/>
  <c r="X36" i="2"/>
  <c r="X35" i="2"/>
  <c r="X34" i="2"/>
  <c r="S35" i="1"/>
  <c r="T35" i="1"/>
  <c r="U35" i="1"/>
  <c r="J41" i="1"/>
  <c r="I41" i="1"/>
  <c r="H41" i="1"/>
  <c r="AC38" i="1"/>
  <c r="G48" i="2"/>
  <c r="AH38" i="1" s="1"/>
  <c r="AH43" i="1" s="1"/>
  <c r="AC32" i="1"/>
  <c r="S18" i="4"/>
  <c r="R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O26" i="4" l="1"/>
  <c r="O37" i="4"/>
  <c r="O40" i="4" s="1"/>
  <c r="P26" i="4"/>
  <c r="P37" i="4"/>
  <c r="P40" i="4" s="1"/>
  <c r="Q26" i="4"/>
  <c r="Q37" i="4"/>
  <c r="Q40" i="4" s="1"/>
  <c r="R26" i="4"/>
  <c r="R37" i="4"/>
  <c r="R40" i="4" s="1"/>
  <c r="J42" i="1"/>
  <c r="H68" i="1"/>
  <c r="I68" i="1"/>
  <c r="D57" i="5" s="1"/>
  <c r="I42" i="1"/>
  <c r="V70" i="5"/>
  <c r="U73" i="5"/>
  <c r="G47" i="2"/>
  <c r="I44" i="1"/>
  <c r="H44" i="1"/>
  <c r="G32" i="4"/>
  <c r="G33" i="4" s="1"/>
  <c r="K38" i="4"/>
  <c r="K18" i="4" s="1"/>
  <c r="G49" i="2"/>
  <c r="G50" i="2" s="1"/>
  <c r="X43" i="2"/>
  <c r="AE37" i="1"/>
  <c r="Q17" i="4"/>
  <c r="P35" i="1" s="1"/>
  <c r="P34" i="1" s="1"/>
  <c r="Q18" i="4"/>
  <c r="P37" i="1" s="1"/>
  <c r="S17" i="4"/>
  <c r="R35" i="1" s="1"/>
  <c r="L26" i="4"/>
  <c r="M26" i="4"/>
  <c r="M28" i="4"/>
  <c r="P17" i="4" l="1"/>
  <c r="O35" i="1" s="1"/>
  <c r="O34" i="1" s="1"/>
  <c r="R17" i="4"/>
  <c r="Q35" i="1" s="1"/>
  <c r="Q34" i="1" s="1"/>
  <c r="O17" i="4"/>
  <c r="N35" i="1" s="1"/>
  <c r="N34" i="1" s="1"/>
  <c r="N41" i="1"/>
  <c r="O41" i="1" s="1"/>
  <c r="P41" i="1" s="1"/>
  <c r="Q41" i="1" s="1"/>
  <c r="R41" i="1" s="1"/>
  <c r="S41" i="1" s="1"/>
  <c r="T41" i="1" s="1"/>
  <c r="U41" i="1" s="1"/>
  <c r="M41" i="1"/>
  <c r="W70" i="5"/>
  <c r="V73" i="5"/>
  <c r="P33" i="1"/>
  <c r="R34" i="1"/>
  <c r="R33" i="1" s="1"/>
  <c r="AE33" i="1" s="1"/>
  <c r="AD35" i="1"/>
  <c r="N28" i="4"/>
  <c r="M33" i="4"/>
  <c r="M37" i="4" s="1"/>
  <c r="M17" i="4" s="1"/>
  <c r="J35" i="1" s="1"/>
  <c r="J34" i="1" s="1"/>
  <c r="AE35" i="1"/>
  <c r="L34" i="4"/>
  <c r="L38" i="4"/>
  <c r="L18" i="4" s="1"/>
  <c r="P18" i="4"/>
  <c r="O37" i="1" s="1"/>
  <c r="O33" i="1" s="1"/>
  <c r="O18" i="4"/>
  <c r="N37" i="1" s="1"/>
  <c r="N33" i="1" s="1"/>
  <c r="R18" i="4"/>
  <c r="Q37" i="1" s="1"/>
  <c r="Q33" i="1" s="1"/>
  <c r="M34" i="4" l="1"/>
  <c r="X70" i="5"/>
  <c r="W73" i="5"/>
  <c r="J68" i="1"/>
  <c r="E57" i="5" s="1"/>
  <c r="J44" i="1"/>
  <c r="N33" i="4"/>
  <c r="N17" i="4" s="1"/>
  <c r="K35" i="1" s="1"/>
  <c r="M35" i="1" s="1"/>
  <c r="N10" i="4"/>
  <c r="AD37" i="1"/>
  <c r="M38" i="4"/>
  <c r="M18" i="4" s="1"/>
  <c r="J37" i="1" s="1"/>
  <c r="N8" i="4"/>
  <c r="N18" i="4"/>
  <c r="K37" i="1" s="1"/>
  <c r="M37" i="1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K18" i="1" s="1"/>
  <c r="M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E41" i="1"/>
  <c r="F68" i="1"/>
  <c r="G41" i="1"/>
  <c r="D41" i="1"/>
  <c r="D68" i="1" s="1"/>
  <c r="AB33" i="1"/>
  <c r="I47" i="2"/>
  <c r="H47" i="2"/>
  <c r="F24" i="2"/>
  <c r="E68" i="1" l="1"/>
  <c r="E42" i="1"/>
  <c r="F42" i="1"/>
  <c r="G68" i="1"/>
  <c r="G42" i="1"/>
  <c r="H42" i="1"/>
  <c r="Y70" i="5"/>
  <c r="X73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K34" i="1"/>
  <c r="D44" i="1"/>
  <c r="E44" i="1"/>
  <c r="F44" i="1"/>
  <c r="G44" i="1"/>
  <c r="AC37" i="1"/>
  <c r="J85" i="1"/>
  <c r="AD33" i="1"/>
  <c r="H49" i="2"/>
  <c r="H50" i="2" s="1"/>
  <c r="AC35" i="1"/>
  <c r="I49" i="2"/>
  <c r="I50" i="2" s="1"/>
  <c r="AC33" i="1" l="1"/>
  <c r="M34" i="1"/>
  <c r="Z70" i="5"/>
  <c r="Y73" i="5"/>
  <c r="J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I28" i="1" l="1"/>
  <c r="AI29" i="1" s="1"/>
  <c r="AH28" i="1"/>
  <c r="AH29" i="1" s="1"/>
  <c r="AH30" i="1"/>
  <c r="AJ28" i="1"/>
  <c r="AA70" i="5"/>
  <c r="AA73" i="5" s="1"/>
  <c r="Z73" i="5"/>
  <c r="AI30" i="1"/>
  <c r="AI41" i="1" s="1"/>
  <c r="AJ30" i="1"/>
  <c r="AJ41" i="1" s="1"/>
  <c r="AE14" i="1"/>
  <c r="AC67" i="1"/>
  <c r="K69" i="1"/>
  <c r="F50" i="5" l="1"/>
  <c r="F53" i="5" s="1"/>
  <c r="M69" i="1"/>
  <c r="N18" i="1"/>
  <c r="AC18" i="1"/>
  <c r="AH41" i="1"/>
  <c r="K11" i="1"/>
  <c r="M11" i="1" s="1"/>
  <c r="AC31" i="1"/>
  <c r="AC43" i="1" s="1"/>
  <c r="V41" i="1"/>
  <c r="V69" i="1" l="1"/>
  <c r="AB41" i="1"/>
  <c r="AI44" i="1"/>
  <c r="O18" i="1"/>
  <c r="K68" i="1"/>
  <c r="K44" i="1"/>
  <c r="M44" i="1" s="1"/>
  <c r="AC41" i="1"/>
  <c r="AN41" i="1" s="1"/>
  <c r="AD31" i="1"/>
  <c r="F57" i="5" l="1"/>
  <c r="F59" i="5" s="1"/>
  <c r="M68" i="1"/>
  <c r="AM41" i="1"/>
  <c r="N44" i="1"/>
  <c r="N68" i="1"/>
  <c r="G57" i="5" s="1"/>
  <c r="G59" i="5" s="1"/>
  <c r="P18" i="1"/>
  <c r="O12" i="1"/>
  <c r="N30" i="1"/>
  <c r="AE31" i="1"/>
  <c r="Q18" i="1" l="1"/>
  <c r="AD18" i="1" s="1"/>
  <c r="P12" i="1"/>
  <c r="O11" i="1"/>
  <c r="O68" i="1"/>
  <c r="H57" i="5" s="1"/>
  <c r="H59" i="5" s="1"/>
  <c r="O44" i="1"/>
  <c r="P44" i="1"/>
  <c r="O30" i="1"/>
  <c r="R18" i="1" l="1"/>
  <c r="Q12" i="1"/>
  <c r="AD12" i="1" s="1"/>
  <c r="P11" i="1"/>
  <c r="P30" i="1"/>
  <c r="P68" i="1"/>
  <c r="I57" i="5" s="1"/>
  <c r="I59" i="5" s="1"/>
  <c r="Q44" i="1" l="1"/>
  <c r="R44" i="1"/>
  <c r="S18" i="1"/>
  <c r="R12" i="1"/>
  <c r="Q11" i="1"/>
  <c r="Q30" i="1"/>
  <c r="Q68" i="1"/>
  <c r="J57" i="5" s="1"/>
  <c r="J59" i="5" s="1"/>
  <c r="AD41" i="1"/>
  <c r="T18" i="1" l="1"/>
  <c r="S12" i="1"/>
  <c r="R11" i="1"/>
  <c r="R30" i="1"/>
  <c r="R68" i="1"/>
  <c r="K57" i="5" s="1"/>
  <c r="S44" i="1"/>
  <c r="K59" i="5" l="1"/>
  <c r="L57" i="5"/>
  <c r="M57" i="5" s="1"/>
  <c r="U18" i="1"/>
  <c r="T12" i="1"/>
  <c r="S11" i="1"/>
  <c r="S68" i="1"/>
  <c r="S30" i="1"/>
  <c r="T44" i="1"/>
  <c r="M59" i="5" l="1"/>
  <c r="N57" i="5"/>
  <c r="V18" i="1"/>
  <c r="AE18" i="1"/>
  <c r="U12" i="1"/>
  <c r="T11" i="1"/>
  <c r="T68" i="1"/>
  <c r="T30" i="1"/>
  <c r="N59" i="5" l="1"/>
  <c r="O57" i="5"/>
  <c r="U44" i="1"/>
  <c r="U11" i="1"/>
  <c r="V12" i="1"/>
  <c r="V11" i="1" s="1"/>
  <c r="AE12" i="1"/>
  <c r="U68" i="1"/>
  <c r="AE41" i="1"/>
  <c r="U30" i="1"/>
  <c r="O59" i="5" l="1"/>
  <c r="P57" i="5"/>
  <c r="V68" i="1"/>
  <c r="V44" i="1"/>
  <c r="G70" i="5"/>
  <c r="G73" i="5" s="1"/>
  <c r="N69" i="1"/>
  <c r="G50" i="5" s="1"/>
  <c r="G53" i="5" s="1"/>
  <c r="N86" i="1"/>
  <c r="F24" i="5" s="1"/>
  <c r="F27" i="5" s="1"/>
  <c r="Q57" i="5" l="1"/>
  <c r="P59" i="5"/>
  <c r="O86" i="1"/>
  <c r="G24" i="5" s="1"/>
  <c r="G27" i="5" s="1"/>
  <c r="H70" i="5"/>
  <c r="H73" i="5" s="1"/>
  <c r="O69" i="1"/>
  <c r="H50" i="5" s="1"/>
  <c r="H53" i="5" s="1"/>
  <c r="R57" i="5" l="1"/>
  <c r="Q59" i="5"/>
  <c r="I70" i="5"/>
  <c r="I73" i="5" s="1"/>
  <c r="P86" i="1"/>
  <c r="H24" i="5" s="1"/>
  <c r="H27" i="5" s="1"/>
  <c r="P69" i="1"/>
  <c r="I50" i="5" s="1"/>
  <c r="I53" i="5" s="1"/>
  <c r="S57" i="5" l="1"/>
  <c r="R59" i="5"/>
  <c r="J70" i="5"/>
  <c r="J73" i="5" s="1"/>
  <c r="AD67" i="1"/>
  <c r="Q86" i="1"/>
  <c r="I24" i="5" s="1"/>
  <c r="I27" i="5" s="1"/>
  <c r="Q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R69" i="1"/>
  <c r="R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S86" i="1"/>
  <c r="K24" i="5" s="1"/>
  <c r="K27" i="5" s="1"/>
  <c r="S69" i="1"/>
  <c r="L53" i="5" s="1"/>
  <c r="Q50" i="5" l="1"/>
  <c r="P53" i="5"/>
  <c r="U59" i="5"/>
  <c r="V57" i="5"/>
  <c r="T86" i="1"/>
  <c r="L24" i="5" s="1"/>
  <c r="L27" i="5" s="1"/>
  <c r="T69" i="1"/>
  <c r="M53" i="5" s="1"/>
  <c r="R50" i="5" l="1"/>
  <c r="Q53" i="5"/>
  <c r="V59" i="5"/>
  <c r="W57" i="5"/>
  <c r="U69" i="1"/>
  <c r="N53" i="5" s="1"/>
  <c r="U86" i="1"/>
  <c r="M24" i="5" s="1"/>
  <c r="AE67" i="1"/>
  <c r="M27" i="5" l="1"/>
  <c r="N24" i="5"/>
  <c r="S50" i="5"/>
  <c r="R53" i="5"/>
  <c r="W59" i="5"/>
  <c r="X57" i="5"/>
  <c r="N72" i="1"/>
  <c r="O72" i="1" s="1"/>
  <c r="K85" i="1"/>
  <c r="M85" i="1" s="1"/>
  <c r="O24" i="5" l="1"/>
  <c r="N27" i="5"/>
  <c r="S53" i="5"/>
  <c r="T50" i="5"/>
  <c r="Y57" i="5"/>
  <c r="X59" i="5"/>
  <c r="N71" i="1"/>
  <c r="N85" i="1" s="1"/>
  <c r="K87" i="1"/>
  <c r="O71" i="1"/>
  <c r="O85" i="1" s="1"/>
  <c r="P72" i="1"/>
  <c r="M87" i="1" l="1"/>
  <c r="F31" i="5"/>
  <c r="F34" i="5" s="1"/>
  <c r="O27" i="5"/>
  <c r="P24" i="5"/>
  <c r="T53" i="5"/>
  <c r="U50" i="5"/>
  <c r="Z57" i="5"/>
  <c r="Y59" i="5"/>
  <c r="N87" i="1"/>
  <c r="G31" i="5" s="1"/>
  <c r="G34" i="5" s="1"/>
  <c r="Q72" i="1"/>
  <c r="P71" i="1"/>
  <c r="P85" i="1" s="1"/>
  <c r="O87" i="1"/>
  <c r="H31" i="5" s="1"/>
  <c r="H34" i="5" s="1"/>
  <c r="Q24" i="5" l="1"/>
  <c r="P27" i="5"/>
  <c r="U53" i="5"/>
  <c r="V50" i="5"/>
  <c r="AA57" i="5"/>
  <c r="AA59" i="5" s="1"/>
  <c r="Z59" i="5"/>
  <c r="P87" i="1"/>
  <c r="I31" i="5" s="1"/>
  <c r="I34" i="5" s="1"/>
  <c r="R72" i="1"/>
  <c r="Q71" i="1"/>
  <c r="Q85" i="1" s="1"/>
  <c r="R24" i="5" l="1"/>
  <c r="Q27" i="5"/>
  <c r="W50" i="5"/>
  <c r="V53" i="5"/>
  <c r="S72" i="1"/>
  <c r="R71" i="1"/>
  <c r="R85" i="1" s="1"/>
  <c r="Q87" i="1"/>
  <c r="J31" i="5" s="1"/>
  <c r="J34" i="5"/>
  <c r="R27" i="5" l="1"/>
  <c r="S24" i="5"/>
  <c r="X50" i="5"/>
  <c r="W53" i="5"/>
  <c r="R87" i="1"/>
  <c r="K31" i="5" s="1"/>
  <c r="K34" i="5" s="1"/>
  <c r="S71" i="1"/>
  <c r="S85" i="1" s="1"/>
  <c r="T72" i="1"/>
  <c r="S27" i="5" l="1"/>
  <c r="T24" i="5"/>
  <c r="Y50" i="5"/>
  <c r="X53" i="5"/>
  <c r="S87" i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T71" i="1"/>
  <c r="T85" i="1" s="1"/>
  <c r="U72" i="1"/>
  <c r="U71" i="1" l="1"/>
  <c r="U85" i="1" s="1"/>
  <c r="U87" i="1" s="1"/>
  <c r="V72" i="1"/>
  <c r="V71" i="1" s="1"/>
  <c r="V85" i="1" s="1"/>
  <c r="V87" i="1" s="1"/>
  <c r="T27" i="5"/>
  <c r="U24" i="5"/>
  <c r="L34" i="5"/>
  <c r="Z50" i="5"/>
  <c r="Y53" i="5"/>
  <c r="T87" i="1"/>
  <c r="U27" i="5" l="1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tc={89A8CDBA-088C-407A-AF86-C52D67EAF64E}</author>
    <author>tc={BB3C9FFB-27AB-4187-8D8E-801A1DB57782}</author>
    <author>tc={1B105238-E1C8-4219-83F1-61E40A0FC553}</author>
    <author>tc={7314685E-335E-47AA-B478-1BA6ABF2BDA3}</author>
    <author>tc={8EC230A4-5D8F-44F9-8723-C06BBE1A66FC}</author>
    <author>tc={2D81BDF9-A0D8-4A1A-915B-91D32E8E61FF}</author>
    <author>tc={33EF6DF5-9556-47EC-86E1-A12FDBDC0AA8}</author>
    <author>tc={82CA3AE7-50FB-4F26-A21A-362FCDD169CB}</author>
    <author>tc={11731043-8530-4DAC-9476-3C98D0D836BB}</author>
    <author>tc={A2EEA12B-3EC3-4F40-A98C-7C6953D5CE7E}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2" authorId="1" shapeId="0" xr:uid="{89A8CDBA-088C-407A-AF86-C52D67EA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6" authorId="2" shapeId="0" xr:uid="{BB3C9FFB-27AB-4187-8D8E-801A1DB577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30 to previous</t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8" authorId="3" shapeId="0" xr:uid="{1B105238-E1C8-4219-83F1-61E40A0FC55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3.2
</t>
        </r>
      </text>
    </comment>
    <comment ref="A31" authorId="0" shapeId="0" xr:uid="{C5874266-DAEE-4D89-A899-CF29CEDEE179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4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48" authorId="5" shapeId="0" xr:uid="{8EC230A4-5D8F-44F9-8723-C06BBE1A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 from covid_quartely outlays document</t>
      </text>
    </comment>
    <comment ref="J56" authorId="6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7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indexed="81"/>
            <rFont val="Tahoma"/>
            <family val="2"/>
          </rPr>
          <t>Kadija Yilla:
Table 3.24U</t>
        </r>
      </text>
    </comment>
    <comment ref="L67" authorId="8" shapeId="0" xr:uid="{82CA3AE7-50FB-4F26-A21A-362FCDD169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2" authorId="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74" authorId="10" shapeId="0" xr:uid="{A2EEA12B-3EC3-4F40-A98C-7C6953D5CE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9" authorId="11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12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13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14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5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<sst xmlns="http://schemas.openxmlformats.org/spreadsheetml/2006/main" count="734" uniqueCount="296">
  <si>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</si>
  <si>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</si>
  <si>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</si>
  <si>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</si>
  <si>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</si>
  <si>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</si>
  <si>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</si>
  <si>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</si>
  <si>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</si>
  <si>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</si>
  <si>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</si>
  <si>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</si>
  <si>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</si>
  <si>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</si>
  <si>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</si>
  <si>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</si>
  <si>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</si>
  <si>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</si>
  <si>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</si>
  <si>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</si>
  <si>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</si>
  <si>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</si>
  <si>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</si>
  <si>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</si>
  <si>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</si>
  <si>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</si>
  <si>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</si>
  <si>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</si>
  <si>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</si>
  <si>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</si>
  <si>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</si>
  <si>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</si>
  <si>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</si>
  <si>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</si>
  <si>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</si>
  <si>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</si>
  <si>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</si>
  <si>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</si>
  <si>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</si>
  <si>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</si>
  <si>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</si>
  <si>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</si>
  <si>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</si>
  <si>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</si>
  <si>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</si>
  <si>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</si>
  <si>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</si>
  <si>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</si>
  <si>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</si>
  <si>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</si>
  <si>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</si>
  <si>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</si>
  <si>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</si>
  <si>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</si>
  <si>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</si>
  <si>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</si>
  <si>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</si>
  <si>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</si>
  <si>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</si>
  <si>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</si>
  <si>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</si>
  <si>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</si>
  <si>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</si>
  <si>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</si>
  <si>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</si>
  <si>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</si>
  <si>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</si>
  <si>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</si>
  <si>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</si>
  <si>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</si>
  <si>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</si>
  <si>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</si>
  <si>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</si>
  <si>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</si>
  <si>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</si>
  <si>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</si>
  <si>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</si>
  <si>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</si>
  <si>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</si>
  <si>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</si>
  <si>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</si>
  <si>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</si>
  <si>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</si>
  <si>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</si>
  <si>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</si>
  <si>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</si>
  <si>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</si>
  <si>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</si>
  <si>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</si>
  <si>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</si>
  <si>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</si>
  <si>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</si>
  <si>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</si>
  <si>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</si>
  <si>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</si>
  <si>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</si>
  <si>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</si>
  <si>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</si>
  <si>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</si>
  <si>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</si>
  <si>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</si>
  <si>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</si>
  <si>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</si>
  <si>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</si>
  <si>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</si>
  <si>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</si>
  <si>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</si>
  <si>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</si>
  <si>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</si>
  <si>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</si>
  <si>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</si>
  <si>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</si>
  <si>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</si>
  <si>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</si>
  <si>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</si>
  <si>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</si>
  <si>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</si>
  <si>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</si>
  <si>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</si>
  <si>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</si>
  <si>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</si>
  <si>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</si>
  <si>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</si>
  <si>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</si>
  <si>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</si>
  <si>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</si>
  <si>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</si>
  <si>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</si>
  <si>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</si>
  <si>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</si>
  <si>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</si>
  <si>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</si>
  <si>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</si>
  <si>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</si>
  <si>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</si>
  <si>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</si>
  <si>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</si>
  <si>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</si>
  <si>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</si>
  <si>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</si>
  <si>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</si>
  <si>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</si>
  <si>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</si>
  <si>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</si>
  <si>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</si>
  <si>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</si>
  <si>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</si>
  <si>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</si>
  <si>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</si>
  <si>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</si>
  <si>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</si>
  <si>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</si>
  <si>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</si>
  <si>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</si>
  <si>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</si>
  <si>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</si>
  <si>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</si>
  <si>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</si>
  <si>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</si>
  <si>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</si>
  <si>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</si>
  <si>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</si>
  <si>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</si>
  <si>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</si>
  <si>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</si>
  <si>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</si>
  <si>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</si>
  <si>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</si>
  <si>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</si>
  <si>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</si>
  <si>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</si>
  <si>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</si>
  <si>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</si>
  <si>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</si>
  <si>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</si>
  <si>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</si>
  <si>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</si>
  <si>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</si>
  <si>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</si>
  <si>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</si>
  <si>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</si>
  <si>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</si>
  <si>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</si>
  <si>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</si>
  <si>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</si>
  <si>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</si>
  <si>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</si>
  <si>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</si>
  <si>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</si>
  <si>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</si>
  <si>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</si>
  <si>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</si>
  <si>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</si>
  <si>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</si>
  <si>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</si>
  <si>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</si>
  <si>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</si>
  <si>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</si>
  <si>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</si>
  <si>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</si>
  <si>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</si>
  <si>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</si>
  <si>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</si>
  <si>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</si>
  <si>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</si>
  <si>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</si>
  <si>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</si>
  <si>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</si>
  <si>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</si>
  <si>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</si>
  <si>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</si>
  <si>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</si>
  <si>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</si>
  <si>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</si>
  <si>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</si>
  <si>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</si>
  <si>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</si>
  <si>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</si>
  <si>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</si>
  <si>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</si>
  <si>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</si>
  <si>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</si>
  <si>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</si>
  <si>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</si>
  <si>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</si>
  <si>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</si>
  <si>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</si>
  <si>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</si>
  <si>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</si>
  <si>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</si>
  <si>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</si>
  <si>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</si>
  <si>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</si>
  <si>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</si>
  <si>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</si>
  <si>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</si>
  <si>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</si>
  <si>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</si>
  <si>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</si>
  <si>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</si>
  <si>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</si>
  <si>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</si>
  <si>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</si>
  <si>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</si>
  <si>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</si>
  <si>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</si>
  <si>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</si>
  <si>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</si>
  <si>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</si>
  <si>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</si>
  <si>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</si>
  <si>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</si>
  <si>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</si>
  <si>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</si>
  <si>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</si>
  <si>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</si>
  <si>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</si>
  <si>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</si>
  <si>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</si>
  <si>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</si>
  <si>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</si>
  <si>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</si>
  <si>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</si>
  <si>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</si>
  <si>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</si>
  <si>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</si>
  <si>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</si>
  <si>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</si>
  <si>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</si>
  <si>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</si>
  <si>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</si>
  <si>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</si>
  <si>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</si>
  <si>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</si>
  <si>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</si>
  <si>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</si>
  <si>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</si>
  <si>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</si>
  <si>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</si>
  <si>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</si>
  <si>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</si>
  <si>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</si>
  <si>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</si>
  <si>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</si>
  <si>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</si>
  <si>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</si>
  <si>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</si>
  <si>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Estimate</t>
  </si>
  <si>
    <t>x</t>
  </si>
  <si>
    <t>Difference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</si>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</sst>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0" fontId="0" fillId="0" borderId="0" xfId="0" applyAlignment="1">
      <alignment horizontal="center"/>
    </xf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70" fontId="0" fillId="9" borderId="0" xfId="0" applyNumberFormat="1" applyFill="1"/>
    <xf numFmtId="10" fontId="26" fillId="9" borderId="0" xfId="7" applyNumberFormat="1" applyFont="1" applyFill="1"/>
    <xf numFmtId="2" fontId="26" fillId="9" borderId="0" xfId="7" applyNumberFormat="1" applyFont="1" applyFill="1"/>
    <xf numFmtId="170" fontId="26" fillId="9" borderId="0" xfId="0" applyNumberFormat="1" applyFont="1" applyFill="1"/>
    <xf numFmtId="2" fontId="0" fillId="9" borderId="0" xfId="0" applyNumberFormat="1" applyFill="1"/>
    <xf numFmtId="10" fontId="24" fillId="9" borderId="0" xfId="7" applyNumberFormat="1" applyFont="1" applyFill="1"/>
    <xf numFmtId="1" fontId="0" fillId="9" borderId="0" xfId="0" applyNumberFormat="1" applyFill="1"/>
    <xf numFmtId="169" fontId="0" fillId="9" borderId="0" xfId="1" applyNumberFormat="1" applyFont="1" applyFill="1"/>
    <xf numFmtId="169" fontId="26" fillId="9" borderId="0" xfId="1" applyNumberFormat="1" applyFont="1" applyFill="1"/>
    <xf numFmtId="169" fontId="0" fillId="9" borderId="0" xfId="0" applyNumberFormat="1" applyFill="1"/>
    <xf numFmtId="43" fontId="0" fillId="9" borderId="0" xfId="1" applyFont="1" applyFill="1"/>
    <xf numFmtId="43" fontId="22" fillId="9" borderId="0" xfId="1" applyFont="1" applyFill="1"/>
    <xf numFmtId="43" fontId="0" fillId="9" borderId="0" xfId="0" applyNumberFormat="1" applyFill="1"/>
    <xf numFmtId="171" fontId="26" fillId="9" borderId="0" xfId="7" applyNumberFormat="1" applyFont="1" applyFill="1"/>
    <xf numFmtId="0" fontId="24" fillId="9" borderId="0" xfId="0" applyFont="1" applyFill="1" applyAlignment="1">
      <alignment horizontal="left" indent="2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0" fontId="2" fillId="17" borderId="0" xfId="0" applyFont="1" applyFill="1" applyAlignment="1">
      <alignment horizontal="center"/>
    </xf>
    <xf numFmtId="0" fontId="0" fillId="17" borderId="0" xfId="0" applyFill="1"/>
    <xf numFmtId="170" fontId="0" fillId="17" borderId="0" xfId="0" applyNumberFormat="1" applyFill="1"/>
    <xf numFmtId="2" fontId="26" fillId="17" borderId="0" xfId="7" applyNumberFormat="1" applyFont="1" applyFill="1"/>
    <xf numFmtId="2" fontId="0" fillId="17" borderId="0" xfId="0" applyNumberFormat="1" applyFill="1"/>
    <xf numFmtId="43" fontId="0" fillId="17" borderId="0" xfId="0" applyNumberFormat="1" applyFill="1"/>
    <xf numFmtId="169" fontId="24" fillId="16" borderId="33" xfId="1" applyNumberFormat="1" applyFont="1" applyFill="1" applyBorder="1"/>
    <xf numFmtId="43" fontId="24" fillId="0" borderId="0" xfId="1" applyFont="1" applyFill="1"/>
    <xf numFmtId="43" fontId="24" fillId="9" borderId="0" xfId="1" applyFont="1" applyFill="1"/>
    <xf numFmtId="170" fontId="24" fillId="17" borderId="0" xfId="0" applyNumberFormat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170" fontId="0" fillId="12" borderId="0" xfId="0" applyNumberFormat="1" applyFill="1"/>
    <xf numFmtId="0" fontId="0" fillId="12" borderId="31" xfId="0" applyFill="1" applyBorder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ookingsinstitution.sharepoint.com/sites/hutchinscenterteam/Shared%20Documents/Projects/Fiscal%20Impact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0-10-29T13:51:40.74" personId="{2D35AFA9-F227-4AE7-B9A7-D673D9D18C70}" id="{89A8CDBA-088C-407A-AF86-C52D67EAF64E}">
    <text>was a formula using the FY estimate</text>
  </threadedComment>
  <threadedComment ref="L16" dT="2020-10-29T13:52:01.49" personId="{2D35AFA9-F227-4AE7-B9A7-D673D9D18C70}" id="{BB3C9FFB-27AB-4187-8D8E-801A1DB57782}">
    <text>added 30 to previous</text>
  </threadedComment>
  <threadedComment ref="L18" dT="2020-10-29T13:51:31.61" personId="{2D35AFA9-F227-4AE7-B9A7-D673D9D18C70}" id="{1B105238-E1C8-4219-83F1-61E40A0FC553}">
    <text>was a formula using the FY estimate</text>
  </threadedComment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L48" dT="2020-10-29T14:36:46.07" personId="{2D35AFA9-F227-4AE7-B9A7-D673D9D18C70}" id="{8EC230A4-5D8F-44F9-8723-C06BBE1A66FC}">
    <text>estimates from covid_quartely outlays document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67" dT="2020-10-29T13:45:12.38" personId="{2D35AFA9-F227-4AE7-B9A7-D673D9D18C70}" id="{82CA3AE7-50FB-4F26-A21A-362FCDD169CB}">
    <text>was a formula using the FY estimate</text>
  </threadedComment>
  <threadedComment ref="N72" dT="2020-09-11T20:43:00.49" personId="{2D35AFA9-F227-4AE7-B9A7-D673D9D18C70}" id="{11731043-8530-4DAC-9476-3C98D0D836BB}">
    <text>grow with S&amp;L nom purchases</text>
  </threadedComment>
  <threadedComment ref="L74" dT="2020-10-29T13:51:24.61" personId="{2D35AFA9-F227-4AE7-B9A7-D673D9D18C70}" id="{A2EEA12B-3EC3-4F40-A98C-7C6953D5CE7E}">
    <text>was a formula using the FY estimate</text>
  </threadedComment>
  <threadedComment ref="N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40" zoomScaleNormal="140" workbookViewId="0">
      <pane xSplit="2" ySplit="3" topLeftCell="Q67" activePane="bottomRight" state="frozen"/>
      <selection pane="topRight" activeCell="C1" sqref="C1"/>
      <selection pane="bottomLeft" activeCell="A4" sqref="A4"/>
      <selection pane="bottomRight" activeCell="Q87" sqref="Q8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1" width="16.1640625" bestFit="1" customWidth="1"/>
    <col min="12" max="12" width="13.1640625" hidden="1" customWidth="1"/>
    <col min="13" max="13" width="9.83203125" style="286" hidden="1" customWidth="1"/>
    <col min="14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302" t="s">
        <v>164</v>
      </c>
      <c r="B1" s="302"/>
      <c r="C1" s="35"/>
      <c r="K1" s="266" t="s">
        <v>286</v>
      </c>
      <c r="L1" s="267" t="s">
        <v>287</v>
      </c>
      <c r="M1" s="285" t="s">
        <v>289</v>
      </c>
      <c r="AB1" s="180" t="s">
        <v>251</v>
      </c>
      <c r="AC1" s="304" t="s">
        <v>249</v>
      </c>
      <c r="AD1" s="304"/>
      <c r="AE1" s="304"/>
      <c r="AF1" t="s">
        <v>28</v>
      </c>
      <c r="AH1" s="305" t="s">
        <v>284</v>
      </c>
      <c r="AI1" s="305"/>
      <c r="AJ1" s="305"/>
      <c r="AK1" s="305"/>
      <c r="AL1" s="303" t="s">
        <v>282</v>
      </c>
      <c r="AM1" s="303"/>
      <c r="AN1" s="303"/>
      <c r="AO1" s="303"/>
    </row>
    <row r="2" spans="1:42" x14ac:dyDescent="0.2">
      <c r="D2" s="301" t="s">
        <v>21</v>
      </c>
      <c r="E2" s="301"/>
      <c r="F2" s="301"/>
      <c r="G2" s="301"/>
      <c r="H2" s="301" t="s">
        <v>9</v>
      </c>
      <c r="I2" s="301"/>
      <c r="J2" s="301"/>
      <c r="K2" s="301"/>
      <c r="L2" s="234"/>
      <c r="M2" s="265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270</v>
      </c>
      <c r="W2" s="301"/>
      <c r="X2" s="301"/>
      <c r="Y2" s="301"/>
      <c r="Z2" s="230"/>
      <c r="AA2" s="230"/>
      <c r="AB2" s="156"/>
      <c r="AC2" s="301" t="s">
        <v>102</v>
      </c>
      <c r="AD2" s="301"/>
      <c r="AE2" s="301"/>
      <c r="AF2" s="156"/>
      <c r="AG2" s="156" t="s">
        <v>21</v>
      </c>
      <c r="AH2" s="301" t="s">
        <v>102</v>
      </c>
      <c r="AI2" s="301"/>
      <c r="AJ2" s="301"/>
      <c r="AK2" s="231"/>
    </row>
    <row r="3" spans="1:42" x14ac:dyDescent="0.2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s="107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1" t="s">
        <v>9</v>
      </c>
      <c r="AD3" s="132" t="s">
        <v>12</v>
      </c>
      <c r="AE3" s="132" t="s">
        <v>11</v>
      </c>
      <c r="AF3" s="2" t="s">
        <v>250</v>
      </c>
      <c r="AG3" s="2" t="s">
        <v>160</v>
      </c>
      <c r="AH3" s="184" t="s">
        <v>9</v>
      </c>
      <c r="AI3" s="97" t="s">
        <v>12</v>
      </c>
      <c r="AJ3" s="97" t="s">
        <v>11</v>
      </c>
      <c r="AK3" s="97" t="s">
        <v>270</v>
      </c>
      <c r="AM3" s="97" t="s">
        <v>12</v>
      </c>
      <c r="AN3" s="97" t="s">
        <v>11</v>
      </c>
      <c r="AO3" s="97" t="s">
        <v>270</v>
      </c>
    </row>
    <row r="4" spans="1:42" ht="19" x14ac:dyDescent="0.25">
      <c r="A4" s="300" t="s">
        <v>266</v>
      </c>
      <c r="B4" s="300"/>
      <c r="D4" s="200"/>
      <c r="E4" s="200"/>
      <c r="F4" s="200"/>
      <c r="G4" s="200"/>
      <c r="H4" s="200"/>
      <c r="I4" s="200"/>
      <c r="J4" s="200"/>
      <c r="L4" s="107"/>
      <c r="AB4" s="193"/>
      <c r="AC4" s="181"/>
      <c r="AD4" s="193"/>
      <c r="AE4" s="193"/>
      <c r="AF4" s="192"/>
      <c r="AG4" s="192"/>
      <c r="AH4" s="184"/>
      <c r="AI4" s="97"/>
      <c r="AJ4" s="97"/>
      <c r="AK4" s="97"/>
    </row>
    <row r="5" spans="1:42" x14ac:dyDescent="0.2">
      <c r="A5" t="s">
        <v>263</v>
      </c>
      <c r="B5" t="s">
        <v>288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 s="268">
        <v>20368.623608267801</v>
      </c>
      <c r="M5" s="287">
        <f>K5-L5</f>
        <v>788.97639173219795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3"/>
      <c r="AC5" s="181"/>
      <c r="AD5" s="193"/>
      <c r="AE5" s="193"/>
      <c r="AF5" s="192"/>
      <c r="AG5" s="192"/>
      <c r="AH5" s="184"/>
      <c r="AI5" s="97"/>
      <c r="AJ5" s="97"/>
      <c r="AK5" s="97"/>
    </row>
    <row r="6" spans="1:42" s="171" customFormat="1" x14ac:dyDescent="0.2">
      <c r="A6" s="170" t="s">
        <v>217</v>
      </c>
      <c r="D6" s="202"/>
      <c r="E6" s="203">
        <f>E5/D5-1</f>
        <v>9.8230981496802983E-3</v>
      </c>
      <c r="F6" s="203">
        <f t="shared" ref="F6:V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269">
        <v>4.3469224454167898E-2</v>
      </c>
      <c r="M6" s="287"/>
      <c r="N6" s="199">
        <f>N5/K5-1</f>
        <v>2.0221686651000326E-2</v>
      </c>
      <c r="O6" s="199">
        <f t="shared" si="0"/>
        <v>1.6584913488053799E-2</v>
      </c>
      <c r="P6" s="199">
        <f t="shared" si="0"/>
        <v>1.5901441788333637E-2</v>
      </c>
      <c r="Q6" s="199">
        <f t="shared" si="0"/>
        <v>1.6730073962049286E-2</v>
      </c>
      <c r="R6" s="199">
        <f t="shared" si="0"/>
        <v>1.1020986822230627E-2</v>
      </c>
      <c r="S6" s="199">
        <f t="shared" si="0"/>
        <v>9.9767362739422438E-3</v>
      </c>
      <c r="T6" s="199">
        <f t="shared" si="0"/>
        <v>9.7780367450215344E-3</v>
      </c>
      <c r="U6" s="199">
        <f t="shared" si="0"/>
        <v>1.0125144258513741E-2</v>
      </c>
      <c r="V6" s="199">
        <f t="shared" si="0"/>
        <v>1.0170928727628814E-2</v>
      </c>
      <c r="W6" s="177"/>
      <c r="X6" s="174"/>
      <c r="Y6" s="174"/>
      <c r="Z6" s="174"/>
      <c r="AA6" s="174"/>
      <c r="AB6" s="174"/>
      <c r="AC6" s="175"/>
      <c r="AD6" s="175"/>
      <c r="AE6" s="175"/>
      <c r="AF6" s="176"/>
      <c r="AH6" s="176"/>
      <c r="AI6" s="176"/>
      <c r="AJ6" s="176"/>
      <c r="AK6" s="176"/>
      <c r="AL6" s="244"/>
    </row>
    <row r="7" spans="1:42" x14ac:dyDescent="0.2">
      <c r="A7" t="s">
        <v>264</v>
      </c>
      <c r="B7" t="s">
        <v>288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 s="268">
        <v>17994.287671353301</v>
      </c>
      <c r="M7" s="287">
        <f t="shared" ref="M7" si="1">K7-L7</f>
        <v>589.71232864669946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3"/>
      <c r="AC7" s="181"/>
      <c r="AD7" s="193"/>
      <c r="AE7" s="193"/>
      <c r="AF7" s="192"/>
      <c r="AG7" s="192"/>
      <c r="AH7" s="184"/>
      <c r="AI7" s="97"/>
      <c r="AJ7" s="97"/>
      <c r="AK7" s="97"/>
    </row>
    <row r="8" spans="1:42" s="214" customFormat="1" ht="12" x14ac:dyDescent="0.15">
      <c r="A8" s="214" t="s">
        <v>265</v>
      </c>
      <c r="D8" s="218"/>
      <c r="E8" s="218"/>
      <c r="F8" s="218"/>
      <c r="G8" s="218"/>
      <c r="H8" s="218"/>
      <c r="I8" s="218"/>
      <c r="J8" s="218"/>
      <c r="K8" s="217"/>
      <c r="L8" s="270"/>
      <c r="M8" s="288"/>
      <c r="N8" s="217"/>
      <c r="O8" s="217"/>
      <c r="P8" s="217"/>
      <c r="Q8" s="217"/>
      <c r="R8" s="217"/>
      <c r="S8" s="217"/>
      <c r="T8" s="217"/>
      <c r="U8" s="217"/>
      <c r="V8" s="217"/>
      <c r="W8" s="223"/>
      <c r="AB8" s="215"/>
      <c r="AC8" s="216"/>
      <c r="AD8" s="215"/>
      <c r="AE8" s="215"/>
      <c r="AH8" s="216"/>
      <c r="AI8" s="215"/>
      <c r="AJ8" s="215"/>
      <c r="AK8" s="215"/>
      <c r="AL8" s="245"/>
    </row>
    <row r="9" spans="1:42" x14ac:dyDescent="0.2">
      <c r="D9" s="200"/>
      <c r="E9" s="200"/>
      <c r="F9" s="200"/>
      <c r="G9" s="200"/>
      <c r="H9" s="200"/>
      <c r="I9" s="200"/>
      <c r="J9" s="200"/>
      <c r="L9" s="107"/>
      <c r="AB9" s="193"/>
      <c r="AC9" s="181"/>
      <c r="AD9" s="193"/>
      <c r="AE9" s="193"/>
      <c r="AF9" s="192"/>
      <c r="AG9" s="192"/>
      <c r="AH9" s="184"/>
      <c r="AI9" s="97"/>
      <c r="AJ9" s="97"/>
      <c r="AK9" s="97"/>
    </row>
    <row r="10" spans="1:42" x14ac:dyDescent="0.2">
      <c r="A10" t="s">
        <v>1</v>
      </c>
      <c r="D10" s="200"/>
      <c r="E10" s="200"/>
      <c r="F10" s="200"/>
      <c r="G10" s="200"/>
      <c r="H10" s="200"/>
      <c r="I10" s="200"/>
      <c r="J10" s="200"/>
      <c r="L10" s="107"/>
      <c r="AC10" s="146"/>
      <c r="AH10" s="146"/>
    </row>
    <row r="11" spans="1:42" x14ac:dyDescent="0.2">
      <c r="A11" s="178" t="s">
        <v>260</v>
      </c>
      <c r="D11" s="201">
        <f>D12+D14+D16</f>
        <v>3178</v>
      </c>
      <c r="E11" s="201">
        <f t="shared" ref="E11:V11" si="2">E12+E14+E16</f>
        <v>3259.5</v>
      </c>
      <c r="F11" s="201">
        <f t="shared" si="2"/>
        <v>3269.2</v>
      </c>
      <c r="G11" s="201">
        <f t="shared" si="2"/>
        <v>3290.6</v>
      </c>
      <c r="H11" s="201">
        <f t="shared" si="2"/>
        <v>3336.3</v>
      </c>
      <c r="I11" s="201">
        <f t="shared" si="2"/>
        <v>3376.8</v>
      </c>
      <c r="J11" s="201">
        <f t="shared" si="2"/>
        <v>3091.4840000000004</v>
      </c>
      <c r="K11" s="168">
        <f t="shared" si="2"/>
        <v>3245.1670000000004</v>
      </c>
      <c r="L11" s="268">
        <v>3037.5306077211312</v>
      </c>
      <c r="M11" s="287">
        <f t="shared" ref="M11:M77" si="3">K11-L11</f>
        <v>207.63639227886915</v>
      </c>
      <c r="N11" s="168">
        <f t="shared" si="2"/>
        <v>3370.5186359999998</v>
      </c>
      <c r="O11" s="168">
        <f t="shared" si="2"/>
        <v>3504.7666971280005</v>
      </c>
      <c r="P11" s="168">
        <f t="shared" si="2"/>
        <v>3538.0019229981444</v>
      </c>
      <c r="Q11" s="168">
        <f t="shared" si="2"/>
        <v>3571.7109143669741</v>
      </c>
      <c r="R11" s="168">
        <f t="shared" si="2"/>
        <v>3634.7057643927146</v>
      </c>
      <c r="S11" s="168">
        <f t="shared" si="2"/>
        <v>3676.5334676852744</v>
      </c>
      <c r="T11" s="168">
        <f t="shared" si="2"/>
        <v>3718.9986738367047</v>
      </c>
      <c r="U11" s="168">
        <f t="shared" si="2"/>
        <v>3762.1165269086332</v>
      </c>
      <c r="V11" s="168">
        <f t="shared" si="2"/>
        <v>3837.3588574468058</v>
      </c>
      <c r="W11" s="169"/>
      <c r="AC11" s="146"/>
      <c r="AH11" s="146"/>
    </row>
    <row r="12" spans="1:42" x14ac:dyDescent="0.2">
      <c r="A12" s="219" t="s">
        <v>25</v>
      </c>
      <c r="B12" t="s">
        <v>288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268">
        <v>1501.7466077211311</v>
      </c>
      <c r="M12" s="287">
        <f t="shared" si="3"/>
        <v>184.60639227886895</v>
      </c>
      <c r="N12" s="169">
        <f>K12*(1+N13)</f>
        <v>1787.5341800000001</v>
      </c>
      <c r="O12" s="169">
        <f t="shared" ref="O12:U12" si="4">N12*(1+O13)</f>
        <v>1898.3612991600003</v>
      </c>
      <c r="P12" s="169">
        <f t="shared" si="4"/>
        <v>1913.5481895532803</v>
      </c>
      <c r="Q12" s="169">
        <f t="shared" si="4"/>
        <v>1928.8565750697064</v>
      </c>
      <c r="R12" s="169">
        <f t="shared" si="4"/>
        <v>1948.1451408204034</v>
      </c>
      <c r="S12" s="169">
        <f t="shared" si="4"/>
        <v>1967.6265922286075</v>
      </c>
      <c r="T12" s="169">
        <f t="shared" si="4"/>
        <v>1987.3028581508936</v>
      </c>
      <c r="U12" s="169">
        <f t="shared" si="4"/>
        <v>2007.1758867324027</v>
      </c>
      <c r="V12" s="169">
        <f t="shared" ref="O12:V14" si="5">U12*(1+V13)</f>
        <v>2047.3194044670508</v>
      </c>
      <c r="W12" s="169"/>
      <c r="X12" s="44"/>
      <c r="Y12" s="44"/>
      <c r="Z12" s="44"/>
      <c r="AA12" s="44"/>
      <c r="AB12" s="44">
        <f>AVERAGE(D12:G12)</f>
        <v>1686.4999999999998</v>
      </c>
      <c r="AC12" s="182">
        <f>AVERAGE(H12,I12,J12,K12)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AVERAGE(D12:G12)</f>
        <v>1686.4999999999998</v>
      </c>
      <c r="AG12">
        <v>1653</v>
      </c>
      <c r="AH12" s="185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271"/>
      <c r="M13" s="287"/>
      <c r="N13" s="177">
        <v>0.06</v>
      </c>
      <c r="O13" s="177">
        <v>6.2E-2</v>
      </c>
      <c r="P13" s="177">
        <v>8.0000000000000002E-3</v>
      </c>
      <c r="Q13" s="177">
        <v>8.0000000000000002E-3</v>
      </c>
      <c r="R13" s="177">
        <v>0.01</v>
      </c>
      <c r="S13" s="177">
        <v>0.01</v>
      </c>
      <c r="T13" s="177">
        <v>0.01</v>
      </c>
      <c r="U13" s="177">
        <v>0.01</v>
      </c>
      <c r="V13" s="177">
        <v>0.02</v>
      </c>
      <c r="W13" s="177"/>
      <c r="X13" s="174"/>
      <c r="Y13" s="174"/>
      <c r="Z13" s="174"/>
      <c r="AA13" s="174"/>
      <c r="AB13" s="174"/>
      <c r="AC13" s="183"/>
      <c r="AD13" s="175"/>
      <c r="AE13" s="175"/>
      <c r="AF13" s="176"/>
      <c r="AH13" s="186"/>
      <c r="AI13" s="176"/>
      <c r="AJ13" s="176"/>
      <c r="AK13" s="176"/>
      <c r="AL13" s="244"/>
    </row>
    <row r="14" spans="1:42" x14ac:dyDescent="0.2">
      <c r="A14" s="219" t="s">
        <v>26</v>
      </c>
      <c r="B14" t="s">
        <v>288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268">
        <v>145</v>
      </c>
      <c r="M14" s="287">
        <f t="shared" si="3"/>
        <v>-0.33799999999999386</v>
      </c>
      <c r="N14" s="169">
        <f>K14*(1+N15)</f>
        <v>150.44848000000002</v>
      </c>
      <c r="O14" s="169">
        <f t="shared" si="5"/>
        <v>162.40913416000001</v>
      </c>
      <c r="P14" s="169">
        <f t="shared" si="5"/>
        <v>168.90549952640001</v>
      </c>
      <c r="Q14" s="169">
        <f t="shared" si="5"/>
        <v>175.66171950745601</v>
      </c>
      <c r="R14" s="169">
        <f t="shared" si="5"/>
        <v>182.68818828775426</v>
      </c>
      <c r="S14" s="169">
        <f t="shared" si="5"/>
        <v>189.99571581926443</v>
      </c>
      <c r="T14" s="169">
        <f t="shared" si="5"/>
        <v>197.59554445203503</v>
      </c>
      <c r="U14" s="169">
        <f t="shared" si="5"/>
        <v>205.49936623011644</v>
      </c>
      <c r="V14" s="169">
        <f t="shared" si="5"/>
        <v>209.60935355471878</v>
      </c>
      <c r="W14" s="169"/>
      <c r="X14" s="44"/>
      <c r="Y14" s="44"/>
      <c r="Z14" s="44"/>
      <c r="AA14" s="44"/>
      <c r="AB14" s="44">
        <f>AVERAGE(D14:G14)</f>
        <v>174.75000000000003</v>
      </c>
      <c r="AC14" s="182">
        <f>AVERAGE(H14,I14,J14,K14)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AVERAGE(D14:G14)</f>
        <v>174.75000000000003</v>
      </c>
      <c r="AG14">
        <v>173</v>
      </c>
      <c r="AH14" s="185"/>
      <c r="AI14" s="3"/>
      <c r="AJ14" s="3"/>
      <c r="AK14" s="3"/>
      <c r="AL14" s="246"/>
      <c r="AM14" s="35"/>
      <c r="AN14" s="35"/>
      <c r="AO14" s="35"/>
      <c r="AP14" s="35"/>
    </row>
    <row r="15" spans="1:42" s="171" customFormat="1" x14ac:dyDescent="0.2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271"/>
      <c r="M15" s="287"/>
      <c r="N15" s="177">
        <v>0.04</v>
      </c>
      <c r="O15" s="177">
        <v>7.9500000000000001E-2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0.04</v>
      </c>
      <c r="U15" s="177">
        <v>0.04</v>
      </c>
      <c r="V15" s="177">
        <v>0.02</v>
      </c>
      <c r="W15" s="177"/>
      <c r="X15" s="174"/>
      <c r="Y15" s="174"/>
      <c r="Z15" s="174"/>
      <c r="AA15" s="174"/>
      <c r="AB15" s="174"/>
      <c r="AC15" s="183"/>
      <c r="AD15" s="187"/>
      <c r="AE15" s="187"/>
      <c r="AF15" s="176"/>
      <c r="AH15" s="185"/>
      <c r="AI15" s="187"/>
      <c r="AJ15" s="187"/>
      <c r="AK15" s="187"/>
      <c r="AL15" s="244"/>
    </row>
    <row r="16" spans="1:42" x14ac:dyDescent="0.2">
      <c r="A16" s="219" t="s">
        <v>27</v>
      </c>
      <c r="B16" t="s">
        <v>288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268">
        <v>1390.7840000000001</v>
      </c>
      <c r="M16" s="287">
        <f t="shared" si="3"/>
        <v>23.367999999999938</v>
      </c>
      <c r="N16" s="169">
        <f>K16*(1+N17)</f>
        <v>1432.5359759999999</v>
      </c>
      <c r="O16" s="169">
        <f t="shared" ref="O16:V16" si="6">N16*(1+O17)</f>
        <v>1443.9962638079999</v>
      </c>
      <c r="P16" s="169">
        <f t="shared" si="6"/>
        <v>1455.5482339184639</v>
      </c>
      <c r="Q16" s="169">
        <f t="shared" si="6"/>
        <v>1467.1926197898117</v>
      </c>
      <c r="R16" s="169">
        <f t="shared" si="6"/>
        <v>1503.8724352845568</v>
      </c>
      <c r="S16" s="169">
        <f t="shared" si="6"/>
        <v>1518.9111596374023</v>
      </c>
      <c r="T16" s="169">
        <f t="shared" si="6"/>
        <v>1534.1002712337763</v>
      </c>
      <c r="U16" s="169">
        <f t="shared" si="6"/>
        <v>1549.4412739461141</v>
      </c>
      <c r="V16" s="169">
        <f t="shared" si="6"/>
        <v>1580.4300994250364</v>
      </c>
      <c r="W16" s="169"/>
      <c r="X16" s="44"/>
      <c r="Y16" s="44"/>
      <c r="Z16" s="44"/>
      <c r="AA16" s="44"/>
      <c r="AB16" s="44">
        <f>AVERAGE(D16:G16)</f>
        <v>1388.075</v>
      </c>
      <c r="AC16" s="182">
        <f>AVERAGE(H16,I16,J16,K16)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AVERAGE(D16:G16)</f>
        <v>1388.075</v>
      </c>
      <c r="AG16">
        <v>1395</v>
      </c>
      <c r="AH16" s="185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268"/>
      <c r="M17" s="287"/>
      <c r="N17" s="177">
        <v>1.2999999999999999E-2</v>
      </c>
      <c r="O17" s="177">
        <v>8.0000000000000002E-3</v>
      </c>
      <c r="P17" s="177">
        <v>8.0000000000000002E-3</v>
      </c>
      <c r="Q17" s="177">
        <v>8.0000000000000002E-3</v>
      </c>
      <c r="R17" s="177">
        <v>2.5000000000000001E-2</v>
      </c>
      <c r="S17" s="177">
        <v>0.01</v>
      </c>
      <c r="T17" s="177">
        <v>0.01</v>
      </c>
      <c r="U17" s="177">
        <v>0.01</v>
      </c>
      <c r="V17" s="177">
        <v>0.02</v>
      </c>
      <c r="W17" s="177"/>
      <c r="X17" s="174"/>
      <c r="Y17" s="174"/>
      <c r="Z17" s="174"/>
      <c r="AA17" s="174"/>
      <c r="AB17" s="174"/>
      <c r="AC17" s="183"/>
      <c r="AD17" s="175"/>
      <c r="AE17" s="175"/>
      <c r="AF17" s="176"/>
      <c r="AH17" s="186"/>
      <c r="AI17" s="176"/>
      <c r="AJ17" s="176"/>
      <c r="AK17" s="176"/>
      <c r="AL17" s="244"/>
    </row>
    <row r="18" spans="1:38" x14ac:dyDescent="0.2">
      <c r="A18" s="178" t="s">
        <v>0</v>
      </c>
      <c r="B18" t="s">
        <v>288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(4*AH18-SUM(H18:J18))</f>
        <v>191.99161110990462</v>
      </c>
      <c r="L18" s="268">
        <v>190.09161110990465</v>
      </c>
      <c r="M18" s="287">
        <f t="shared" si="3"/>
        <v>1.8999999999999773</v>
      </c>
      <c r="N18" s="169">
        <f t="shared" ref="N18" si="7">K18*(1+N19)</f>
        <v>196.79140138765223</v>
      </c>
      <c r="O18" s="169">
        <f t="shared" ref="O18" si="8">N18*(1+O19)</f>
        <v>199.74327240846699</v>
      </c>
      <c r="P18" s="169">
        <f t="shared" ref="P18" si="9">O18*(1+P19)</f>
        <v>202.73942149459398</v>
      </c>
      <c r="Q18" s="169">
        <f t="shared" ref="Q18" si="10">P18*(1+Q19)</f>
        <v>205.78051281701286</v>
      </c>
      <c r="R18" s="169">
        <f t="shared" ref="R18" si="11">Q18*(1+R19)</f>
        <v>218.12734358603365</v>
      </c>
      <c r="S18" s="169">
        <f t="shared" ref="S18" si="12">R18*(1+S19)</f>
        <v>231.21498420119568</v>
      </c>
      <c r="T18" s="169">
        <f t="shared" ref="T18" si="13">S18*(1+T19)</f>
        <v>245.08788325326742</v>
      </c>
      <c r="U18" s="169">
        <f t="shared" ref="U18:V18" si="14">T18*(1+U19)</f>
        <v>259.7931562484635</v>
      </c>
      <c r="V18" s="169">
        <f t="shared" si="14"/>
        <v>275.38074562337135</v>
      </c>
      <c r="W18" s="169"/>
      <c r="X18" s="44"/>
      <c r="Y18" s="44"/>
      <c r="Z18" s="44"/>
      <c r="AA18" s="44"/>
      <c r="AB18" s="44">
        <f>AVERAGE(D18:G18)</f>
        <v>218.57500000000002</v>
      </c>
      <c r="AC18" s="182">
        <f>AVERAGE(H18,I18,J18,K18)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AVERAGE(D18:G18)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271"/>
      <c r="M19" s="287"/>
      <c r="N19" s="177">
        <v>2.5000000000000001E-2</v>
      </c>
      <c r="O19" s="177">
        <v>1.4999999999999999E-2</v>
      </c>
      <c r="P19" s="177">
        <v>1.4999999999999999E-2</v>
      </c>
      <c r="Q19" s="177">
        <v>1.4999999999999999E-2</v>
      </c>
      <c r="R19" s="177">
        <v>0.06</v>
      </c>
      <c r="S19" s="177">
        <v>0.06</v>
      </c>
      <c r="T19" s="177">
        <v>0.06</v>
      </c>
      <c r="U19" s="177">
        <v>0.06</v>
      </c>
      <c r="V19" s="177">
        <v>0.06</v>
      </c>
      <c r="W19" s="173"/>
      <c r="X19" s="174"/>
      <c r="Y19" s="174"/>
      <c r="Z19" s="174"/>
      <c r="AA19" s="174"/>
      <c r="AB19" s="174"/>
      <c r="AC19" s="175"/>
      <c r="AD19" s="175"/>
      <c r="AE19" s="175"/>
      <c r="AF19" s="176"/>
      <c r="AH19" s="176"/>
      <c r="AI19" s="176"/>
      <c r="AJ19" s="176"/>
      <c r="AK19" s="176"/>
      <c r="AL19" s="244"/>
    </row>
    <row r="20" spans="1:38" s="171" customFormat="1" x14ac:dyDescent="0.2">
      <c r="A20" s="170"/>
      <c r="D20" s="202"/>
      <c r="E20" s="202"/>
      <c r="F20" s="202"/>
      <c r="G20" s="202"/>
      <c r="H20" s="202"/>
      <c r="I20" s="202"/>
      <c r="J20" s="202"/>
      <c r="K20" s="172"/>
      <c r="L20" s="271"/>
      <c r="M20" s="287"/>
      <c r="N20" s="177"/>
      <c r="O20" s="177"/>
      <c r="P20" s="177"/>
      <c r="Q20" s="177"/>
      <c r="R20" s="177"/>
      <c r="S20" s="177"/>
      <c r="T20" s="177"/>
      <c r="U20" s="177"/>
      <c r="V20" s="173"/>
      <c r="W20" s="173"/>
      <c r="X20" s="174"/>
      <c r="Y20" s="174"/>
      <c r="Z20" s="174"/>
      <c r="AA20" s="174"/>
      <c r="AB20" s="174"/>
      <c r="AC20" s="175"/>
      <c r="AD20" s="175"/>
      <c r="AE20" s="175"/>
      <c r="AF20" s="176"/>
      <c r="AH20" s="176"/>
      <c r="AI20" s="176"/>
      <c r="AJ20" s="176"/>
      <c r="AK20" s="176"/>
      <c r="AL20" s="244"/>
    </row>
    <row r="21" spans="1:38" s="171" customFormat="1" x14ac:dyDescent="0.2">
      <c r="A21" t="s">
        <v>267</v>
      </c>
      <c r="D21" s="202"/>
      <c r="E21" s="202"/>
      <c r="F21" s="202"/>
      <c r="G21" s="202"/>
      <c r="H21" s="202"/>
      <c r="I21" s="202"/>
      <c r="J21" s="202"/>
      <c r="K21" s="172"/>
      <c r="L21" s="271"/>
      <c r="M21" s="287"/>
      <c r="N21" s="177"/>
      <c r="O21" s="177"/>
      <c r="P21" s="177"/>
      <c r="Q21" s="177"/>
      <c r="R21" s="177"/>
      <c r="S21" s="177"/>
      <c r="T21" s="177"/>
      <c r="U21" s="177"/>
      <c r="V21" s="173"/>
      <c r="W21" s="173"/>
      <c r="X21" s="174"/>
      <c r="Y21" s="174"/>
      <c r="Z21" s="174"/>
      <c r="AA21" s="174"/>
      <c r="AB21" s="174"/>
      <c r="AC21" s="175"/>
      <c r="AD21" s="175"/>
      <c r="AE21" s="175"/>
      <c r="AF21" s="176"/>
      <c r="AH21" s="176"/>
      <c r="AI21" s="176"/>
      <c r="AJ21" s="176"/>
      <c r="AK21" s="176"/>
      <c r="AL21" s="244"/>
    </row>
    <row r="22" spans="1:38" x14ac:dyDescent="0.2">
      <c r="A22" s="178" t="s">
        <v>268</v>
      </c>
      <c r="D22" s="206">
        <f>SUM(D23:D25)</f>
        <v>1773.6</v>
      </c>
      <c r="E22" s="206">
        <f t="shared" ref="E22:U22" si="15">SUM(E23:E25)</f>
        <v>1798.8</v>
      </c>
      <c r="F22" s="206">
        <f t="shared" si="15"/>
        <v>1853.9</v>
      </c>
      <c r="G22" s="206">
        <f t="shared" si="15"/>
        <v>1832.2</v>
      </c>
      <c r="H22" s="206">
        <f t="shared" si="15"/>
        <v>1832.4</v>
      </c>
      <c r="I22" s="206">
        <f t="shared" si="15"/>
        <v>1862.4</v>
      </c>
      <c r="J22" s="206">
        <f t="shared" si="15"/>
        <v>1779.8019999999999</v>
      </c>
      <c r="K22" s="102">
        <f t="shared" si="15"/>
        <v>1840.777</v>
      </c>
      <c r="L22" s="272">
        <v>1857.168612621977</v>
      </c>
      <c r="M22" s="287">
        <f t="shared" si="3"/>
        <v>-16.391612621976947</v>
      </c>
      <c r="N22" s="102">
        <f t="shared" si="15"/>
        <v>1878.0006156883685</v>
      </c>
      <c r="O22" s="102">
        <f t="shared" si="15"/>
        <v>1909.1470934300717</v>
      </c>
      <c r="P22" s="102">
        <f t="shared" si="15"/>
        <v>1939.5052848016164</v>
      </c>
      <c r="Q22" s="102">
        <f t="shared" si="15"/>
        <v>1971.9533516661329</v>
      </c>
      <c r="R22" s="102">
        <f t="shared" si="15"/>
        <v>1993.6862235688991</v>
      </c>
      <c r="S22" s="102">
        <f t="shared" si="15"/>
        <v>2013.5767052344379</v>
      </c>
      <c r="T22" s="102">
        <f t="shared" si="15"/>
        <v>2033.2655322471396</v>
      </c>
      <c r="U22" s="102">
        <f t="shared" si="15"/>
        <v>2053.8526390770057</v>
      </c>
      <c r="V22" s="102">
        <f t="shared" ref="V22" si="16">SUM(V23:V25)</f>
        <v>2074.74222788611</v>
      </c>
    </row>
    <row r="23" spans="1:38" x14ac:dyDescent="0.2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272">
        <v>517.95099281921318</v>
      </c>
      <c r="M23" s="287">
        <f t="shared" si="3"/>
        <v>-12.523992819213163</v>
      </c>
      <c r="N23" s="102">
        <f>K23*(1+N$6)</f>
        <v>515.64758641895514</v>
      </c>
      <c r="O23" s="102">
        <f t="shared" ref="O23:V23" si="17">N23*(1+O$6)</f>
        <v>524.19955703003723</v>
      </c>
      <c r="P23" s="102">
        <f t="shared" si="17"/>
        <v>532.53508577162063</v>
      </c>
      <c r="Q23" s="102">
        <f t="shared" si="17"/>
        <v>541.44443714396607</v>
      </c>
      <c r="R23" s="102">
        <f t="shared" si="17"/>
        <v>547.41168915069977</v>
      </c>
      <c r="S23" s="102">
        <f t="shared" si="17"/>
        <v>552.87307120662956</v>
      </c>
      <c r="T23" s="102">
        <f t="shared" si="17"/>
        <v>558.27908441222087</v>
      </c>
      <c r="U23" s="102">
        <f t="shared" si="17"/>
        <v>563.93174067840562</v>
      </c>
      <c r="V23" s="102">
        <f t="shared" si="17"/>
        <v>569.66745022009331</v>
      </c>
    </row>
    <row r="24" spans="1:38" x14ac:dyDescent="0.2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272">
        <v>1319.2810968003423</v>
      </c>
      <c r="M24" s="287">
        <f t="shared" si="3"/>
        <v>-4.1480968003422731</v>
      </c>
      <c r="N24" s="102">
        <f>K24*(1+N$6)</f>
        <v>1341.7272074303901</v>
      </c>
      <c r="O24" s="102">
        <f t="shared" ref="O24:V24" si="18">N24*(1+O$6)</f>
        <v>1363.9796370901911</v>
      </c>
      <c r="P24" s="102">
        <f t="shared" si="18"/>
        <v>1385.6688798898533</v>
      </c>
      <c r="Q24" s="102">
        <f t="shared" si="18"/>
        <v>1408.8512227373205</v>
      </c>
      <c r="R24" s="102">
        <f t="shared" si="18"/>
        <v>1424.3781534975922</v>
      </c>
      <c r="S24" s="102">
        <f t="shared" si="18"/>
        <v>1438.5887986894024</v>
      </c>
      <c r="T24" s="102">
        <f t="shared" si="18"/>
        <v>1452.6553728239637</v>
      </c>
      <c r="U24" s="102">
        <f t="shared" si="18"/>
        <v>1467.3637180317114</v>
      </c>
      <c r="V24" s="102">
        <f t="shared" si="18"/>
        <v>1482.2881698253204</v>
      </c>
    </row>
    <row r="25" spans="1:38" x14ac:dyDescent="0.2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272">
        <v>19.936523002421335</v>
      </c>
      <c r="M25" s="287">
        <f t="shared" si="3"/>
        <v>0.2804769975786634</v>
      </c>
      <c r="N25" s="102">
        <f>K25*(1+N$6)</f>
        <v>20.625821839023271</v>
      </c>
      <c r="O25" s="102">
        <f t="shared" ref="O25:V25" si="19">N25*(1+O$6)</f>
        <v>20.967899309843482</v>
      </c>
      <c r="P25" s="102">
        <f t="shared" si="19"/>
        <v>21.301319140142599</v>
      </c>
      <c r="Q25" s="102">
        <f t="shared" si="19"/>
        <v>21.657691784846399</v>
      </c>
      <c r="R25" s="102">
        <f t="shared" si="19"/>
        <v>21.896380920607125</v>
      </c>
      <c r="S25" s="102">
        <f t="shared" si="19"/>
        <v>22.114835338405804</v>
      </c>
      <c r="T25" s="102">
        <f t="shared" si="19"/>
        <v>22.331075010954837</v>
      </c>
      <c r="U25" s="102">
        <f t="shared" si="19"/>
        <v>22.557180366888446</v>
      </c>
      <c r="V25" s="102">
        <f t="shared" si="19"/>
        <v>22.786607840696337</v>
      </c>
    </row>
    <row r="26" spans="1:38" x14ac:dyDescent="0.2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272">
        <v>56.556031965415904</v>
      </c>
      <c r="M26" s="287">
        <f t="shared" si="3"/>
        <v>2.1906916681720361</v>
      </c>
      <c r="N26" s="102">
        <f>K26*(1+N6)</f>
        <v>59.934681470679273</v>
      </c>
      <c r="O26" s="102">
        <f t="shared" ref="O26:V26" si="20">N26*(1+O6)</f>
        <v>60.928692977804552</v>
      </c>
      <c r="P26" s="102">
        <f t="shared" si="20"/>
        <v>61.897547042430361</v>
      </c>
      <c r="Q26" s="102">
        <f t="shared" si="20"/>
        <v>62.933097582519643</v>
      </c>
      <c r="R26" s="102">
        <f t="shared" si="20"/>
        <v>63.626682421658749</v>
      </c>
      <c r="S26" s="102">
        <f t="shared" si="20"/>
        <v>64.261469052165509</v>
      </c>
      <c r="T26" s="102">
        <f t="shared" si="20"/>
        <v>64.889820057846649</v>
      </c>
      <c r="U26" s="102">
        <f t="shared" si="20"/>
        <v>65.546838846841339</v>
      </c>
      <c r="V26" s="102">
        <f t="shared" si="20"/>
        <v>66.213511073073931</v>
      </c>
    </row>
    <row r="27" spans="1:38" s="188" customFormat="1" x14ac:dyDescent="0.2">
      <c r="A27" s="179" t="s">
        <v>269</v>
      </c>
      <c r="D27" s="213">
        <f t="shared" ref="D27:J27" si="21">D26/D18</f>
        <v>0.27055815935236471</v>
      </c>
      <c r="E27" s="213">
        <f t="shared" si="21"/>
        <v>0.32039289055191766</v>
      </c>
      <c r="F27" s="213">
        <f t="shared" si="21"/>
        <v>0.30642283675289922</v>
      </c>
      <c r="G27" s="213">
        <f t="shared" si="21"/>
        <v>0.34623015873015872</v>
      </c>
      <c r="H27" s="213">
        <f t="shared" si="21"/>
        <v>0.30909882455376581</v>
      </c>
      <c r="I27" s="213">
        <f t="shared" si="21"/>
        <v>0.3473684210526316</v>
      </c>
      <c r="J27" s="213">
        <f t="shared" si="21"/>
        <v>0.31603498542274056</v>
      </c>
      <c r="K27" s="196"/>
      <c r="L27" s="273"/>
      <c r="M27" s="287"/>
      <c r="N27" s="196"/>
      <c r="O27" s="196"/>
      <c r="P27" s="196"/>
      <c r="Q27" s="196"/>
      <c r="R27" s="196"/>
      <c r="S27" s="196"/>
      <c r="T27" s="196"/>
      <c r="U27" s="196"/>
      <c r="AL27" s="247"/>
    </row>
    <row r="28" spans="1:38" s="171" customFormat="1" x14ac:dyDescent="0.2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271"/>
      <c r="M28" s="287"/>
      <c r="N28" s="177"/>
      <c r="O28" s="177"/>
      <c r="P28" s="177"/>
      <c r="Q28" s="177"/>
      <c r="R28" s="177"/>
      <c r="S28" s="177"/>
      <c r="T28" s="177"/>
      <c r="U28" s="177"/>
      <c r="V28" s="173"/>
      <c r="W28" s="173"/>
      <c r="X28" s="174"/>
      <c r="Y28" s="174"/>
      <c r="Z28" s="174"/>
      <c r="AA28" s="174"/>
      <c r="AB28" s="174"/>
      <c r="AC28" s="175"/>
      <c r="AD28" s="175"/>
      <c r="AE28" s="175"/>
      <c r="AF28" s="176"/>
      <c r="AH28" s="176">
        <f>$AB$30*('figuring out social benefits'!G47/'figuring out social benefits'!$F$47)</f>
        <v>3428.146799249083</v>
      </c>
      <c r="AI28" s="176">
        <f>$AB$30*('figuring out social benefits'!H47/'figuring out social benefits'!$F$47)</f>
        <v>2649.6527204036238</v>
      </c>
      <c r="AJ28" s="176">
        <f>$AB$30*('figuring out social benefits'!I47/'figuring out social benefits'!$F$47)</f>
        <v>2766.2949511126526</v>
      </c>
      <c r="AK28" s="176"/>
      <c r="AL28" s="244"/>
    </row>
    <row r="29" spans="1:38" x14ac:dyDescent="0.2">
      <c r="D29" s="200"/>
      <c r="E29" s="200"/>
      <c r="F29" s="200"/>
      <c r="G29" s="200"/>
      <c r="H29" s="200"/>
      <c r="I29" s="200"/>
      <c r="J29" s="204"/>
      <c r="K29" s="3"/>
      <c r="L29" s="274"/>
      <c r="M29" s="287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288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275">
        <v>3697551.5288670976</v>
      </c>
      <c r="M30" s="287">
        <f t="shared" si="3"/>
        <v>-183775.52886709757</v>
      </c>
      <c r="N30" s="44">
        <f t="shared" ref="N30:U30" si="22">N31+N33+N41</f>
        <v>2872187.886998829</v>
      </c>
      <c r="O30" s="44">
        <f t="shared" si="22"/>
        <v>2776224.4457211783</v>
      </c>
      <c r="P30" s="44">
        <f t="shared" si="22"/>
        <v>2682283.5091793705</v>
      </c>
      <c r="Q30" s="44">
        <f t="shared" si="22"/>
        <v>2572565.934698876</v>
      </c>
      <c r="R30" s="44">
        <f t="shared" si="22"/>
        <v>2626154.5995660136</v>
      </c>
      <c r="S30" s="44">
        <f t="shared" si="22"/>
        <v>2681059.175091214</v>
      </c>
      <c r="T30" s="44">
        <f t="shared" si="22"/>
        <v>2737316.1447417233</v>
      </c>
      <c r="U30" s="44">
        <f t="shared" si="22"/>
        <v>2794963.086784442</v>
      </c>
      <c r="V30" s="3"/>
      <c r="W30" s="44"/>
      <c r="X30" s="3"/>
      <c r="Y30" s="3"/>
      <c r="Z30" s="3"/>
      <c r="AA30" s="3"/>
      <c r="AB30" s="3">
        <f>AVERAGE(D30:G30)/1000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288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275">
        <v>833646.99999999988</v>
      </c>
      <c r="M31" s="287">
        <f t="shared" si="3"/>
        <v>9086.0000000001164</v>
      </c>
      <c r="N31" s="87">
        <f>K31*((($AI$31/$AH$31)^0.25))</f>
        <v>853053.18699882878</v>
      </c>
      <c r="O31" s="87">
        <f>N31*((($AI$31/$AH$31)^0.25))</f>
        <v>863499.75597117806</v>
      </c>
      <c r="P31" s="87">
        <f t="shared" ref="P31:Q31" si="23">O31*((($AI$31/$AH$31)^0.25))</f>
        <v>874074.254602495</v>
      </c>
      <c r="Q31" s="87">
        <f t="shared" si="23"/>
        <v>884778.24953132728</v>
      </c>
      <c r="R31" s="87">
        <f>Q31*((($AJ$31/$AI$31)^0.25))</f>
        <v>913710.09912095172</v>
      </c>
      <c r="S31" s="87">
        <f t="shared" ref="S31:U31" si="24">R31*((($AJ$31/$AI$31)^0.25))</f>
        <v>943588.00713947637</v>
      </c>
      <c r="T31" s="87">
        <f t="shared" si="24"/>
        <v>974442.9092707095</v>
      </c>
      <c r="U31" s="87">
        <f t="shared" si="24"/>
        <v>1006306.7527813631</v>
      </c>
      <c r="V31" s="87">
        <f>U31*((($AK$31/$AJ$31)^0.25))</f>
        <v>1016447.3981375673</v>
      </c>
      <c r="W31" s="87">
        <f t="shared" ref="W31:Y31" si="25">V31*((($AK$31/$AJ$31)^0.25))</f>
        <v>1026690.2317062188</v>
      </c>
      <c r="X31" s="87">
        <f t="shared" si="25"/>
        <v>1037036.2832472979</v>
      </c>
      <c r="Y31" s="87">
        <f t="shared" si="25"/>
        <v>1047486.5928977706</v>
      </c>
      <c r="Z31" s="3"/>
      <c r="AA31" s="3"/>
      <c r="AB31" s="3">
        <f>AVERAGE(D31:G31)/1000</f>
        <v>772.56600000000003</v>
      </c>
      <c r="AC31" s="45">
        <f>AVERAGE(H31:K31)/1000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275">
        <v>54600</v>
      </c>
      <c r="M32" s="287">
        <f t="shared" si="3"/>
        <v>-39000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AVERAGE(H32:K32)/1000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5"/>
    </row>
    <row r="33" spans="1:40" ht="16" x14ac:dyDescent="0.2">
      <c r="A33" s="86" t="s">
        <v>141</v>
      </c>
      <c r="B33" t="s">
        <v>288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275">
        <f>776000+(M36)</f>
        <v>838200</v>
      </c>
      <c r="M33" s="287">
        <f t="shared" si="3"/>
        <v>39503</v>
      </c>
      <c r="N33" s="87">
        <f>N34+N37</f>
        <v>337800</v>
      </c>
      <c r="O33" s="87">
        <f t="shared" ref="O33:V33" si="26">O34+O37</f>
        <v>244000</v>
      </c>
      <c r="P33" s="87">
        <f t="shared" si="26"/>
        <v>152000</v>
      </c>
      <c r="Q33" s="87">
        <f t="shared" si="26"/>
        <v>44000</v>
      </c>
      <c r="R33" s="87">
        <f t="shared" si="26"/>
        <v>44000</v>
      </c>
      <c r="S33" s="87">
        <f t="shared" si="26"/>
        <v>44000</v>
      </c>
      <c r="T33" s="87">
        <f t="shared" si="26"/>
        <v>44000</v>
      </c>
      <c r="U33" s="87">
        <f t="shared" si="26"/>
        <v>44000</v>
      </c>
      <c r="V33" s="87">
        <f t="shared" si="26"/>
        <v>44000</v>
      </c>
      <c r="W33" s="44"/>
      <c r="X33" s="3"/>
      <c r="Y33" s="3"/>
      <c r="Z33" s="3"/>
      <c r="AA33" s="3"/>
      <c r="AB33" s="3">
        <f>AVERAGE(D33:G33)/1000</f>
        <v>27.528749999999999</v>
      </c>
      <c r="AC33" s="45">
        <f>AVERAGE(H33:K33)/1000</f>
        <v>515.39499999999998</v>
      </c>
      <c r="AD33" s="45">
        <f t="shared" ref="AD33:AD41" si="27">AVERAGE(N33:Q33)/1000</f>
        <v>194.45</v>
      </c>
      <c r="AE33" s="45">
        <f t="shared" ref="AE33:AE41" si="28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5"/>
    </row>
    <row r="34" spans="1:40" ht="16" x14ac:dyDescent="0.2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R34" si="29">K35+K36</f>
        <v>738200</v>
      </c>
      <c r="L34" s="275">
        <v>636000</v>
      </c>
      <c r="M34" s="287">
        <f t="shared" si="3"/>
        <v>102200</v>
      </c>
      <c r="N34" s="87">
        <f t="shared" si="29"/>
        <v>257800</v>
      </c>
      <c r="O34" s="87">
        <f t="shared" si="29"/>
        <v>184000</v>
      </c>
      <c r="P34" s="87">
        <f t="shared" si="29"/>
        <v>108000</v>
      </c>
      <c r="Q34" s="87">
        <f t="shared" si="29"/>
        <v>0</v>
      </c>
      <c r="R34" s="87">
        <f t="shared" si="29"/>
        <v>0</v>
      </c>
      <c r="S34" s="87"/>
      <c r="T34" s="87"/>
      <c r="U34" s="87"/>
      <c r="V34" s="3"/>
      <c r="W34" s="44"/>
      <c r="X34" s="3"/>
      <c r="Y34" s="3"/>
      <c r="Z34" s="3"/>
      <c r="AA34" s="3"/>
      <c r="AB34" s="3"/>
      <c r="AC34" s="45"/>
      <c r="AD34" s="45"/>
      <c r="AE34" s="45"/>
      <c r="AF34" s="3"/>
      <c r="AH34" s="3"/>
      <c r="AI34" s="3"/>
      <c r="AJ34" s="3"/>
      <c r="AK34" s="3"/>
      <c r="AL34" s="185"/>
    </row>
    <row r="35" spans="1:40" ht="16" x14ac:dyDescent="0.2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275">
        <v>592000</v>
      </c>
      <c r="M35" s="287">
        <f t="shared" si="3"/>
        <v>40000</v>
      </c>
      <c r="N35" s="87">
        <f>1000*'figuring out UI'!O17</f>
        <v>188000</v>
      </c>
      <c r="O35" s="87">
        <f>1000*'figuring out UI'!P17</f>
        <v>184000</v>
      </c>
      <c r="P35" s="87">
        <f>1000*'figuring out UI'!Q17</f>
        <v>108000</v>
      </c>
      <c r="Q35" s="87">
        <f>1000*'figuring out UI'!R17</f>
        <v>0</v>
      </c>
      <c r="R35" s="87">
        <f>1000*'figuring out UI'!S17</f>
        <v>0</v>
      </c>
      <c r="S35" s="87">
        <f>1000*'figuring out UI'!T17</f>
        <v>0</v>
      </c>
      <c r="T35" s="87">
        <f>1000*'figuring out UI'!U17</f>
        <v>0</v>
      </c>
      <c r="U35" s="87">
        <f>1000*'figuring out UI'!V17</f>
        <v>0</v>
      </c>
      <c r="V35" s="3"/>
      <c r="W35" s="44"/>
      <c r="X35" s="3"/>
      <c r="Y35" s="3"/>
      <c r="Z35" s="3"/>
      <c r="AA35" s="3"/>
      <c r="AB35" s="3"/>
      <c r="AC35" s="45">
        <f>AVERAGE(H35:K35)/1000</f>
        <v>366.73333333333329</v>
      </c>
      <c r="AD35" s="45">
        <f t="shared" si="27"/>
        <v>120</v>
      </c>
      <c r="AE35" s="45">
        <f t="shared" si="28"/>
        <v>0</v>
      </c>
      <c r="AF35" s="3"/>
      <c r="AH35" s="3"/>
      <c r="AI35" s="3"/>
      <c r="AJ35" s="3"/>
      <c r="AK35" s="3"/>
      <c r="AL35" s="185"/>
    </row>
    <row r="36" spans="1:40" ht="16" x14ac:dyDescent="0.2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275">
        <v>44000</v>
      </c>
      <c r="M36" s="287">
        <f t="shared" si="3"/>
        <v>62200</v>
      </c>
      <c r="N36" s="87">
        <f>(44000*4)-K36</f>
        <v>69800</v>
      </c>
      <c r="O36" s="87"/>
      <c r="P36" s="87"/>
      <c r="Q36" s="87"/>
      <c r="R36" s="87"/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5"/>
    </row>
    <row r="37" spans="1:40" ht="16" x14ac:dyDescent="0.2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275">
        <v>140000</v>
      </c>
      <c r="M37" s="287">
        <f t="shared" si="3"/>
        <v>0</v>
      </c>
      <c r="N37" s="87">
        <f>1000*'figuring out UI'!O18</f>
        <v>80000</v>
      </c>
      <c r="O37" s="87">
        <f>1000*'figuring out UI'!P18</f>
        <v>60000</v>
      </c>
      <c r="P37" s="87">
        <f>1000*'figuring out UI'!Q18</f>
        <v>44000</v>
      </c>
      <c r="Q37" s="87">
        <f>1000*'figuring out UI'!R18</f>
        <v>44000</v>
      </c>
      <c r="R37" s="87">
        <f>1000*'figuring out UI'!S18</f>
        <v>44000</v>
      </c>
      <c r="S37" s="87">
        <f>1000*'figuring out UI'!T18</f>
        <v>44000</v>
      </c>
      <c r="T37" s="87">
        <f>1000*'figuring out UI'!U18</f>
        <v>44000</v>
      </c>
      <c r="U37" s="87">
        <f>1000*'figuring out UI'!V18</f>
        <v>44000</v>
      </c>
      <c r="V37" s="87">
        <f>1000*'figuring out UI'!W18</f>
        <v>44000</v>
      </c>
      <c r="W37" s="44"/>
      <c r="X37" s="3"/>
      <c r="Y37" s="3"/>
      <c r="Z37" s="3"/>
      <c r="AA37" s="3"/>
      <c r="AB37" s="3"/>
      <c r="AC37" s="45">
        <f>AVERAGE(H37:K37)/1000</f>
        <v>104.4</v>
      </c>
      <c r="AD37" s="45">
        <f t="shared" si="27"/>
        <v>57</v>
      </c>
      <c r="AE37" s="45">
        <f t="shared" si="28"/>
        <v>44</v>
      </c>
      <c r="AF37" s="3"/>
      <c r="AH37" s="3"/>
      <c r="AI37" s="3"/>
      <c r="AJ37" s="3"/>
      <c r="AK37" s="3"/>
      <c r="AL37" s="185"/>
    </row>
    <row r="38" spans="1:40" ht="32" x14ac:dyDescent="0.2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275">
        <v>162000</v>
      </c>
      <c r="M38" s="287">
        <f t="shared" si="3"/>
        <v>-78300</v>
      </c>
      <c r="N38" s="87">
        <f>SUM(N39:N40)</f>
        <v>51804.841653418123</v>
      </c>
      <c r="O38" s="87">
        <f t="shared" ref="O38:R38" si="30">SUM(O39:O40)</f>
        <v>43377.595548489669</v>
      </c>
      <c r="P38" s="87">
        <f t="shared" si="30"/>
        <v>43000</v>
      </c>
      <c r="Q38" s="87">
        <f t="shared" si="30"/>
        <v>43000</v>
      </c>
      <c r="R38" s="87">
        <f t="shared" si="30"/>
        <v>15000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>
        <f>AVERAGE(H38:K38)/1000</f>
        <v>65.900000000000006</v>
      </c>
      <c r="AD38" s="45">
        <f t="shared" si="27"/>
        <v>45.295609300476947</v>
      </c>
      <c r="AE38" s="45">
        <f t="shared" ref="AE38" si="31">AVERAGE(R38:U38)/1000</f>
        <v>15</v>
      </c>
      <c r="AF38" s="3"/>
      <c r="AH38" s="3">
        <f>'figuring out social benefits'!G48</f>
        <v>105</v>
      </c>
      <c r="AI38" s="3"/>
      <c r="AJ38" s="3"/>
      <c r="AK38" s="3"/>
      <c r="AL38" s="185"/>
    </row>
    <row r="39" spans="1:40" ht="16" x14ac:dyDescent="0.2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275">
        <v>27000</v>
      </c>
      <c r="M39" s="287">
        <f t="shared" si="3"/>
        <v>0</v>
      </c>
      <c r="N39" s="87">
        <v>8804.8416534181251</v>
      </c>
      <c r="O39" s="87">
        <v>377.5955484896661</v>
      </c>
      <c r="P39" s="87">
        <v>0</v>
      </c>
      <c r="Q39" s="87">
        <v>0</v>
      </c>
      <c r="R39" s="87">
        <v>0</v>
      </c>
      <c r="S39" s="87"/>
      <c r="T39" s="87"/>
      <c r="U39" s="87"/>
      <c r="V39" s="87"/>
      <c r="W39" s="133"/>
      <c r="X39" s="87"/>
      <c r="Y39" s="87"/>
      <c r="Z39" s="87"/>
      <c r="AA39" s="87"/>
      <c r="AB39" s="87"/>
      <c r="AC39" s="87"/>
      <c r="AD39" s="87"/>
      <c r="AE39" s="87"/>
      <c r="AF39" s="87"/>
      <c r="AH39" s="3"/>
      <c r="AI39" s="3"/>
      <c r="AJ39" s="3"/>
      <c r="AK39" s="3"/>
      <c r="AL39" s="185"/>
    </row>
    <row r="40" spans="1:40" ht="16" x14ac:dyDescent="0.2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275">
        <v>135000</v>
      </c>
      <c r="M40" s="287">
        <f t="shared" si="3"/>
        <v>-78300</v>
      </c>
      <c r="N40" s="87">
        <v>43000</v>
      </c>
      <c r="O40" s="87">
        <v>43000</v>
      </c>
      <c r="P40" s="87">
        <v>43000</v>
      </c>
      <c r="Q40" s="87">
        <v>43000</v>
      </c>
      <c r="R40" s="87">
        <v>15000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5"/>
    </row>
    <row r="41" spans="1:40" ht="48" x14ac:dyDescent="0.2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275">
        <v>1722110.1197894898</v>
      </c>
      <c r="M41" s="287">
        <f t="shared" si="3"/>
        <v>-28070.119789489778</v>
      </c>
      <c r="N41" s="88">
        <f>K41*(1+N43)</f>
        <v>1681334.7000000002</v>
      </c>
      <c r="O41" s="88">
        <f t="shared" ref="O41:Q41" si="32">N41*(1+O43)</f>
        <v>1668724.6897500004</v>
      </c>
      <c r="P41" s="88">
        <f t="shared" si="32"/>
        <v>1656209.2545768754</v>
      </c>
      <c r="Q41" s="88">
        <f t="shared" si="32"/>
        <v>1643787.6851675489</v>
      </c>
      <c r="R41" s="88">
        <f>Q41*(1+R43)</f>
        <v>1668444.5004450621</v>
      </c>
      <c r="S41" s="88">
        <f t="shared" ref="S41:U41" si="33">R41*(1+S43)</f>
        <v>1693471.1679517378</v>
      </c>
      <c r="T41" s="88">
        <f t="shared" si="33"/>
        <v>1718873.2354710137</v>
      </c>
      <c r="U41" s="88">
        <f t="shared" si="33"/>
        <v>1744656.3340030788</v>
      </c>
      <c r="V41" s="88">
        <f>U41*(1+V43)</f>
        <v>1762102.8973431096</v>
      </c>
      <c r="W41" s="44"/>
      <c r="X41" s="3"/>
      <c r="Y41" s="3"/>
      <c r="Z41" s="3"/>
      <c r="AA41" s="3"/>
      <c r="AB41" s="3">
        <f>AC30-AC32-AC33-AC31-AC38</f>
        <v>-1672.0345000000002</v>
      </c>
      <c r="AC41" s="45">
        <f>AVERAGE(H41:K41)/1000</f>
        <v>1602.79375</v>
      </c>
      <c r="AD41" s="45">
        <f t="shared" si="27"/>
        <v>1662.5140823736062</v>
      </c>
      <c r="AE41" s="45">
        <f t="shared" si="28"/>
        <v>1706.3613094677232</v>
      </c>
      <c r="AF41" s="3"/>
      <c r="AH41" s="3">
        <f>AH30-AH32-AH33-AH31-AH38</f>
        <v>1571.7041322167745</v>
      </c>
      <c r="AI41" s="3">
        <f>AI30-AI32-AI33-AI31</f>
        <v>1644.9470557811208</v>
      </c>
      <c r="AJ41" s="3">
        <f>AJ30-AJ32-AJ33-AJ31</f>
        <v>1684.8968956203648</v>
      </c>
      <c r="AK41" s="3"/>
      <c r="AL41" s="185"/>
      <c r="AM41">
        <f>AI41/AH41*AC41</f>
        <v>1677.4854796419443</v>
      </c>
      <c r="AN41">
        <f>AJ41/AH41*AC41</f>
        <v>1718.2255606122285</v>
      </c>
    </row>
    <row r="42" spans="1:40" s="171" customFormat="1" x14ac:dyDescent="0.2">
      <c r="A42" s="170" t="s">
        <v>217</v>
      </c>
      <c r="D42" s="236"/>
      <c r="E42" s="239">
        <f>E41/D41-1</f>
        <v>4.3899160317375507E-2</v>
      </c>
      <c r="F42" s="239">
        <f t="shared" ref="F42:J42" si="34">F41/E41-1</f>
        <v>3.4867401440725754E-3</v>
      </c>
      <c r="G42" s="239">
        <f t="shared" si="34"/>
        <v>3.5163841628156334E-3</v>
      </c>
      <c r="H42" s="239">
        <f t="shared" si="34"/>
        <v>5.2735975988749129E-3</v>
      </c>
      <c r="I42" s="239">
        <f t="shared" si="34"/>
        <v>3.4509222105193249E-2</v>
      </c>
      <c r="J42" s="239">
        <f t="shared" si="34"/>
        <v>2.938781628264131E-2</v>
      </c>
      <c r="K42" s="237"/>
      <c r="L42" s="276"/>
      <c r="M42" s="287">
        <f t="shared" si="3"/>
        <v>0</v>
      </c>
      <c r="N42" s="238"/>
      <c r="O42" s="238"/>
      <c r="P42" s="238"/>
      <c r="Q42" s="238"/>
      <c r="R42" s="238"/>
      <c r="S42" s="238"/>
      <c r="T42" s="238"/>
      <c r="U42" s="238"/>
      <c r="V42" s="238"/>
      <c r="W42" s="174"/>
      <c r="X42" s="176"/>
      <c r="Y42" s="176"/>
      <c r="Z42" s="176"/>
      <c r="AA42" s="176"/>
      <c r="AB42" s="176"/>
      <c r="AC42" s="175"/>
      <c r="AD42" s="175"/>
      <c r="AE42" s="175"/>
      <c r="AF42" s="176"/>
      <c r="AH42" s="176"/>
      <c r="AI42" s="176"/>
      <c r="AJ42" s="176"/>
      <c r="AK42" s="176"/>
      <c r="AL42" s="186"/>
    </row>
    <row r="43" spans="1:40" s="188" customFormat="1" x14ac:dyDescent="0.2">
      <c r="A43" s="170" t="s">
        <v>273</v>
      </c>
      <c r="D43" s="210"/>
      <c r="E43" s="210"/>
      <c r="F43" s="210"/>
      <c r="G43" s="210"/>
      <c r="H43" s="203"/>
      <c r="I43" s="203"/>
      <c r="J43" s="203"/>
      <c r="K43" s="177"/>
      <c r="L43" s="269"/>
      <c r="M43" s="287">
        <f t="shared" si="3"/>
        <v>0</v>
      </c>
      <c r="N43" s="177">
        <v>-7.4999999999999997E-3</v>
      </c>
      <c r="O43" s="177">
        <v>-7.4999999999999997E-3</v>
      </c>
      <c r="P43" s="177">
        <v>-7.4999999999999997E-3</v>
      </c>
      <c r="Q43" s="177">
        <v>-7.4999999999999997E-3</v>
      </c>
      <c r="R43" s="177">
        <v>1.4999999999999999E-2</v>
      </c>
      <c r="S43" s="177">
        <v>1.4999999999999999E-2</v>
      </c>
      <c r="T43" s="177">
        <v>1.4999999999999999E-2</v>
      </c>
      <c r="U43" s="177">
        <v>1.4999999999999999E-2</v>
      </c>
      <c r="V43" s="177">
        <v>0.01</v>
      </c>
      <c r="W43" s="177"/>
      <c r="AC43" s="190">
        <f>AC31+AC32+AC33+AC38</f>
        <v>1672.0345000000002</v>
      </c>
      <c r="AH43" s="190">
        <f>AH31+AH32+AH33+AH38</f>
        <v>1749.068</v>
      </c>
      <c r="AL43" s="247"/>
      <c r="AM43" s="235">
        <v>-7.4999999999999997E-3</v>
      </c>
      <c r="AN43" s="235">
        <v>1.4999999999999999E-2</v>
      </c>
    </row>
    <row r="44" spans="1:40" s="35" customFormat="1" ht="32" x14ac:dyDescent="0.2">
      <c r="A44" s="86" t="s">
        <v>158</v>
      </c>
      <c r="B44"/>
      <c r="C44"/>
      <c r="D44" s="204">
        <f t="shared" ref="D44:I44" si="35">D41+D32+D35</f>
        <v>1440187</v>
      </c>
      <c r="E44" s="204">
        <f t="shared" si="35"/>
        <v>1503410</v>
      </c>
      <c r="F44" s="204">
        <f t="shared" si="35"/>
        <v>1508652</v>
      </c>
      <c r="G44" s="204">
        <f t="shared" si="35"/>
        <v>1513957</v>
      </c>
      <c r="H44" s="204">
        <f t="shared" si="35"/>
        <v>1521941</v>
      </c>
      <c r="I44" s="204">
        <f t="shared" si="35"/>
        <v>1574462</v>
      </c>
      <c r="J44" s="204">
        <f>J41+J32+J34</f>
        <v>3533665.333333333</v>
      </c>
      <c r="K44" s="88">
        <f t="shared" ref="K44:U44" si="36">K41+K32+K34</f>
        <v>2447840</v>
      </c>
      <c r="L44" s="277">
        <v>2412710.1197894895</v>
      </c>
      <c r="M44" s="287">
        <f t="shared" si="3"/>
        <v>35129.880210510455</v>
      </c>
      <c r="N44" s="88">
        <f t="shared" si="36"/>
        <v>1939134.7000000002</v>
      </c>
      <c r="O44" s="88">
        <f t="shared" si="36"/>
        <v>1868724.6897500004</v>
      </c>
      <c r="P44" s="88">
        <f t="shared" si="36"/>
        <v>1780209.2545768754</v>
      </c>
      <c r="Q44" s="88">
        <f t="shared" si="36"/>
        <v>1643787.6851675489</v>
      </c>
      <c r="R44" s="88">
        <f t="shared" si="36"/>
        <v>1668444.5004450621</v>
      </c>
      <c r="S44" s="88">
        <f t="shared" si="36"/>
        <v>1693471.1679517378</v>
      </c>
      <c r="T44" s="88">
        <f t="shared" si="36"/>
        <v>1718873.2354710137</v>
      </c>
      <c r="U44" s="88">
        <f t="shared" si="36"/>
        <v>1744656.3340030788</v>
      </c>
      <c r="V44" s="88">
        <f>V41+V32+V35</f>
        <v>1762102.8973431096</v>
      </c>
      <c r="W44" s="224"/>
      <c r="X44" s="224"/>
      <c r="Y44" s="224"/>
      <c r="Z44" s="224"/>
      <c r="AA44" s="224"/>
      <c r="AB44" s="224"/>
      <c r="AI44" s="35">
        <f>AI41/AH41</f>
        <v>1.0466009613788076</v>
      </c>
      <c r="AL44" s="246"/>
    </row>
    <row r="45" spans="1:40" s="35" customFormat="1" ht="14" customHeight="1" x14ac:dyDescent="0.2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274"/>
      <c r="M45" s="287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8"/>
    </row>
    <row r="46" spans="1:40" s="35" customFormat="1" x14ac:dyDescent="0.2">
      <c r="A46" s="141" t="s">
        <v>4</v>
      </c>
      <c r="B46" s="141" t="s">
        <v>288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278">
        <v>1209786.6824324322</v>
      </c>
      <c r="M46" s="287">
        <f t="shared" si="3"/>
        <v>2559.3175675678067</v>
      </c>
      <c r="N46" s="144">
        <f t="shared" ref="N46:V46" si="37">N47+AVERAGE($F$46:$I$46)</f>
        <v>382932.00834658189</v>
      </c>
      <c r="O46" s="144">
        <f t="shared" si="37"/>
        <v>100250.25</v>
      </c>
      <c r="P46" s="144">
        <f t="shared" si="37"/>
        <v>100250.25</v>
      </c>
      <c r="Q46" s="144">
        <f t="shared" si="37"/>
        <v>100250.25</v>
      </c>
      <c r="R46" s="144">
        <f t="shared" si="37"/>
        <v>100250.25</v>
      </c>
      <c r="S46" s="144">
        <f t="shared" si="37"/>
        <v>74830.25</v>
      </c>
      <c r="T46" s="144">
        <f t="shared" si="37"/>
        <v>74830.25</v>
      </c>
      <c r="U46" s="144">
        <f t="shared" si="37"/>
        <v>74830.25</v>
      </c>
      <c r="V46" s="144">
        <f t="shared" si="37"/>
        <v>74830.25</v>
      </c>
      <c r="W46" s="44"/>
      <c r="X46" s="44"/>
      <c r="Y46" s="44"/>
      <c r="Z46" s="44"/>
      <c r="AA46" s="44"/>
      <c r="AB46" s="44">
        <f>AVERAGE(D46:G46)/1000</f>
        <v>73.464250000000007</v>
      </c>
      <c r="AC46" s="44"/>
      <c r="AD46" s="44"/>
      <c r="AE46" s="44"/>
      <c r="AL46" s="246"/>
    </row>
    <row r="47" spans="1:40" s="35" customFormat="1" ht="16" x14ac:dyDescent="0.2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278">
        <v>1134956.4324324322</v>
      </c>
      <c r="M47" s="287">
        <f t="shared" si="3"/>
        <v>-41056.432432432193</v>
      </c>
      <c r="N47" s="116">
        <f t="shared" ref="N47:V47" si="38">N48+N49</f>
        <v>308101.75834658189</v>
      </c>
      <c r="O47" s="116">
        <f t="shared" si="38"/>
        <v>25420</v>
      </c>
      <c r="P47" s="116">
        <f t="shared" si="38"/>
        <v>25420</v>
      </c>
      <c r="Q47" s="116">
        <f t="shared" si="38"/>
        <v>25420</v>
      </c>
      <c r="R47" s="116">
        <f t="shared" si="38"/>
        <v>25420</v>
      </c>
      <c r="S47" s="116">
        <f t="shared" si="38"/>
        <v>0</v>
      </c>
      <c r="T47" s="116">
        <f t="shared" si="38"/>
        <v>0</v>
      </c>
      <c r="U47" s="116">
        <f t="shared" si="38"/>
        <v>0</v>
      </c>
      <c r="V47" s="116">
        <f t="shared" si="38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6"/>
    </row>
    <row r="48" spans="1:40" s="35" customFormat="1" ht="16" x14ac:dyDescent="0.2">
      <c r="A48" s="228" t="s">
        <v>276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278">
        <v>880556.43243243231</v>
      </c>
      <c r="M48" s="287">
        <f t="shared" si="3"/>
        <v>-14956.43243243231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6"/>
    </row>
    <row r="49" spans="1:38" s="35" customFormat="1" ht="27.5" customHeight="1" x14ac:dyDescent="0.2">
      <c r="A49" s="229" t="s">
        <v>277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278">
        <v>254399.99999999997</v>
      </c>
      <c r="M49" s="287">
        <f t="shared" si="3"/>
        <v>-26099.999999999971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6"/>
    </row>
    <row r="50" spans="1:38" s="188" customFormat="1" ht="12" x14ac:dyDescent="0.15">
      <c r="A50" s="284" t="s">
        <v>290</v>
      </c>
      <c r="D50" s="210"/>
      <c r="E50" s="210"/>
      <c r="F50" s="210"/>
      <c r="G50" s="291"/>
      <c r="H50" s="291"/>
      <c r="I50" s="291"/>
      <c r="J50" s="291">
        <v>63800</v>
      </c>
      <c r="K50" s="292">
        <v>15000</v>
      </c>
      <c r="L50" s="293"/>
      <c r="M50" s="294"/>
      <c r="N50" s="292"/>
      <c r="O50" s="292"/>
      <c r="P50" s="292"/>
      <c r="Q50" s="292"/>
      <c r="R50" s="292"/>
      <c r="S50" s="292"/>
      <c r="T50" s="292"/>
      <c r="U50" s="292"/>
      <c r="V50" s="292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L50" s="247"/>
    </row>
    <row r="51" spans="1:38" s="188" customFormat="1" ht="12" x14ac:dyDescent="0.15">
      <c r="A51" s="284" t="s">
        <v>291</v>
      </c>
      <c r="D51" s="210"/>
      <c r="E51" s="210"/>
      <c r="F51" s="210"/>
      <c r="G51" s="291"/>
      <c r="H51" s="291"/>
      <c r="I51" s="291"/>
      <c r="J51" s="291">
        <v>73300</v>
      </c>
      <c r="K51" s="292">
        <v>73300</v>
      </c>
      <c r="L51" s="293"/>
      <c r="M51" s="294"/>
      <c r="N51" s="292"/>
      <c r="O51" s="292"/>
      <c r="P51" s="292"/>
      <c r="Q51" s="292"/>
      <c r="R51" s="292"/>
      <c r="S51" s="292"/>
      <c r="T51" s="292"/>
      <c r="U51" s="292"/>
      <c r="V51" s="292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L51" s="247"/>
    </row>
    <row r="52" spans="1:38" s="188" customFormat="1" ht="12" x14ac:dyDescent="0.15">
      <c r="A52" s="284" t="s">
        <v>292</v>
      </c>
      <c r="D52" s="210"/>
      <c r="E52" s="210"/>
      <c r="F52" s="210"/>
      <c r="G52" s="291"/>
      <c r="H52" s="291"/>
      <c r="I52" s="291"/>
      <c r="J52" s="291">
        <v>140000</v>
      </c>
      <c r="K52" s="292">
        <v>140000</v>
      </c>
      <c r="L52" s="293"/>
      <c r="M52" s="294"/>
      <c r="N52" s="292"/>
      <c r="O52" s="292"/>
      <c r="P52" s="292"/>
      <c r="Q52" s="292"/>
      <c r="R52" s="292"/>
      <c r="S52" s="292"/>
      <c r="T52" s="292"/>
      <c r="U52" s="292"/>
      <c r="V52" s="292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L52" s="247"/>
    </row>
    <row r="53" spans="1:38" s="35" customFormat="1" x14ac:dyDescent="0.2">
      <c r="A53" s="134"/>
      <c r="D53" s="200"/>
      <c r="E53" s="200"/>
      <c r="F53" s="200"/>
      <c r="G53" s="205"/>
      <c r="H53" s="205"/>
      <c r="I53" s="205"/>
      <c r="J53" s="205"/>
      <c r="K53" s="116"/>
      <c r="L53" s="278"/>
      <c r="M53" s="287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6"/>
    </row>
    <row r="54" spans="1:38" s="35" customFormat="1" x14ac:dyDescent="0.2">
      <c r="A54" s="35" t="s">
        <v>16</v>
      </c>
      <c r="B54" s="35" t="s">
        <v>288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278">
        <v>290947.34465922043</v>
      </c>
      <c r="M54" s="287">
        <f t="shared" si="3"/>
        <v>436531.65534077957</v>
      </c>
      <c r="N54" s="116">
        <f>N56+(SUM($K$58:$R$58))/4/6*4</f>
        <v>286539.55144373403</v>
      </c>
      <c r="O54" s="116">
        <f>O56+(SUM($K$58:$R$58))/4/6*4</f>
        <v>287307.66211430961</v>
      </c>
      <c r="P54" s="116">
        <f>P56+(SUM($K$58:$R$58))/4/6*4</f>
        <v>288189.10058873915</v>
      </c>
      <c r="Q54" s="116">
        <f>Q56+(SUM($K$58:$R$58))/4/6*4</f>
        <v>289221.64280164416</v>
      </c>
      <c r="R54" s="116">
        <f>R56+(SUM($K$58:$R$58))/4/6*4</f>
        <v>290711.04635991773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AVERAGE(D54:G54)/1000</f>
        <v>600.89149999999995</v>
      </c>
      <c r="AC54" s="44"/>
      <c r="AD54" s="44"/>
      <c r="AE54" s="44"/>
      <c r="AL54" s="246"/>
    </row>
    <row r="55" spans="1:38" s="35" customFormat="1" x14ac:dyDescent="0.2">
      <c r="A55" s="35" t="s">
        <v>230</v>
      </c>
      <c r="D55" s="206">
        <f>D54-D67</f>
        <v>196851</v>
      </c>
      <c r="E55" s="206">
        <f t="shared" ref="E55:K55" si="39">E54-E67</f>
        <v>189684</v>
      </c>
      <c r="F55" s="206">
        <f t="shared" si="39"/>
        <v>192875</v>
      </c>
      <c r="G55" s="206">
        <f t="shared" si="39"/>
        <v>191507</v>
      </c>
      <c r="H55" s="206">
        <f t="shared" si="39"/>
        <v>203997</v>
      </c>
      <c r="I55" s="206">
        <f t="shared" si="39"/>
        <v>204376</v>
      </c>
      <c r="J55" s="206">
        <f t="shared" si="39"/>
        <v>884250</v>
      </c>
      <c r="K55" s="206">
        <f t="shared" si="39"/>
        <v>241407</v>
      </c>
      <c r="L55" s="278"/>
      <c r="M55" s="287">
        <f t="shared" si="3"/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6"/>
    </row>
    <row r="56" spans="1:38" s="35" customFormat="1" x14ac:dyDescent="0.2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278">
        <v>193947.3446592204</v>
      </c>
      <c r="M56" s="287">
        <f t="shared" si="3"/>
        <v>-4022.5373758604983</v>
      </c>
      <c r="N56" s="116">
        <f>K56*(1+N66)</f>
        <v>191372.88477706737</v>
      </c>
      <c r="O56" s="116">
        <f t="shared" ref="O56:R56" si="40">N56*(1+O66)</f>
        <v>192140.99544764293</v>
      </c>
      <c r="P56" s="116">
        <f t="shared" si="40"/>
        <v>193022.43392207249</v>
      </c>
      <c r="Q56" s="116">
        <f t="shared" si="40"/>
        <v>194054.97613497751</v>
      </c>
      <c r="R56" s="116">
        <f t="shared" si="40"/>
        <v>195544.37969325104</v>
      </c>
      <c r="S56" s="116">
        <f t="shared" ref="S56" si="41">R56*(1+S66)</f>
        <v>197240.80684971524</v>
      </c>
      <c r="T56" s="116">
        <f t="shared" ref="T56" si="42">S56*(1+T66)</f>
        <v>198958.57178194771</v>
      </c>
      <c r="U56" s="116">
        <f t="shared" ref="U56" si="43">T56*(1+U66)</f>
        <v>200866.80125051297</v>
      </c>
      <c r="V56" s="116">
        <f t="shared" ref="V56:W56" si="44">U56*(1+V66)</f>
        <v>202622.47677399649</v>
      </c>
      <c r="W56" s="116">
        <f t="shared" si="44"/>
        <v>204572.45802602734</v>
      </c>
      <c r="X56" s="44"/>
      <c r="Y56" s="44"/>
      <c r="Z56" s="44"/>
      <c r="AA56" s="44"/>
      <c r="AB56" s="44"/>
      <c r="AC56" s="44"/>
      <c r="AD56" s="44"/>
      <c r="AE56" s="44"/>
      <c r="AF56" s="44"/>
      <c r="AL56" s="246"/>
    </row>
    <row r="57" spans="1:38" s="138" customFormat="1" x14ac:dyDescent="0.2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279"/>
      <c r="M57" s="287">
        <f t="shared" si="3"/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9"/>
    </row>
    <row r="58" spans="1:38" s="35" customFormat="1" ht="32" x14ac:dyDescent="0.2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278">
        <v>97000</v>
      </c>
      <c r="M58" s="287">
        <f t="shared" si="3"/>
        <v>0</v>
      </c>
      <c r="N58" s="116">
        <f t="shared" ref="N58:W58" si="45">SUM(N59:N61)</f>
        <v>107000</v>
      </c>
      <c r="O58" s="116">
        <f t="shared" si="45"/>
        <v>90000</v>
      </c>
      <c r="P58" s="116">
        <f t="shared" si="45"/>
        <v>62000</v>
      </c>
      <c r="Q58" s="116">
        <f t="shared" si="45"/>
        <v>62000</v>
      </c>
      <c r="R58" s="116">
        <f t="shared" si="45"/>
        <v>56000</v>
      </c>
      <c r="S58" s="116">
        <f t="shared" si="45"/>
        <v>50000</v>
      </c>
      <c r="T58" s="116">
        <f t="shared" si="45"/>
        <v>50000</v>
      </c>
      <c r="U58" s="116">
        <f t="shared" si="45"/>
        <v>50000</v>
      </c>
      <c r="V58" s="116">
        <f t="shared" si="45"/>
        <v>50000</v>
      </c>
      <c r="W58" s="116">
        <f t="shared" si="45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6"/>
    </row>
    <row r="59" spans="1:38" s="35" customFormat="1" x14ac:dyDescent="0.2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278">
        <v>45000</v>
      </c>
      <c r="M59" s="287">
        <f t="shared" si="3"/>
        <v>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6"/>
    </row>
    <row r="60" spans="1:38" s="35" customFormat="1" x14ac:dyDescent="0.2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278">
        <v>27000</v>
      </c>
      <c r="M60" s="287">
        <f t="shared" si="3"/>
        <v>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6"/>
    </row>
    <row r="61" spans="1:38" s="35" customFormat="1" x14ac:dyDescent="0.2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278">
        <v>25000</v>
      </c>
      <c r="M61" s="287">
        <f t="shared" si="3"/>
        <v>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6"/>
    </row>
    <row r="62" spans="1:38" s="35" customFormat="1" x14ac:dyDescent="0.2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W62" si="46">K56+K58</f>
        <v>286924.80728335993</v>
      </c>
      <c r="L62" s="278">
        <v>290947.34465922043</v>
      </c>
      <c r="M62" s="287">
        <f t="shared" si="3"/>
        <v>-4022.5373758604983</v>
      </c>
      <c r="N62" s="144">
        <f t="shared" si="46"/>
        <v>298372.88477706735</v>
      </c>
      <c r="O62" s="144">
        <f t="shared" si="46"/>
        <v>282140.99544764293</v>
      </c>
      <c r="P62" s="144">
        <f t="shared" si="46"/>
        <v>255022.43392207249</v>
      </c>
      <c r="Q62" s="144">
        <f t="shared" si="46"/>
        <v>256054.97613497751</v>
      </c>
      <c r="R62" s="144">
        <f t="shared" si="46"/>
        <v>251544.37969325104</v>
      </c>
      <c r="S62" s="144">
        <f t="shared" si="46"/>
        <v>247240.80684971524</v>
      </c>
      <c r="T62" s="144">
        <f t="shared" si="46"/>
        <v>248958.57178194771</v>
      </c>
      <c r="U62" s="144">
        <f t="shared" si="46"/>
        <v>250866.80125051297</v>
      </c>
      <c r="V62" s="144">
        <f t="shared" si="46"/>
        <v>252622.47677399649</v>
      </c>
      <c r="W62" s="144">
        <f t="shared" si="46"/>
        <v>254572.45802602734</v>
      </c>
      <c r="X62" s="44"/>
      <c r="Y62" s="44"/>
      <c r="Z62" s="44"/>
      <c r="AA62" s="44"/>
      <c r="AB62" s="44"/>
      <c r="AC62" s="44"/>
      <c r="AD62" s="44"/>
      <c r="AE62" s="44"/>
      <c r="AF62" s="44"/>
      <c r="AL62" s="246"/>
    </row>
    <row r="63" spans="1:38" s="35" customFormat="1" x14ac:dyDescent="0.2">
      <c r="D63" s="200"/>
      <c r="E63" s="200"/>
      <c r="F63" s="200"/>
      <c r="G63" s="200"/>
      <c r="H63" s="200"/>
      <c r="I63" s="200"/>
      <c r="J63" s="206"/>
      <c r="K63" s="135"/>
      <c r="L63" s="280"/>
      <c r="M63" s="287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6"/>
    </row>
    <row r="64" spans="1:38" s="35" customFormat="1" x14ac:dyDescent="0.2">
      <c r="A64" s="35" t="s">
        <v>17</v>
      </c>
      <c r="B64" s="35" t="s">
        <v>288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278"/>
      <c r="M64" s="287">
        <f t="shared" si="3"/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8"/>
    </row>
    <row r="65" spans="1:38" s="35" customFormat="1" x14ac:dyDescent="0.2">
      <c r="A65" s="114" t="s">
        <v>205</v>
      </c>
      <c r="B65" s="35" t="s">
        <v>288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 s="107">
        <v>1518.0856397565401</v>
      </c>
      <c r="M65" s="287">
        <f t="shared" si="3"/>
        <v>-31.485639756540195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8"/>
    </row>
    <row r="66" spans="1:38" s="188" customFormat="1" x14ac:dyDescent="0.2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281">
        <v>8.828840880210187E-3</v>
      </c>
      <c r="M66" s="287"/>
      <c r="N66" s="189">
        <f>N65/K65-1</f>
        <v>7.6244778890153242E-3</v>
      </c>
      <c r="O66" s="189">
        <f t="shared" ref="O66:V66" si="47">O65/N65-1</f>
        <v>4.0136860113193507E-3</v>
      </c>
      <c r="P66" s="189">
        <f t="shared" si="47"/>
        <v>4.5874565829953085E-3</v>
      </c>
      <c r="Q66" s="189">
        <f t="shared" si="47"/>
        <v>5.3493378563544969E-3</v>
      </c>
      <c r="R66" s="189">
        <f t="shared" si="47"/>
        <v>7.6751629251576858E-3</v>
      </c>
      <c r="S66" s="189">
        <f t="shared" si="47"/>
        <v>8.675407388979206E-3</v>
      </c>
      <c r="T66" s="189">
        <f t="shared" si="47"/>
        <v>8.7089733593581631E-3</v>
      </c>
      <c r="U66" s="189">
        <f t="shared" si="47"/>
        <v>9.5910894990571816E-3</v>
      </c>
      <c r="V66" s="189">
        <f t="shared" si="47"/>
        <v>8.7404962520107876E-3</v>
      </c>
      <c r="W66" s="189">
        <f t="shared" ref="W66" si="48">W65/V65-1</f>
        <v>9.6237163965073869E-3</v>
      </c>
      <c r="X66" s="189">
        <f t="shared" ref="X66" si="49">X65/W65-1</f>
        <v>8.7455736250123817E-3</v>
      </c>
      <c r="Y66" s="189">
        <f>Y65/X65-1</f>
        <v>9.6201658414407643E-3</v>
      </c>
      <c r="Z66" s="189">
        <f t="shared" ref="Z66" si="50">Z65/Y65-1</f>
        <v>3.1021950970274714E-2</v>
      </c>
      <c r="AA66" s="189"/>
      <c r="AD66" s="190"/>
      <c r="AE66" s="190"/>
      <c r="AF66" s="190"/>
      <c r="AH66" s="190"/>
      <c r="AI66" s="190"/>
      <c r="AJ66" s="190"/>
      <c r="AK66" s="190"/>
      <c r="AL66" s="250"/>
    </row>
    <row r="67" spans="1:38" s="35" customFormat="1" x14ac:dyDescent="0.2">
      <c r="A67" s="35" t="s">
        <v>206</v>
      </c>
      <c r="B67" s="35" t="s">
        <v>288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278">
        <v>517498.00000000006</v>
      </c>
      <c r="M67" s="287">
        <f t="shared" si="3"/>
        <v>-31426.000000000058</v>
      </c>
      <c r="N67" s="116">
        <f t="shared" ref="N67:S67" si="51">N74*0.74</f>
        <v>526575.2952968973</v>
      </c>
      <c r="O67" s="116">
        <f t="shared" si="51"/>
        <v>536071.38652719546</v>
      </c>
      <c r="P67" s="116">
        <f t="shared" si="51"/>
        <v>541420.79304016172</v>
      </c>
      <c r="Q67" s="116">
        <f t="shared" si="51"/>
        <v>541420.79304016172</v>
      </c>
      <c r="R67" s="116">
        <f t="shared" si="51"/>
        <v>541420.79304016172</v>
      </c>
      <c r="S67" s="116">
        <f t="shared" si="51"/>
        <v>541420.79304016172</v>
      </c>
      <c r="T67" s="116">
        <f>T74*0.68</f>
        <v>497521.80982068914</v>
      </c>
      <c r="U67" s="116">
        <f>U74*0.68</f>
        <v>497521.80982068914</v>
      </c>
      <c r="V67" s="116">
        <f>V74*0.68</f>
        <v>497521.80982068914</v>
      </c>
      <c r="W67" s="116"/>
      <c r="X67" s="116"/>
      <c r="Y67" s="116"/>
      <c r="Z67" s="116"/>
      <c r="AA67" s="116"/>
      <c r="AB67" s="44">
        <f>AVERAGE(D67:G67)/1000</f>
        <v>408.16224999999997</v>
      </c>
      <c r="AC67" s="45">
        <f>AVERAGE(H67:K67)</f>
        <v>458387.5</v>
      </c>
      <c r="AD67" s="45">
        <f>AVERAGE(N67:Q67)</f>
        <v>536372.06697610405</v>
      </c>
      <c r="AE67" s="45">
        <f>AVERAGE(R67:U67)</f>
        <v>519471.30143042549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6"/>
    </row>
    <row r="68" spans="1:38" s="35" customFormat="1" x14ac:dyDescent="0.2">
      <c r="A68" s="141" t="s">
        <v>162</v>
      </c>
      <c r="B68" s="141"/>
      <c r="C68" s="141"/>
      <c r="D68" s="204">
        <f t="shared" ref="D68:I68" si="52">D41+D38+D32+D34</f>
        <v>1440187</v>
      </c>
      <c r="E68" s="204">
        <f t="shared" si="52"/>
        <v>1503410</v>
      </c>
      <c r="F68" s="204">
        <f t="shared" si="52"/>
        <v>1508652</v>
      </c>
      <c r="G68" s="204">
        <f t="shared" si="52"/>
        <v>1513957</v>
      </c>
      <c r="H68" s="204">
        <f t="shared" si="52"/>
        <v>1521941</v>
      </c>
      <c r="I68" s="204">
        <f t="shared" si="52"/>
        <v>1574462</v>
      </c>
      <c r="J68" s="204">
        <f>J41+J38+J32+J34</f>
        <v>3713565.333333333</v>
      </c>
      <c r="K68" s="142">
        <f t="shared" ref="K68:U68" si="53">K41+K38+K32+K34</f>
        <v>2531540</v>
      </c>
      <c r="L68" s="277">
        <v>2574710.1197894895</v>
      </c>
      <c r="M68" s="287">
        <f t="shared" si="3"/>
        <v>-43170.119789489545</v>
      </c>
      <c r="N68" s="142">
        <f>N41+N38+N32+N34</f>
        <v>1990939.5416534182</v>
      </c>
      <c r="O68" s="142">
        <f t="shared" si="53"/>
        <v>1912102.28529849</v>
      </c>
      <c r="P68" s="142">
        <f t="shared" si="53"/>
        <v>1823209.2545768754</v>
      </c>
      <c r="Q68" s="142">
        <f t="shared" si="53"/>
        <v>1686787.6851675489</v>
      </c>
      <c r="R68" s="142">
        <f t="shared" si="53"/>
        <v>1683444.5004450621</v>
      </c>
      <c r="S68" s="142">
        <f t="shared" si="53"/>
        <v>1693471.1679517378</v>
      </c>
      <c r="T68" s="142">
        <f t="shared" si="53"/>
        <v>1718873.2354710137</v>
      </c>
      <c r="U68" s="142">
        <f t="shared" si="53"/>
        <v>1744656.3340030788</v>
      </c>
      <c r="V68" s="142">
        <f t="shared" ref="V68" si="54">V41+V38+V32+V34</f>
        <v>1762102.8973431096</v>
      </c>
      <c r="AL68" s="246"/>
    </row>
    <row r="69" spans="1:38" s="35" customFormat="1" x14ac:dyDescent="0.2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U69" si="55">K67+K31</f>
        <v>1328805</v>
      </c>
      <c r="L69" s="280">
        <v>1351145</v>
      </c>
      <c r="M69" s="287">
        <f t="shared" si="3"/>
        <v>-22340</v>
      </c>
      <c r="N69" s="143">
        <f t="shared" si="55"/>
        <v>1379628.482295726</v>
      </c>
      <c r="O69" s="143">
        <f t="shared" si="55"/>
        <v>1399571.1424983735</v>
      </c>
      <c r="P69" s="143">
        <f t="shared" si="55"/>
        <v>1415495.0476426566</v>
      </c>
      <c r="Q69" s="143">
        <f t="shared" si="55"/>
        <v>1426199.042571489</v>
      </c>
      <c r="R69" s="143">
        <f t="shared" si="55"/>
        <v>1455130.8921611134</v>
      </c>
      <c r="S69" s="143">
        <f t="shared" si="55"/>
        <v>1485008.800179638</v>
      </c>
      <c r="T69" s="143">
        <f t="shared" si="55"/>
        <v>1471964.7190913986</v>
      </c>
      <c r="U69" s="143">
        <f t="shared" si="55"/>
        <v>1503828.5626020522</v>
      </c>
      <c r="V69" s="143">
        <f t="shared" ref="V69" si="56">V67+V31</f>
        <v>1513969.2079582564</v>
      </c>
      <c r="AL69" s="246"/>
    </row>
    <row r="70" spans="1:38" s="35" customFormat="1" x14ac:dyDescent="0.2">
      <c r="D70" s="200"/>
      <c r="E70" s="200"/>
      <c r="F70" s="200"/>
      <c r="G70" s="200"/>
      <c r="H70" s="200"/>
      <c r="I70" s="200"/>
      <c r="J70" s="200"/>
      <c r="L70" s="107"/>
      <c r="M70" s="287"/>
      <c r="AL70" s="246"/>
    </row>
    <row r="71" spans="1:38" s="35" customFormat="1" x14ac:dyDescent="0.2">
      <c r="A71" s="35" t="s">
        <v>15</v>
      </c>
      <c r="B71" s="35" t="s">
        <v>288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275">
        <v>859481.41084597632</v>
      </c>
      <c r="M71" s="287">
        <f t="shared" si="3"/>
        <v>-15889.410845976323</v>
      </c>
      <c r="N71" s="133">
        <f t="shared" ref="N71:U71" si="57">N72+N74</f>
        <v>854389.62438769906</v>
      </c>
      <c r="O71" s="133">
        <f t="shared" si="57"/>
        <v>867579.18357306824</v>
      </c>
      <c r="P71" s="133">
        <f t="shared" si="57"/>
        <v>875166.00727071473</v>
      </c>
      <c r="Q71" s="133">
        <f t="shared" si="57"/>
        <v>875883.58870544552</v>
      </c>
      <c r="R71" s="133">
        <f t="shared" si="57"/>
        <v>876965.34271830227</v>
      </c>
      <c r="S71" s="133">
        <f t="shared" si="57"/>
        <v>878418.49894223991</v>
      </c>
      <c r="T71" s="133">
        <f t="shared" si="57"/>
        <v>879964.52696248644</v>
      </c>
      <c r="U71" s="133">
        <f t="shared" si="57"/>
        <v>881357.78541551507</v>
      </c>
      <c r="V71" s="133">
        <f t="shared" ref="V71" si="58">V72+V74</f>
        <v>882586.05273594777</v>
      </c>
      <c r="AL71" s="246"/>
    </row>
    <row r="72" spans="1:38" s="35" customFormat="1" x14ac:dyDescent="0.2">
      <c r="A72" s="35" t="s">
        <v>232</v>
      </c>
      <c r="D72" s="206">
        <f t="shared" ref="D72:I72" si="59">D71-D74</f>
        <v>139025</v>
      </c>
      <c r="E72" s="206">
        <f t="shared" si="59"/>
        <v>139342</v>
      </c>
      <c r="F72" s="206">
        <f t="shared" si="59"/>
        <v>140228</v>
      </c>
      <c r="G72" s="206">
        <f t="shared" si="59"/>
        <v>141105</v>
      </c>
      <c r="H72" s="206">
        <f t="shared" si="59"/>
        <v>141335</v>
      </c>
      <c r="I72" s="206">
        <f t="shared" si="59"/>
        <v>142991</v>
      </c>
      <c r="J72" s="206">
        <f>J71-J74</f>
        <v>143335</v>
      </c>
      <c r="K72" s="206">
        <f>K71-K74</f>
        <v>144609</v>
      </c>
      <c r="L72" s="275">
        <v>143335</v>
      </c>
      <c r="M72" s="287">
        <f t="shared" si="3"/>
        <v>1274</v>
      </c>
      <c r="N72" s="133">
        <f>K72*(1+N83-0.015)</f>
        <v>142801.38749999998</v>
      </c>
      <c r="O72" s="133">
        <f t="shared" ref="O72:V72" si="60">N72*(1+O83)</f>
        <v>143158.39096874997</v>
      </c>
      <c r="P72" s="133">
        <f t="shared" si="60"/>
        <v>143516.28694617184</v>
      </c>
      <c r="Q72" s="133">
        <f t="shared" si="60"/>
        <v>144233.86838090268</v>
      </c>
      <c r="R72" s="133">
        <f t="shared" si="60"/>
        <v>145315.62239375946</v>
      </c>
      <c r="S72" s="133">
        <f t="shared" si="60"/>
        <v>146768.77861769707</v>
      </c>
      <c r="T72" s="133">
        <f t="shared" si="60"/>
        <v>148314.80663794363</v>
      </c>
      <c r="U72" s="133">
        <f t="shared" si="60"/>
        <v>149708.06509097226</v>
      </c>
      <c r="V72" s="133">
        <f t="shared" si="60"/>
        <v>150936.33241140499</v>
      </c>
      <c r="AL72" s="246"/>
    </row>
    <row r="73" spans="1:38" s="35" customFormat="1" x14ac:dyDescent="0.2">
      <c r="D73" s="206"/>
      <c r="E73" s="200"/>
      <c r="F73" s="200"/>
      <c r="G73" s="200"/>
      <c r="H73" s="200"/>
      <c r="I73" s="200"/>
      <c r="J73" s="200"/>
      <c r="L73" s="107"/>
      <c r="M73" s="287"/>
      <c r="AL73" s="246"/>
    </row>
    <row r="74" spans="1:38" s="35" customFormat="1" x14ac:dyDescent="0.2">
      <c r="A74" s="35" t="s">
        <v>229</v>
      </c>
      <c r="B74" s="35" t="s">
        <v>288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278">
        <v>716146.41084597632</v>
      </c>
      <c r="M74" s="287">
        <f t="shared" si="3"/>
        <v>-17163.410845976323</v>
      </c>
      <c r="N74" s="135">
        <f>K74*(($AI$74/$AH$74)^0.18)</f>
        <v>711588.23688769911</v>
      </c>
      <c r="O74" s="135">
        <f>N74*(($AI$74/$AH$74)^0.18)</f>
        <v>724420.79260431824</v>
      </c>
      <c r="P74" s="135">
        <f>O74*(($AI$74/$AH$74)^0.1)</f>
        <v>731649.72032454284</v>
      </c>
      <c r="Q74" s="135">
        <f>P74*(1+Q75)</f>
        <v>731649.72032454284</v>
      </c>
      <c r="R74" s="135">
        <f t="shared" ref="R74:V74" si="61">Q74*(1+R75)</f>
        <v>731649.72032454284</v>
      </c>
      <c r="S74" s="135">
        <f t="shared" si="61"/>
        <v>731649.72032454284</v>
      </c>
      <c r="T74" s="135">
        <f t="shared" si="61"/>
        <v>731649.72032454284</v>
      </c>
      <c r="U74" s="135">
        <f t="shared" si="61"/>
        <v>731649.72032454284</v>
      </c>
      <c r="V74" s="135">
        <f t="shared" si="61"/>
        <v>731649.72032454284</v>
      </c>
      <c r="AC74" s="45">
        <f>AVERAGE(H74:K74)/1000</f>
        <v>652.88350000000003</v>
      </c>
      <c r="AD74" s="45">
        <f>AVERAGE(N74:Q74)/1000</f>
        <v>724.82711753527576</v>
      </c>
      <c r="AE74" s="45">
        <f>AVERAGE(R74:U74)/1000</f>
        <v>731.64972032454284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6"/>
    </row>
    <row r="75" spans="1:38" s="188" customFormat="1" x14ac:dyDescent="0.2">
      <c r="A75" s="170" t="s">
        <v>273</v>
      </c>
      <c r="D75" s="210"/>
      <c r="E75" s="210"/>
      <c r="F75" s="210"/>
      <c r="G75" s="210"/>
      <c r="H75" s="203"/>
      <c r="I75" s="203"/>
      <c r="J75" s="203"/>
      <c r="K75" s="177"/>
      <c r="L75" s="269"/>
      <c r="M75" s="287"/>
      <c r="N75" s="177"/>
      <c r="O75" s="177"/>
      <c r="P75" s="177"/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7">
        <v>0</v>
      </c>
      <c r="W75" s="177"/>
      <c r="AL75" s="247"/>
    </row>
    <row r="76" spans="1:38" s="153" customFormat="1" x14ac:dyDescent="0.2">
      <c r="A76" s="153" t="s">
        <v>224</v>
      </c>
      <c r="D76" s="211">
        <f>D67/D74</f>
        <v>0.66058231423538405</v>
      </c>
      <c r="E76" s="211">
        <f t="shared" ref="E76:G76" si="62">E67/E74</f>
        <v>0.6749214177505789</v>
      </c>
      <c r="F76" s="211">
        <f t="shared" si="62"/>
        <v>0.68242012696430432</v>
      </c>
      <c r="G76" s="211">
        <f t="shared" si="62"/>
        <v>0.6730637268687778</v>
      </c>
      <c r="H76" s="211">
        <f t="shared" ref="H76" si="63">H67/H74</f>
        <v>0.66395699382859508</v>
      </c>
      <c r="I76" s="211">
        <f t="shared" ref="I76" si="64">I67/I74</f>
        <v>0.67846773573296415</v>
      </c>
      <c r="J76" s="212"/>
      <c r="L76" s="282"/>
      <c r="M76" s="287"/>
      <c r="AC76" s="154"/>
      <c r="AD76" s="154"/>
      <c r="AE76" s="154"/>
      <c r="AG76" s="155"/>
      <c r="AH76" s="155"/>
      <c r="AI76" s="155"/>
      <c r="AL76" s="251"/>
    </row>
    <row r="77" spans="1:38" s="35" customFormat="1" x14ac:dyDescent="0.2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107">
        <v>1937.7091681162387</v>
      </c>
      <c r="M77" s="287">
        <f t="shared" si="3"/>
        <v>58.490831883761302</v>
      </c>
      <c r="N77" s="35">
        <f>K77*(1+N79)</f>
        <v>2035.245476772616</v>
      </c>
      <c r="O77" s="35">
        <f t="shared" ref="O77:V77" si="65">N77*(1+O79)</f>
        <v>2060.9221218241732</v>
      </c>
      <c r="P77" s="35">
        <f t="shared" si="65"/>
        <v>2083.41571170405</v>
      </c>
      <c r="Q77" s="35">
        <f t="shared" si="65"/>
        <v>2098.2699691718931</v>
      </c>
      <c r="R77" s="35">
        <f t="shared" si="65"/>
        <v>2108.5618475603274</v>
      </c>
      <c r="S77" s="35">
        <f t="shared" si="65"/>
        <v>2118.7476241097056</v>
      </c>
      <c r="T77" s="35">
        <f t="shared" si="65"/>
        <v>2126.1747528436272</v>
      </c>
      <c r="U77" s="35">
        <f t="shared" si="65"/>
        <v>2130.737131923036</v>
      </c>
      <c r="V77" s="35">
        <f t="shared" si="65"/>
        <v>2132.4347613479322</v>
      </c>
      <c r="AL77" s="246"/>
    </row>
    <row r="78" spans="1:38" s="188" customFormat="1" x14ac:dyDescent="0.2">
      <c r="A78" s="170" t="s">
        <v>293</v>
      </c>
      <c r="B78" s="35"/>
      <c r="D78" s="203"/>
      <c r="E78" s="203">
        <f t="shared" ref="E78:J78" si="66">(E77/D77)-1</f>
        <v>7.8113264233139468E-3</v>
      </c>
      <c r="F78" s="203">
        <f t="shared" si="66"/>
        <v>6.3596164356336526E-3</v>
      </c>
      <c r="G78" s="203">
        <f t="shared" si="66"/>
        <v>1.3823747222907468E-3</v>
      </c>
      <c r="H78" s="203">
        <f t="shared" si="66"/>
        <v>3.5990731154167399E-3</v>
      </c>
      <c r="I78" s="203">
        <f t="shared" si="66"/>
        <v>2.6527805069758159E-3</v>
      </c>
      <c r="J78" s="203">
        <f t="shared" si="66"/>
        <v>-1.36697697207252E-2</v>
      </c>
      <c r="K78" s="177">
        <f>(K77/J77)-1</f>
        <v>-8.39501266703091E-3</v>
      </c>
      <c r="L78" s="269"/>
      <c r="M78" s="287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AL78" s="247"/>
    </row>
    <row r="79" spans="1:38" s="188" customFormat="1" x14ac:dyDescent="0.2">
      <c r="A79" s="170" t="s">
        <v>294</v>
      </c>
      <c r="B79" s="35" t="s">
        <v>288</v>
      </c>
      <c r="D79" s="210"/>
      <c r="E79" s="210"/>
      <c r="F79" s="210"/>
      <c r="G79" s="210"/>
      <c r="H79" s="203"/>
      <c r="I79" s="203"/>
      <c r="J79" s="203"/>
      <c r="K79" s="177"/>
      <c r="L79" s="269">
        <v>-3.7450117671134701E-2</v>
      </c>
      <c r="M79" s="287"/>
      <c r="N79" s="199">
        <v>1.95599022004889E-2</v>
      </c>
      <c r="O79" s="199">
        <v>1.26159941611927E-2</v>
      </c>
      <c r="P79" s="199">
        <v>1.0914332784184499E-2</v>
      </c>
      <c r="Q79" s="199">
        <v>7.1297616622529904E-3</v>
      </c>
      <c r="R79" s="199">
        <v>4.9049352750809598E-3</v>
      </c>
      <c r="S79" s="199">
        <v>4.8306747848840797E-3</v>
      </c>
      <c r="T79" s="199">
        <v>3.5054334218038701E-3</v>
      </c>
      <c r="U79" s="199">
        <v>2.14581565946403E-3</v>
      </c>
      <c r="V79" s="199">
        <v>7.9673339308827796E-4</v>
      </c>
      <c r="W79" s="199">
        <v>3.9804955716982198E-4</v>
      </c>
      <c r="X79" s="199">
        <v>1.1439371331942701E-3</v>
      </c>
      <c r="Y79" s="199">
        <v>8.9423220229512001E-4</v>
      </c>
      <c r="AL79" s="247"/>
    </row>
    <row r="80" spans="1:38" s="35" customFormat="1" x14ac:dyDescent="0.2">
      <c r="A80" s="35" t="s">
        <v>218</v>
      </c>
      <c r="B80" s="35" t="s">
        <v>288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 s="107">
        <v>2217.7750000000001</v>
      </c>
      <c r="M80" s="287">
        <f t="shared" ref="M80:M87" si="67">K80-L80</f>
        <v>120.125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6"/>
    </row>
    <row r="81" spans="1:38" s="35" customFormat="1" x14ac:dyDescent="0.2">
      <c r="D81" s="200"/>
      <c r="E81" s="200"/>
      <c r="F81" s="200"/>
      <c r="G81" s="200"/>
      <c r="H81" s="200"/>
      <c r="I81" s="200"/>
      <c r="J81" s="200"/>
      <c r="K81"/>
      <c r="L81" s="107"/>
      <c r="M81" s="287"/>
      <c r="N81">
        <f>K80*(1+N83)</f>
        <v>2343.7447499999998</v>
      </c>
      <c r="O81">
        <f>N81*(1+O83)</f>
        <v>2349.6041118749995</v>
      </c>
      <c r="P81">
        <f t="shared" ref="P81:V81" si="68">O81*(1+P83)</f>
        <v>2355.4781221546868</v>
      </c>
      <c r="Q81">
        <f t="shared" si="68"/>
        <v>2367.25551276546</v>
      </c>
      <c r="R81">
        <f t="shared" si="68"/>
        <v>2385.009929111201</v>
      </c>
      <c r="S81">
        <f t="shared" si="68"/>
        <v>2408.8600284023132</v>
      </c>
      <c r="T81">
        <f t="shared" si="68"/>
        <v>2434.2343970918737</v>
      </c>
      <c r="U81">
        <f t="shared" si="68"/>
        <v>2457.1014170966964</v>
      </c>
      <c r="V81">
        <f t="shared" si="68"/>
        <v>2477.2605005219943</v>
      </c>
      <c r="W81"/>
      <c r="X81"/>
      <c r="Y81"/>
      <c r="AL81" s="246"/>
    </row>
    <row r="82" spans="1:38" s="188" customFormat="1" x14ac:dyDescent="0.2">
      <c r="A82" s="170" t="s">
        <v>293</v>
      </c>
      <c r="B82" s="35"/>
      <c r="D82" s="203"/>
      <c r="E82" s="203"/>
      <c r="F82" s="203"/>
      <c r="G82" s="203"/>
      <c r="H82" s="203"/>
      <c r="I82" s="203">
        <f t="shared" ref="I82" si="69">(I80/H80)-1</f>
        <v>1.0265546788835067E-2</v>
      </c>
      <c r="J82" s="203">
        <f t="shared" ref="J82" si="70">(J80/I80)-1</f>
        <v>-1.9776620759153429E-2</v>
      </c>
      <c r="K82" s="177">
        <f>(((K80/J80))^4)-1</f>
        <v>5.8383978226230759E-3</v>
      </c>
      <c r="L82" s="269"/>
      <c r="M82" s="287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AL82" s="247"/>
    </row>
    <row r="83" spans="1:38" s="188" customFormat="1" x14ac:dyDescent="0.2">
      <c r="A83" s="170" t="s">
        <v>294</v>
      </c>
      <c r="D83" s="210"/>
      <c r="E83" s="210"/>
      <c r="F83" s="210"/>
      <c r="G83" s="210"/>
      <c r="H83" s="210"/>
      <c r="I83" s="203"/>
      <c r="J83" s="203"/>
      <c r="K83" s="177"/>
      <c r="L83" s="269">
        <v>-4.9999999999999933E-2</v>
      </c>
      <c r="M83" s="287"/>
      <c r="N83" s="177">
        <v>2.5000000000000001E-3</v>
      </c>
      <c r="O83" s="177">
        <v>2.5000000000000001E-3</v>
      </c>
      <c r="P83" s="177">
        <v>2.5000000000000001E-3</v>
      </c>
      <c r="Q83" s="177">
        <v>5.0000000000000001E-3</v>
      </c>
      <c r="R83" s="177">
        <v>7.4999999999999997E-3</v>
      </c>
      <c r="S83" s="177">
        <v>0.01</v>
      </c>
      <c r="T83" s="177">
        <f>T80/S80-1</f>
        <v>1.053376634191161E-2</v>
      </c>
      <c r="U83" s="177">
        <f>U80/T80-1</f>
        <v>9.3939269086582566E-3</v>
      </c>
      <c r="V83" s="177">
        <f>V80/U80-1</f>
        <v>8.2044165067951536E-3</v>
      </c>
      <c r="AL83" s="247"/>
    </row>
    <row r="84" spans="1:38" s="188" customFormat="1" x14ac:dyDescent="0.2">
      <c r="A84" s="295" t="s">
        <v>265</v>
      </c>
      <c r="D84" s="210"/>
      <c r="E84" s="210"/>
      <c r="F84" s="210"/>
      <c r="G84" s="210"/>
      <c r="H84" s="210"/>
      <c r="I84" s="203"/>
      <c r="J84" s="203"/>
      <c r="K84" s="177"/>
      <c r="L84" s="269"/>
      <c r="M84" s="287"/>
      <c r="N84" s="177"/>
      <c r="O84" s="177"/>
      <c r="P84" s="177"/>
      <c r="Q84" s="177"/>
      <c r="R84" s="177"/>
      <c r="S84" s="177"/>
      <c r="T84" s="177"/>
      <c r="U84" s="177"/>
      <c r="V84" s="177"/>
      <c r="AL84" s="247"/>
    </row>
    <row r="85" spans="1:38" s="35" customFormat="1" x14ac:dyDescent="0.2">
      <c r="A85" s="35" t="s">
        <v>165</v>
      </c>
      <c r="D85" s="296">
        <f t="shared" ref="D85:U85" si="71">D71+D37-D67</f>
        <v>339220</v>
      </c>
      <c r="E85" s="296">
        <f t="shared" si="71"/>
        <v>334185</v>
      </c>
      <c r="F85" s="296">
        <f t="shared" si="71"/>
        <v>335532</v>
      </c>
      <c r="G85" s="296">
        <f t="shared" si="71"/>
        <v>344546</v>
      </c>
      <c r="H85" s="296">
        <f t="shared" si="71"/>
        <v>349558</v>
      </c>
      <c r="I85" s="296">
        <f t="shared" si="71"/>
        <v>343658</v>
      </c>
      <c r="J85" s="296">
        <f t="shared" si="71"/>
        <v>577118</v>
      </c>
      <c r="K85" s="224">
        <f t="shared" si="71"/>
        <v>497520</v>
      </c>
      <c r="L85" s="224">
        <v>481983.41084597626</v>
      </c>
      <c r="M85" s="169">
        <f t="shared" si="67"/>
        <v>15536.589154023735</v>
      </c>
      <c r="N85" s="224">
        <f t="shared" si="71"/>
        <v>407814.32909080177</v>
      </c>
      <c r="O85" s="224">
        <f t="shared" si="71"/>
        <v>391507.79704587278</v>
      </c>
      <c r="P85" s="224">
        <f t="shared" si="71"/>
        <v>377745.21423055301</v>
      </c>
      <c r="Q85" s="224">
        <f t="shared" si="71"/>
        <v>378462.7956652838</v>
      </c>
      <c r="R85" s="224">
        <f t="shared" si="71"/>
        <v>379544.54967814055</v>
      </c>
      <c r="S85" s="224">
        <f t="shared" si="71"/>
        <v>380997.70590207819</v>
      </c>
      <c r="T85" s="224">
        <f t="shared" si="71"/>
        <v>426442.7171417973</v>
      </c>
      <c r="U85" s="224">
        <f t="shared" si="71"/>
        <v>427835.97559482593</v>
      </c>
      <c r="V85" s="224">
        <f t="shared" ref="V85:Y85" si="72">V71+V37-V67</f>
        <v>429064.24291525863</v>
      </c>
      <c r="W85" s="224">
        <f t="shared" si="72"/>
        <v>0</v>
      </c>
      <c r="X85" s="224">
        <f t="shared" si="72"/>
        <v>0</v>
      </c>
      <c r="Y85" s="224">
        <f t="shared" si="72"/>
        <v>0</v>
      </c>
      <c r="AL85" s="246"/>
    </row>
    <row r="86" spans="1:38" s="35" customFormat="1" x14ac:dyDescent="0.2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U86" si="73">K74-K67</f>
        <v>212911</v>
      </c>
      <c r="L86" s="277">
        <v>198648.41084597626</v>
      </c>
      <c r="M86" s="287">
        <f t="shared" si="67"/>
        <v>14262.589154023735</v>
      </c>
      <c r="N86" s="142">
        <f t="shared" si="73"/>
        <v>185012.94159080181</v>
      </c>
      <c r="O86" s="142">
        <f t="shared" si="73"/>
        <v>188349.40607712278</v>
      </c>
      <c r="P86" s="142">
        <f t="shared" si="73"/>
        <v>190228.92728438112</v>
      </c>
      <c r="Q86" s="142">
        <f t="shared" si="73"/>
        <v>190228.92728438112</v>
      </c>
      <c r="R86" s="142">
        <f t="shared" si="73"/>
        <v>190228.92728438112</v>
      </c>
      <c r="S86" s="142">
        <f t="shared" si="73"/>
        <v>190228.92728438112</v>
      </c>
      <c r="T86" s="142">
        <f t="shared" si="73"/>
        <v>234127.91050385369</v>
      </c>
      <c r="U86" s="142">
        <f t="shared" si="73"/>
        <v>234127.91050385369</v>
      </c>
      <c r="V86" s="142">
        <f t="shared" ref="V86:Y86" si="74">V74-V67</f>
        <v>234127.91050385369</v>
      </c>
      <c r="W86" s="142">
        <f t="shared" si="74"/>
        <v>0</v>
      </c>
      <c r="X86" s="142">
        <f t="shared" si="74"/>
        <v>0</v>
      </c>
      <c r="Y86" s="142">
        <f t="shared" si="74"/>
        <v>0</v>
      </c>
      <c r="AL86" s="246"/>
    </row>
    <row r="87" spans="1:38" s="141" customFormat="1" x14ac:dyDescent="0.2">
      <c r="A87" s="141" t="s">
        <v>233</v>
      </c>
      <c r="D87" s="297">
        <f>D85-(D74-D67)</f>
        <v>139025</v>
      </c>
      <c r="E87" s="297">
        <f t="shared" ref="E87:V87" si="75">E85-(E74-E67)</f>
        <v>139342</v>
      </c>
      <c r="F87" s="297">
        <f t="shared" si="75"/>
        <v>140228</v>
      </c>
      <c r="G87" s="297">
        <f t="shared" si="75"/>
        <v>141105</v>
      </c>
      <c r="H87" s="297">
        <f t="shared" si="75"/>
        <v>141335</v>
      </c>
      <c r="I87" s="297">
        <f t="shared" si="75"/>
        <v>142991</v>
      </c>
      <c r="J87" s="297">
        <f t="shared" si="75"/>
        <v>420935</v>
      </c>
      <c r="K87" s="143">
        <f t="shared" si="75"/>
        <v>284609</v>
      </c>
      <c r="L87" s="143">
        <v>283335</v>
      </c>
      <c r="M87" s="298">
        <f t="shared" si="67"/>
        <v>1274</v>
      </c>
      <c r="N87" s="143">
        <f t="shared" si="75"/>
        <v>222801.38749999995</v>
      </c>
      <c r="O87" s="143">
        <f t="shared" si="75"/>
        <v>203158.39096875</v>
      </c>
      <c r="P87" s="143">
        <f t="shared" si="75"/>
        <v>187516.28694617189</v>
      </c>
      <c r="Q87" s="143">
        <f t="shared" si="75"/>
        <v>188233.86838090268</v>
      </c>
      <c r="R87" s="143">
        <f t="shared" si="75"/>
        <v>189315.62239375943</v>
      </c>
      <c r="S87" s="143">
        <f t="shared" si="75"/>
        <v>190768.77861769707</v>
      </c>
      <c r="T87" s="143">
        <f t="shared" si="75"/>
        <v>192314.80663794361</v>
      </c>
      <c r="U87" s="143">
        <f t="shared" si="75"/>
        <v>193708.06509097223</v>
      </c>
      <c r="V87" s="143">
        <f t="shared" si="75"/>
        <v>194936.33241140493</v>
      </c>
      <c r="W87" s="143">
        <f t="shared" ref="W87:Y87" si="76">W85-(W74-W67)</f>
        <v>0</v>
      </c>
      <c r="X87" s="143">
        <f t="shared" si="76"/>
        <v>0</v>
      </c>
      <c r="Y87" s="143">
        <f t="shared" si="76"/>
        <v>0</v>
      </c>
      <c r="AL87" s="299"/>
    </row>
    <row r="88" spans="1:38" s="35" customFormat="1" x14ac:dyDescent="0.2">
      <c r="A88"/>
      <c r="D88" s="221"/>
      <c r="E88" s="221"/>
      <c r="F88" s="221"/>
      <c r="G88" s="221"/>
      <c r="H88" s="221"/>
      <c r="I88" s="221"/>
      <c r="J88" s="221"/>
      <c r="K88" s="135"/>
      <c r="L88" s="135"/>
      <c r="M88" s="290"/>
      <c r="N88" s="94"/>
      <c r="O88" s="94"/>
      <c r="P88" s="94"/>
      <c r="Q88" s="94"/>
      <c r="R88" s="94"/>
      <c r="S88" s="94"/>
      <c r="T88" s="94"/>
      <c r="U88" s="94"/>
      <c r="V88"/>
      <c r="AL88" s="246"/>
    </row>
    <row r="89" spans="1:38" s="188" customFormat="1" x14ac:dyDescent="0.2">
      <c r="A89" s="170"/>
      <c r="D89" s="196"/>
      <c r="E89" s="196"/>
      <c r="F89" s="196"/>
      <c r="G89" s="196"/>
      <c r="H89" s="196"/>
      <c r="I89" s="196"/>
      <c r="J89" s="196"/>
      <c r="K89" s="222"/>
      <c r="L89" s="222"/>
      <c r="M89" s="289"/>
      <c r="N89" s="196"/>
      <c r="O89" s="196"/>
      <c r="P89" s="196"/>
      <c r="Q89" s="196"/>
      <c r="R89" s="196"/>
      <c r="S89" s="196"/>
      <c r="T89" s="196"/>
      <c r="U89" s="196"/>
      <c r="AL89" s="247"/>
    </row>
    <row r="90" spans="1:38" x14ac:dyDescent="0.2">
      <c r="A90" t="s">
        <v>159</v>
      </c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D2:G2"/>
    <mergeCell ref="A1:B1"/>
    <mergeCell ref="AL1:AO1"/>
    <mergeCell ref="AC2:AE2"/>
    <mergeCell ref="H2:K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K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zoomScale="130" zoomScaleNormal="130" workbookViewId="0">
      <pane xSplit="2" ySplit="8" topLeftCell="C25" activePane="bottomRight" state="frozen"/>
      <selection pane="topRight" activeCell="C1" sqref="C1"/>
      <selection pane="bottomLeft" activeCell="A9" sqref="A9"/>
      <selection pane="bottomRight" activeCell="M34" sqref="M34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06" t="s">
        <v>209</v>
      </c>
      <c r="B1" s="307"/>
      <c r="C1" s="35"/>
      <c r="H1"/>
      <c r="I1" s="253"/>
      <c r="J1" s="314" t="s">
        <v>285</v>
      </c>
      <c r="V1" s="301"/>
      <c r="W1" s="301"/>
      <c r="X1" s="301"/>
      <c r="Y1" s="301"/>
    </row>
    <row r="2" spans="1:27" x14ac:dyDescent="0.2">
      <c r="A2" s="308" t="s">
        <v>193</v>
      </c>
      <c r="B2" s="126"/>
      <c r="C2" t="s">
        <v>194</v>
      </c>
      <c r="I2" s="254"/>
      <c r="J2" s="314"/>
    </row>
    <row r="3" spans="1:27" x14ac:dyDescent="0.2">
      <c r="A3" s="309"/>
      <c r="B3" s="127"/>
      <c r="C3" t="s">
        <v>195</v>
      </c>
      <c r="I3" s="254"/>
      <c r="J3" s="314"/>
    </row>
    <row r="4" spans="1:27" x14ac:dyDescent="0.2">
      <c r="A4" s="309"/>
      <c r="B4" s="128"/>
      <c r="C4" t="s">
        <v>196</v>
      </c>
    </row>
    <row r="5" spans="1:27" x14ac:dyDescent="0.2">
      <c r="A5" s="310"/>
      <c r="B5" s="129"/>
      <c r="C5" t="s">
        <v>183</v>
      </c>
    </row>
    <row r="7" spans="1:27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2"/>
      <c r="O7" s="311" t="s">
        <v>274</v>
      </c>
      <c r="P7" s="312"/>
      <c r="Q7" s="312"/>
      <c r="R7" s="312"/>
      <c r="S7" s="311" t="s">
        <v>279</v>
      </c>
      <c r="T7" s="312"/>
      <c r="U7" s="312"/>
      <c r="V7" s="312"/>
      <c r="W7" s="311" t="s">
        <v>280</v>
      </c>
      <c r="X7" s="312"/>
      <c r="Y7" s="312"/>
      <c r="Z7" s="312"/>
      <c r="AA7" s="232" t="s">
        <v>281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main!N86/1000</f>
        <v>185.0129415908018</v>
      </c>
      <c r="G24" s="149">
        <f>main!O86/1000</f>
        <v>188.34940607712278</v>
      </c>
      <c r="H24" s="104">
        <f>main!P86/1000</f>
        <v>190.22892728438111</v>
      </c>
      <c r="I24" s="104">
        <f>main!Q86/1000</f>
        <v>190.22892728438111</v>
      </c>
      <c r="J24" s="104">
        <f>main!R86/1000</f>
        <v>190.22892728438111</v>
      </c>
      <c r="K24" s="149">
        <f>main!S86/1000</f>
        <v>190.22892728438111</v>
      </c>
      <c r="L24" s="104">
        <f>main!T86/1000</f>
        <v>234.12791050385368</v>
      </c>
      <c r="M24" s="233">
        <f>main!U86/1000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4" t="s">
        <v>283</v>
      </c>
      <c r="D26" s="240"/>
      <c r="E26" s="255"/>
      <c r="F26" s="255"/>
      <c r="G26" s="241"/>
      <c r="H26" s="255"/>
      <c r="I26" s="255"/>
      <c r="J26" s="255"/>
      <c r="K26" s="259"/>
      <c r="L26" s="242"/>
      <c r="M26" s="242"/>
      <c r="N26" s="242">
        <f t="shared" ref="N26" si="3">(N25/M25)-1</f>
        <v>-1.0260042225514798E-2</v>
      </c>
      <c r="O26" s="259">
        <f t="shared" ref="O26" si="4">(O25/N25)-1</f>
        <v>-1.0264661310262602E-2</v>
      </c>
      <c r="P26" s="242">
        <f t="shared" ref="P26" si="5">(P25/O25)-1</f>
        <v>-1.0371117316934075E-2</v>
      </c>
      <c r="Q26" s="242">
        <f t="shared" ref="Q26" si="6">(Q25/P25)-1</f>
        <v>-1.0479804599893949E-2</v>
      </c>
      <c r="R26" s="242">
        <f t="shared" ref="R26" si="7">(R25/Q25)-1</f>
        <v>-1.0590794052117936E-2</v>
      </c>
      <c r="S26" s="259">
        <f t="shared" ref="S26" si="8">(S25/R25)-1</f>
        <v>1.1268493687740966E-2</v>
      </c>
      <c r="T26" s="242">
        <f t="shared" ref="T26" si="9">(T25/S25)-1</f>
        <v>1.114292965526209E-2</v>
      </c>
      <c r="U26" s="242">
        <f t="shared" ref="U26" si="10">(U25/T25)-1</f>
        <v>1.1020133087476625E-2</v>
      </c>
      <c r="V26" s="242">
        <f t="shared" ref="V26" si="11">(V25/U25)-1</f>
        <v>1.0900013488177374E-2</v>
      </c>
      <c r="W26" s="259">
        <f t="shared" ref="W26" si="12">(W25/V25)-1</f>
        <v>1.3658909182324042E-2</v>
      </c>
      <c r="X26" s="242">
        <f t="shared" ref="X26" si="13">(X25/W25)-1</f>
        <v>1.3474857329807355E-2</v>
      </c>
      <c r="Y26" s="242">
        <f t="shared" ref="Y26" si="14">(Y25/X25)-1</f>
        <v>1.3295699673609773E-2</v>
      </c>
      <c r="Z26" s="242">
        <f t="shared" ref="Z26" si="15">(Z25/Y25)-1</f>
        <v>1.3121243559888862E-2</v>
      </c>
      <c r="AA26" s="259">
        <f t="shared" ref="AA26" si="16">(AA25/Z25)-1</f>
        <v>1.34770778288551E-2</v>
      </c>
      <c r="AB26" s="256"/>
    </row>
    <row r="27" spans="1:28" s="97" customFormat="1" x14ac:dyDescent="0.2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2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7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284.60899999999998</v>
      </c>
      <c r="G31" s="104">
        <f>main!N87/1000</f>
        <v>222.80138749999995</v>
      </c>
      <c r="H31" s="104">
        <f>main!O87/1000</f>
        <v>203.15839096874998</v>
      </c>
      <c r="I31" s="104">
        <f>main!P87/1000</f>
        <v>187.5162869461719</v>
      </c>
      <c r="J31" s="104">
        <f>main!Q87/1000</f>
        <v>188.23386838090269</v>
      </c>
      <c r="K31" s="104">
        <f>main!R87/1000</f>
        <v>189.31562239375944</v>
      </c>
      <c r="L31" s="104">
        <f>main!S87/1000</f>
        <v>190.76877861769708</v>
      </c>
      <c r="M31" s="104">
        <f>L31*(1+M33)</f>
        <v>196.00947195012407</v>
      </c>
      <c r="N31" s="104">
        <f t="shared" ref="N31:AA31" si="23">M31*(1+N33)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3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15">
      <c r="B33" s="214" t="s">
        <v>283</v>
      </c>
      <c r="D33" s="240"/>
      <c r="E33" s="255"/>
      <c r="F33" s="255"/>
      <c r="G33" s="241"/>
      <c r="H33" s="255"/>
      <c r="I33" s="255"/>
      <c r="J33" s="255"/>
      <c r="K33" s="259"/>
      <c r="L33" s="242"/>
      <c r="M33" s="242">
        <f t="shared" ref="M33" si="26">(M32/L32)-1</f>
        <v>2.747144145074909E-2</v>
      </c>
      <c r="N33" s="242">
        <f t="shared" ref="N33" si="27">(N32/M32)-1</f>
        <v>2.4894538888966089E-2</v>
      </c>
      <c r="O33" s="259">
        <f t="shared" ref="O33" si="28">(O32/N32)-1</f>
        <v>2.2270905519436335E-2</v>
      </c>
      <c r="P33" s="242">
        <f t="shared" ref="P33" si="29">(P32/O32)-1</f>
        <v>2.1293341887164807E-2</v>
      </c>
      <c r="Q33" s="242">
        <f t="shared" ref="Q33" si="30">(Q32/P32)-1</f>
        <v>2.2364592305802233E-2</v>
      </c>
      <c r="R33" s="242">
        <f t="shared" ref="R33" si="31">(R32/Q32)-1</f>
        <v>2.1740626282441555E-2</v>
      </c>
      <c r="S33" s="259">
        <f t="shared" ref="S33" si="32">(S32/R32)-1</f>
        <v>6.6951714221343828E-3</v>
      </c>
      <c r="T33" s="242">
        <f t="shared" ref="T33" si="33">(T32/S32)-1</f>
        <v>7.4365764609694018E-3</v>
      </c>
      <c r="U33" s="242">
        <f t="shared" ref="U33" si="34">(U32/T32)-1</f>
        <v>8.0968018632650018E-3</v>
      </c>
      <c r="V33" s="242">
        <f t="shared" ref="V33" si="35">(V32/U32)-1</f>
        <v>9.0635900901916422E-3</v>
      </c>
      <c r="W33" s="259">
        <f t="shared" ref="W33" si="36">(W32/V32)-1</f>
        <v>7.2225666998118054E-3</v>
      </c>
      <c r="X33" s="242">
        <f t="shared" ref="X33" si="37">(X32/W32)-1</f>
        <v>7.0438728721946564E-3</v>
      </c>
      <c r="Y33" s="242">
        <f t="shared" ref="Y33" si="38">(Y32/X32)-1</f>
        <v>7.4986629426885276E-3</v>
      </c>
      <c r="Z33" s="242">
        <f t="shared" ref="Z33" si="39">(Z32/Y32)-1</f>
        <v>8.0056974822031446E-3</v>
      </c>
      <c r="AA33" s="259">
        <f t="shared" ref="AA33" si="40">(AA32/Z32)-1</f>
        <v>8.0732766150448665E-3</v>
      </c>
      <c r="AB33" s="256"/>
    </row>
    <row r="34" spans="1:28" s="97" customFormat="1" x14ac:dyDescent="0.2">
      <c r="B34" s="99" t="s">
        <v>180</v>
      </c>
      <c r="D34" s="103"/>
      <c r="E34" s="226"/>
      <c r="F34" s="226">
        <f t="shared" ref="F34" si="41">F31-F32</f>
        <v>-594.30799999999999</v>
      </c>
      <c r="G34" s="150">
        <f t="shared" ref="G34" si="42">G31-G32</f>
        <v>-692.55713474998106</v>
      </c>
      <c r="H34" s="226">
        <f t="shared" ref="H34" si="43">H31-H32</f>
        <v>-711.52675339946904</v>
      </c>
      <c r="I34" s="226">
        <f t="shared" ref="I34" si="44">I31-I32</f>
        <v>-728.46752464265205</v>
      </c>
      <c r="J34" s="226">
        <f t="shared" ref="J34" si="45">J31-J32</f>
        <v>-722.69424287645336</v>
      </c>
      <c r="K34" s="150">
        <f t="shared" ref="K34:N34" si="46">K31-K32</f>
        <v>-747.52664805631559</v>
      </c>
      <c r="L34" s="252">
        <f t="shared" si="46"/>
        <v>-773.81361871247486</v>
      </c>
      <c r="M34" s="226">
        <f t="shared" si="46"/>
        <v>-795.0713942327269</v>
      </c>
      <c r="N34" s="226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7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7"/>
      <c r="Q35" s="257"/>
      <c r="R35" s="257"/>
      <c r="S35" s="184"/>
      <c r="T35" s="257"/>
      <c r="U35" s="257"/>
      <c r="V35" s="257"/>
      <c r="W35" s="184"/>
      <c r="X35" s="257"/>
      <c r="Y35" s="257"/>
      <c r="Z35" s="257"/>
      <c r="AA35" s="184"/>
      <c r="AB35" s="257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7"/>
      <c r="Q36" s="257"/>
      <c r="R36" s="257"/>
      <c r="S36" s="184"/>
      <c r="T36" s="257"/>
      <c r="U36" s="257"/>
      <c r="V36" s="257"/>
      <c r="W36" s="184"/>
      <c r="X36" s="257"/>
      <c r="Y36" s="257"/>
      <c r="Z36" s="257"/>
      <c r="AA36" s="184"/>
      <c r="AB36" s="257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9">G38-G39</f>
        <v>7.8557069878570474E-2</v>
      </c>
      <c r="H40" s="226">
        <f t="shared" si="49"/>
        <v>7.9859932081717488E-2</v>
      </c>
      <c r="I40" s="226">
        <f t="shared" si="49"/>
        <v>8.112982013653891E-2</v>
      </c>
      <c r="J40" s="226">
        <f t="shared" si="49"/>
        <v>8.2487128032880719E-2</v>
      </c>
      <c r="K40" s="150">
        <f t="shared" si="49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7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1">G44-G45</f>
        <v>-3.9652035032282242</v>
      </c>
      <c r="H46" s="226">
        <f t="shared" si="51"/>
        <v>-4.0309660602918527</v>
      </c>
      <c r="I46" s="226">
        <f t="shared" si="51"/>
        <v>-4.09506423245044</v>
      </c>
      <c r="J46" s="226">
        <f t="shared" si="51"/>
        <v>-4.1635749599387637</v>
      </c>
      <c r="K46" s="150">
        <f t="shared" si="51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7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main!N69/1000</f>
        <v>1379.6284822957259</v>
      </c>
      <c r="H50" s="104">
        <f>main!O69/1000</f>
        <v>1399.5711424983735</v>
      </c>
      <c r="I50" s="104">
        <f>main!P69/1000</f>
        <v>1415.4950476426566</v>
      </c>
      <c r="J50" s="233">
        <f>main!Q69/1000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2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3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15">
      <c r="B52" s="214" t="s">
        <v>283</v>
      </c>
      <c r="D52" s="240"/>
      <c r="E52" s="255"/>
      <c r="F52" s="255"/>
      <c r="G52" s="241"/>
      <c r="H52" s="255"/>
      <c r="I52" s="255"/>
      <c r="J52" s="255"/>
      <c r="K52" s="259">
        <f t="shared" ref="K52" si="55">(K51/J51)-1</f>
        <v>2.5439555430189387E-2</v>
      </c>
      <c r="L52" s="242">
        <f t="shared" ref="L52" si="56">(L51/K51)-1</f>
        <v>2.4808439751982325E-2</v>
      </c>
      <c r="M52" s="242">
        <f t="shared" ref="M52" si="57">(M51/L51)-1</f>
        <v>2.4207880019000649E-2</v>
      </c>
      <c r="N52" s="242">
        <f t="shared" ref="N52" si="58">(N51/M51)-1</f>
        <v>2.3635709596921295E-2</v>
      </c>
      <c r="O52" s="259">
        <f t="shared" ref="O52" si="59">(O51/N51)-1</f>
        <v>2.8275689583170394E-3</v>
      </c>
      <c r="P52" s="242">
        <f t="shared" ref="P52" si="60">(P51/O51)-1</f>
        <v>2.8195963551949088E-3</v>
      </c>
      <c r="Q52" s="242">
        <f t="shared" ref="Q52" si="61">(Q51/P51)-1</f>
        <v>2.8116685846948375E-3</v>
      </c>
      <c r="R52" s="242">
        <f t="shared" ref="R52" si="62">(R51/Q51)-1</f>
        <v>2.8037852697335719E-3</v>
      </c>
      <c r="S52" s="259">
        <f t="shared" ref="S52" si="63">(S51/R51)-1</f>
        <v>7.6151986853474352E-3</v>
      </c>
      <c r="T52" s="242">
        <f t="shared" ref="T52" si="64">(T51/S51)-1</f>
        <v>7.5576457116530715E-3</v>
      </c>
      <c r="U52" s="242">
        <f t="shared" ref="U52" si="65">(U51/T51)-1</f>
        <v>7.500956142635129E-3</v>
      </c>
      <c r="V52" s="242">
        <f t="shared" ref="V52" si="66">(V51/U51)-1</f>
        <v>7.4451106938369094E-3</v>
      </c>
      <c r="W52" s="259">
        <f t="shared" ref="W52" si="67">(W51/V51)-1</f>
        <v>2.3882538560121791E-2</v>
      </c>
      <c r="X52" s="242">
        <f t="shared" ref="X52" si="68">(X51/W51)-1</f>
        <v>2.3325467190504989E-2</v>
      </c>
      <c r="Y52" s="242">
        <f t="shared" ref="Y52" si="69">(Y51/X51)-1</f>
        <v>2.2793791358036053E-2</v>
      </c>
      <c r="Z52" s="242">
        <f t="shared" ref="Z52" si="70">(Z51/Y51)-1</f>
        <v>2.2285813182124636E-2</v>
      </c>
      <c r="AA52" s="259">
        <f t="shared" ref="AA52" si="71">(AA51/Z51)-1</f>
        <v>1.6282458118757281E-2</v>
      </c>
      <c r="AB52" s="256"/>
    </row>
    <row r="53" spans="1:28" s="97" customFormat="1" x14ac:dyDescent="0.2">
      <c r="B53" s="99" t="s">
        <v>180</v>
      </c>
      <c r="D53" s="103"/>
      <c r="E53" s="226"/>
      <c r="F53" s="226">
        <f t="shared" ref="F53" si="72">F50-F51</f>
        <v>3.3000000000129148E-2</v>
      </c>
      <c r="G53" s="150">
        <f t="shared" ref="G53" si="73">G50-G51</f>
        <v>45.096857065685981</v>
      </c>
      <c r="H53" s="226">
        <f t="shared" ref="H53" si="74">H50-H51</f>
        <v>59.279892038303615</v>
      </c>
      <c r="I53" s="226">
        <f t="shared" ref="I53" si="75">I50-I51</f>
        <v>69.44417195254664</v>
      </c>
      <c r="J53" s="252">
        <f t="shared" ref="J53" si="76">J50-J51</f>
        <v>74.388541651348987</v>
      </c>
      <c r="K53" s="150">
        <f t="shared" ref="K53:AA53" si="77">K50-K51</f>
        <v>76.280953080059362</v>
      </c>
      <c r="L53" s="226">
        <f t="shared" si="77"/>
        <v>78.173364508769737</v>
      </c>
      <c r="M53" s="226">
        <f t="shared" si="77"/>
        <v>80.065775937479884</v>
      </c>
      <c r="N53" s="226">
        <f t="shared" si="77"/>
        <v>81.958187366190259</v>
      </c>
      <c r="O53" s="150">
        <f t="shared" si="77"/>
        <v>82.189929792666817</v>
      </c>
      <c r="P53" s="226">
        <f t="shared" si="77"/>
        <v>82.421672219143829</v>
      </c>
      <c r="Q53" s="226">
        <f t="shared" si="77"/>
        <v>82.653414645620387</v>
      </c>
      <c r="R53" s="226">
        <f t="shared" si="77"/>
        <v>82.885157072096945</v>
      </c>
      <c r="S53" s="150">
        <f t="shared" si="77"/>
        <v>83.516344011266938</v>
      </c>
      <c r="T53" s="226">
        <f t="shared" si="77"/>
        <v>84.147530950436703</v>
      </c>
      <c r="U53" s="226">
        <f t="shared" si="77"/>
        <v>84.778717889606924</v>
      </c>
      <c r="V53" s="226">
        <f t="shared" si="77"/>
        <v>85.409904828776689</v>
      </c>
      <c r="W53" s="150">
        <f t="shared" si="77"/>
        <v>87.449710174266329</v>
      </c>
      <c r="X53" s="226">
        <f t="shared" si="77"/>
        <v>89.489515519755287</v>
      </c>
      <c r="Y53" s="226">
        <f t="shared" si="77"/>
        <v>91.529320865244472</v>
      </c>
      <c r="Z53" s="226">
        <f t="shared" si="77"/>
        <v>93.569126210734112</v>
      </c>
      <c r="AA53" s="150">
        <f t="shared" si="77"/>
        <v>95.092661589469117</v>
      </c>
      <c r="AB53" s="257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main!N68/1000</f>
        <v>1990.9395416534182</v>
      </c>
      <c r="H57" s="104">
        <f>main!O68/1000</f>
        <v>1912.10228529849</v>
      </c>
      <c r="I57" s="104">
        <f>main!P68/1000</f>
        <v>1823.2092545768753</v>
      </c>
      <c r="J57" s="104">
        <f>main!Q68/1000</f>
        <v>1686.7876851675489</v>
      </c>
      <c r="K57" s="149">
        <f>main!R68/1000</f>
        <v>1683.444500445062</v>
      </c>
      <c r="L57" s="104">
        <f>K57*L58/K58</f>
        <v>1691.3332656079128</v>
      </c>
      <c r="M57" s="104">
        <f t="shared" ref="M57:AA57" si="78">L57*M58/L58</f>
        <v>1679.1397689725668</v>
      </c>
      <c r="N57" s="104">
        <f t="shared" si="78"/>
        <v>1639.1387815375706</v>
      </c>
      <c r="O57" s="149">
        <f t="shared" si="78"/>
        <v>1638.4638486912852</v>
      </c>
      <c r="P57" s="104">
        <f t="shared" si="78"/>
        <v>1638.9497856203566</v>
      </c>
      <c r="Q57" s="104">
        <f t="shared" si="78"/>
        <v>1640.2296403758021</v>
      </c>
      <c r="R57" s="104">
        <f t="shared" si="78"/>
        <v>1643.7842308160052</v>
      </c>
      <c r="S57" s="149">
        <f t="shared" si="78"/>
        <v>1661.6631681923609</v>
      </c>
      <c r="T57" s="104">
        <f t="shared" si="78"/>
        <v>1678.7784116664563</v>
      </c>
      <c r="U57" s="104">
        <f t="shared" si="78"/>
        <v>1692.3328460316582</v>
      </c>
      <c r="V57" s="104">
        <f t="shared" si="78"/>
        <v>1703.70461363354</v>
      </c>
      <c r="W57" s="149">
        <f t="shared" si="78"/>
        <v>1741.1898300711741</v>
      </c>
      <c r="X57" s="104">
        <f t="shared" si="78"/>
        <v>1771.4905860751503</v>
      </c>
      <c r="Y57" s="104">
        <f t="shared" si="78"/>
        <v>1795.4268791817581</v>
      </c>
      <c r="Z57" s="104">
        <f t="shared" si="78"/>
        <v>1812.313801133377</v>
      </c>
      <c r="AA57" s="149">
        <f t="shared" si="78"/>
        <v>1820.2446006078096</v>
      </c>
      <c r="AB57" s="95"/>
    </row>
    <row r="58" spans="1:28" x14ac:dyDescent="0.2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149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97" customFormat="1" x14ac:dyDescent="0.2">
      <c r="B59" s="99" t="s">
        <v>180</v>
      </c>
      <c r="D59" s="103"/>
      <c r="E59" s="226"/>
      <c r="F59" s="226">
        <f t="shared" ref="F59" si="81">F57-F58</f>
        <v>594.75700000000006</v>
      </c>
      <c r="G59" s="150">
        <f t="shared" ref="G59" si="82">G57-G58</f>
        <v>318.14292016330819</v>
      </c>
      <c r="H59" s="226">
        <f t="shared" ref="H59" si="83">H57-H58</f>
        <v>446.59185155977002</v>
      </c>
      <c r="I59" s="226">
        <f t="shared" ref="I59" si="84">I57-I58</f>
        <v>524.1640779158954</v>
      </c>
      <c r="J59" s="226">
        <f t="shared" ref="J59" si="85">J57-J58</f>
        <v>503.13755341871888</v>
      </c>
      <c r="K59" s="150">
        <f t="shared" ref="K59" si="86">K57-K58</f>
        <v>471.38040129975207</v>
      </c>
      <c r="L59" s="226">
        <f t="shared" ref="L59:AA59" si="87">L57-L58</f>
        <v>473.58933024706289</v>
      </c>
      <c r="M59" s="226">
        <f t="shared" si="87"/>
        <v>470.17503572431679</v>
      </c>
      <c r="N59" s="226">
        <f t="shared" si="87"/>
        <v>458.97438045798049</v>
      </c>
      <c r="O59" s="150">
        <f t="shared" si="87"/>
        <v>458.78539286982527</v>
      </c>
      <c r="P59" s="226">
        <f t="shared" si="87"/>
        <v>458.92145981148656</v>
      </c>
      <c r="Q59" s="226">
        <f t="shared" si="87"/>
        <v>459.27983126244203</v>
      </c>
      <c r="R59" s="226">
        <f t="shared" si="87"/>
        <v>460.27515024546528</v>
      </c>
      <c r="S59" s="150">
        <f t="shared" si="87"/>
        <v>465.28142201329092</v>
      </c>
      <c r="T59" s="226">
        <f t="shared" si="87"/>
        <v>470.07385225677626</v>
      </c>
      <c r="U59" s="226">
        <f t="shared" si="87"/>
        <v>473.8692222311181</v>
      </c>
      <c r="V59" s="226">
        <f t="shared" si="87"/>
        <v>477.05342484323</v>
      </c>
      <c r="W59" s="150">
        <f t="shared" si="87"/>
        <v>487.54964040751406</v>
      </c>
      <c r="X59" s="226">
        <f t="shared" si="87"/>
        <v>496.03413901799036</v>
      </c>
      <c r="Y59" s="226">
        <f t="shared" si="87"/>
        <v>502.73652774968809</v>
      </c>
      <c r="Z59" s="226">
        <f t="shared" si="87"/>
        <v>507.46502580481706</v>
      </c>
      <c r="AA59" s="150">
        <f t="shared" si="87"/>
        <v>509.68572475740962</v>
      </c>
      <c r="AB59" s="257"/>
    </row>
    <row r="60" spans="1:28" s="97" customFormat="1" x14ac:dyDescent="0.2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7"/>
      <c r="Q60" s="257"/>
      <c r="R60" s="257"/>
      <c r="S60" s="184"/>
      <c r="T60" s="257"/>
      <c r="U60" s="257"/>
      <c r="V60" s="257"/>
      <c r="W60" s="184"/>
      <c r="X60" s="257"/>
      <c r="Y60" s="257"/>
      <c r="Z60" s="257"/>
      <c r="AA60" s="184"/>
      <c r="AB60" s="257"/>
    </row>
    <row r="61" spans="1:28" s="97" customFormat="1" x14ac:dyDescent="0.2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7"/>
      <c r="Q61" s="257"/>
      <c r="R61" s="257"/>
      <c r="S61" s="184"/>
      <c r="T61" s="257"/>
      <c r="U61" s="257"/>
      <c r="V61" s="257"/>
      <c r="W61" s="184"/>
      <c r="X61" s="257"/>
      <c r="Y61" s="257"/>
      <c r="Z61" s="257"/>
      <c r="AA61" s="184"/>
      <c r="AB61" s="257"/>
    </row>
    <row r="62" spans="1:28" ht="19" x14ac:dyDescent="0.2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2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main!N46/1000</f>
        <v>382.93200834658188</v>
      </c>
      <c r="H63" s="104">
        <f>main!O46/1000</f>
        <v>100.25024999999999</v>
      </c>
      <c r="I63" s="104">
        <f>main!P46/1000</f>
        <v>100.25024999999999</v>
      </c>
      <c r="J63" s="104">
        <f>main!Q46/1000</f>
        <v>100.25024999999999</v>
      </c>
      <c r="K63" s="149">
        <f>main!R46/1000</f>
        <v>100.25024999999999</v>
      </c>
      <c r="L63" s="233">
        <f>main!S46/1000</f>
        <v>74.830250000000007</v>
      </c>
      <c r="M63" s="243">
        <f>L63*(1+M65)</f>
        <v>75.157160582543426</v>
      </c>
      <c r="N63" s="243">
        <f>M63*(1+N65)</f>
        <v>75.488247723051742</v>
      </c>
      <c r="O63" s="260">
        <f>N63*(1+O65)</f>
        <v>75.823511421525581</v>
      </c>
      <c r="P63" s="243">
        <f>O63*(1+P65)</f>
        <v>76.163711052139888</v>
      </c>
      <c r="Q63" s="243">
        <f t="shared" ref="Q63:AA63" si="88">P63*(1+Q65)</f>
        <v>76.50542943110527</v>
      </c>
      <c r="R63" s="243">
        <f t="shared" si="88"/>
        <v>76.852083742211136</v>
      </c>
      <c r="S63" s="260">
        <f t="shared" si="88"/>
        <v>77.203673985458053</v>
      </c>
      <c r="T63" s="243">
        <f t="shared" si="88"/>
        <v>77.559061099581498</v>
      </c>
      <c r="U63" s="243">
        <f t="shared" si="88"/>
        <v>77.915207587881099</v>
      </c>
      <c r="V63" s="243">
        <f t="shared" si="88"/>
        <v>78.273252511618978</v>
      </c>
      <c r="W63" s="260">
        <f t="shared" si="88"/>
        <v>78.633195870796328</v>
      </c>
      <c r="X63" s="243">
        <f t="shared" si="88"/>
        <v>78.993898604148015</v>
      </c>
      <c r="Y63" s="243">
        <f t="shared" si="88"/>
        <v>79.352702902062035</v>
      </c>
      <c r="Z63" s="243">
        <f t="shared" si="88"/>
        <v>79.71188688706323</v>
      </c>
      <c r="AA63" s="260">
        <f t="shared" si="88"/>
        <v>80.071070872064439</v>
      </c>
      <c r="AB63" s="95"/>
    </row>
    <row r="64" spans="1:28" x14ac:dyDescent="0.2">
      <c r="B64" t="s">
        <v>179</v>
      </c>
      <c r="D64" s="102">
        <f t="shared" ref="D64:AA64" si="89">D19</f>
        <v>74.5</v>
      </c>
      <c r="E64" s="104">
        <f t="shared" si="89"/>
        <v>1085.9000000000001</v>
      </c>
      <c r="F64" s="104">
        <f t="shared" si="89"/>
        <v>1211.7</v>
      </c>
      <c r="G64" s="149">
        <f t="shared" si="89"/>
        <v>1215.66820949049</v>
      </c>
      <c r="H64" s="104">
        <f t="shared" si="89"/>
        <v>1219.78734929441</v>
      </c>
      <c r="I64" s="104">
        <f t="shared" si="89"/>
        <v>1224.19577219907</v>
      </c>
      <c r="J64" s="104">
        <f t="shared" si="89"/>
        <v>1228.9563658350501</v>
      </c>
      <c r="K64" s="149">
        <f t="shared" si="89"/>
        <v>1234.08799649154</v>
      </c>
      <c r="L64" s="233">
        <f t="shared" si="89"/>
        <v>1239.41457880287</v>
      </c>
      <c r="M64" s="104">
        <f t="shared" si="89"/>
        <v>1244.82920379703</v>
      </c>
      <c r="N64" s="104">
        <f t="shared" si="89"/>
        <v>1250.31300518484</v>
      </c>
      <c r="O64" s="149">
        <f t="shared" si="89"/>
        <v>1255.86598296631</v>
      </c>
      <c r="P64" s="104">
        <f t="shared" si="89"/>
        <v>1261.50071466755</v>
      </c>
      <c r="Q64" s="104">
        <f t="shared" si="89"/>
        <v>1267.1606014210299</v>
      </c>
      <c r="R64" s="104">
        <f t="shared" si="89"/>
        <v>1272.9022420942799</v>
      </c>
      <c r="S64" s="149">
        <f t="shared" si="89"/>
        <v>1278.72563668731</v>
      </c>
      <c r="T64" s="104">
        <f t="shared" si="89"/>
        <v>1284.6119189109199</v>
      </c>
      <c r="U64" s="104">
        <f t="shared" si="89"/>
        <v>1290.51077866066</v>
      </c>
      <c r="V64" s="104">
        <f t="shared" si="89"/>
        <v>1296.44108222569</v>
      </c>
      <c r="W64" s="149">
        <f t="shared" si="89"/>
        <v>1302.4028296060301</v>
      </c>
      <c r="X64" s="104">
        <f t="shared" si="89"/>
        <v>1308.37715451247</v>
      </c>
      <c r="Y64" s="104">
        <f t="shared" si="89"/>
        <v>1314.32003560363</v>
      </c>
      <c r="Z64" s="104">
        <f t="shared" si="89"/>
        <v>1320.2692054578399</v>
      </c>
      <c r="AA64" s="149">
        <f t="shared" si="89"/>
        <v>1326.2183753120501</v>
      </c>
      <c r="AB64" s="95"/>
    </row>
    <row r="65" spans="1:32" s="171" customFormat="1" ht="12" x14ac:dyDescent="0.15">
      <c r="B65" s="214" t="s">
        <v>283</v>
      </c>
      <c r="D65" s="240"/>
      <c r="E65" s="255"/>
      <c r="F65" s="255"/>
      <c r="G65" s="241"/>
      <c r="H65" s="255"/>
      <c r="I65" s="255"/>
      <c r="J65" s="255"/>
      <c r="K65" s="241"/>
      <c r="L65" s="242"/>
      <c r="M65" s="242">
        <f t="shared" ref="M65:AA65" si="90">(M64/L64)-1</f>
        <v>4.3686955815784856E-3</v>
      </c>
      <c r="N65" s="242">
        <f t="shared" si="90"/>
        <v>4.4052640885055006E-3</v>
      </c>
      <c r="O65" s="259">
        <f t="shared" si="90"/>
        <v>4.4412701127178877E-3</v>
      </c>
      <c r="P65" s="242">
        <f t="shared" si="90"/>
        <v>4.4867300951421107E-3</v>
      </c>
      <c r="Q65" s="242">
        <f t="shared" si="90"/>
        <v>4.4866298430685791E-3</v>
      </c>
      <c r="R65" s="242">
        <f t="shared" si="90"/>
        <v>4.5311073172660254E-3</v>
      </c>
      <c r="S65" s="259">
        <f t="shared" si="90"/>
        <v>4.574895385091704E-3</v>
      </c>
      <c r="T65" s="242">
        <f t="shared" si="90"/>
        <v>4.6032409570351263E-3</v>
      </c>
      <c r="U65" s="242">
        <f t="shared" si="90"/>
        <v>4.5919391396749276E-3</v>
      </c>
      <c r="V65" s="242">
        <f t="shared" si="90"/>
        <v>4.5953150202935333E-3</v>
      </c>
      <c r="W65" s="259">
        <f t="shared" si="90"/>
        <v>4.5985486437263301E-3</v>
      </c>
      <c r="X65" s="242">
        <f t="shared" si="90"/>
        <v>4.5871559632952863E-3</v>
      </c>
      <c r="Y65" s="242">
        <f t="shared" si="90"/>
        <v>4.5421773612168703E-3</v>
      </c>
      <c r="Z65" s="242">
        <f t="shared" si="90"/>
        <v>4.5264240771294428E-3</v>
      </c>
      <c r="AA65" s="259">
        <f t="shared" si="90"/>
        <v>4.5060278840232115E-3</v>
      </c>
      <c r="AB65" s="256"/>
    </row>
    <row r="66" spans="1:32" s="97" customFormat="1" x14ac:dyDescent="0.2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1">G63-G64</f>
        <v>-832.73620114390815</v>
      </c>
      <c r="H66" s="226">
        <f t="shared" si="91"/>
        <v>-1119.5370992944099</v>
      </c>
      <c r="I66" s="226">
        <f t="shared" si="91"/>
        <v>-1123.94552219907</v>
      </c>
      <c r="J66" s="226">
        <f t="shared" si="91"/>
        <v>-1128.70611583505</v>
      </c>
      <c r="K66" s="150">
        <f t="shared" si="91"/>
        <v>-1133.83774649154</v>
      </c>
      <c r="L66" s="226">
        <f t="shared" si="91"/>
        <v>-1164.58432880287</v>
      </c>
      <c r="M66" s="226">
        <f t="shared" si="91"/>
        <v>-1169.6720432144866</v>
      </c>
      <c r="N66" s="226">
        <f t="shared" si="91"/>
        <v>-1174.8247574617883</v>
      </c>
      <c r="O66" s="150">
        <f t="shared" si="91"/>
        <v>-1180.0424715447843</v>
      </c>
      <c r="P66" s="226">
        <f t="shared" si="91"/>
        <v>-1185.3370036154101</v>
      </c>
      <c r="Q66" s="226">
        <f t="shared" si="91"/>
        <v>-1190.6551719899246</v>
      </c>
      <c r="R66" s="226">
        <f t="shared" si="91"/>
        <v>-1196.0501583520688</v>
      </c>
      <c r="S66" s="150">
        <f t="shared" si="91"/>
        <v>-1201.5219627018521</v>
      </c>
      <c r="T66" s="226">
        <f t="shared" si="91"/>
        <v>-1207.0528578113385</v>
      </c>
      <c r="U66" s="226">
        <f t="shared" si="91"/>
        <v>-1212.595571072779</v>
      </c>
      <c r="V66" s="226">
        <f t="shared" si="91"/>
        <v>-1218.1678297140711</v>
      </c>
      <c r="W66" s="150">
        <f t="shared" si="91"/>
        <v>-1223.7696337352338</v>
      </c>
      <c r="X66" s="226">
        <f t="shared" si="91"/>
        <v>-1229.3832559083221</v>
      </c>
      <c r="Y66" s="226">
        <f t="shared" si="91"/>
        <v>-1234.967332701568</v>
      </c>
      <c r="Z66" s="226">
        <f t="shared" si="91"/>
        <v>-1240.5573185707767</v>
      </c>
      <c r="AA66" s="150">
        <f t="shared" si="91"/>
        <v>-1246.1473044399856</v>
      </c>
      <c r="AB66" s="226"/>
      <c r="AC66" s="226"/>
      <c r="AD66" s="150"/>
      <c r="AE66" s="150"/>
      <c r="AF66" s="150"/>
    </row>
    <row r="67" spans="1:32" x14ac:dyDescent="0.2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9" x14ac:dyDescent="0.2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2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main!N62/1000</f>
        <v>298.37288477706733</v>
      </c>
      <c r="H70" s="227">
        <f>main!O62/1000</f>
        <v>282.14099544764292</v>
      </c>
      <c r="I70" s="227">
        <f>main!P62/1000</f>
        <v>255.02243392207248</v>
      </c>
      <c r="J70" s="227">
        <f>main!Q62/1000</f>
        <v>256.05497613497749</v>
      </c>
      <c r="K70" s="151">
        <f>main!R62/1000</f>
        <v>251.54437969325105</v>
      </c>
      <c r="L70" s="227">
        <f>main!S62/1000</f>
        <v>247.24080684971526</v>
      </c>
      <c r="M70" s="227">
        <f>main!T62/1000</f>
        <v>248.95857178194771</v>
      </c>
      <c r="N70" s="227">
        <f>main!U62/1000</f>
        <v>250.86680125051296</v>
      </c>
      <c r="O70" s="151">
        <f>main!V62/1000</f>
        <v>252.62247677399648</v>
      </c>
      <c r="P70" s="258">
        <f>main!W62/1000</f>
        <v>254.57245802602733</v>
      </c>
      <c r="Q70" s="261">
        <f>P70*(1+Q72)</f>
        <v>266.84554035043868</v>
      </c>
      <c r="R70" s="261">
        <f t="shared" ref="R70:AA70" si="92">Q70*(1+R72)</f>
        <v>279.86369412126004</v>
      </c>
      <c r="S70" s="262">
        <f t="shared" si="92"/>
        <v>281.7269716982471</v>
      </c>
      <c r="T70" s="261">
        <f t="shared" si="92"/>
        <v>283.66604178001614</v>
      </c>
      <c r="U70" s="261">
        <f t="shared" si="92"/>
        <v>285.64989666947559</v>
      </c>
      <c r="V70" s="261">
        <f t="shared" si="92"/>
        <v>287.69056277877843</v>
      </c>
      <c r="W70" s="262">
        <f t="shared" si="92"/>
        <v>288.25036038684794</v>
      </c>
      <c r="X70" s="261">
        <f t="shared" si="92"/>
        <v>289.5388549275047</v>
      </c>
      <c r="Y70" s="261">
        <f t="shared" si="92"/>
        <v>290.16440875152392</v>
      </c>
      <c r="Z70" s="261">
        <f t="shared" si="92"/>
        <v>290.83125325773699</v>
      </c>
      <c r="AA70" s="262">
        <f t="shared" si="92"/>
        <v>291.23889600882188</v>
      </c>
      <c r="AB70" s="95"/>
    </row>
    <row r="71" spans="1:32" x14ac:dyDescent="0.2">
      <c r="B71" t="s">
        <v>179</v>
      </c>
      <c r="D71" s="102">
        <f t="shared" ref="D71:O71" si="93">D20</f>
        <v>204.37100000000001</v>
      </c>
      <c r="E71" s="104">
        <f t="shared" si="93"/>
        <v>884.26</v>
      </c>
      <c r="F71" s="104">
        <f t="shared" si="93"/>
        <v>241.428</v>
      </c>
      <c r="G71" s="149">
        <f t="shared" si="93"/>
        <v>228.42538380464799</v>
      </c>
      <c r="H71" s="104">
        <f t="shared" si="93"/>
        <v>212.81817966260101</v>
      </c>
      <c r="I71" s="104">
        <f t="shared" si="93"/>
        <v>197.64507351167001</v>
      </c>
      <c r="J71" s="104">
        <f t="shared" si="93"/>
        <v>183.050764682226</v>
      </c>
      <c r="K71" s="149">
        <f t="shared" si="93"/>
        <v>194.33260834913199</v>
      </c>
      <c r="L71" s="104">
        <f t="shared" si="93"/>
        <v>206.40744830671201</v>
      </c>
      <c r="M71" s="104">
        <f t="shared" si="93"/>
        <v>218.56402183082099</v>
      </c>
      <c r="N71" s="104">
        <f t="shared" si="93"/>
        <v>231.450162767232</v>
      </c>
      <c r="O71" s="149">
        <f t="shared" si="93"/>
        <v>243.697218746837</v>
      </c>
      <c r="P71" s="233">
        <f t="shared" ref="P71:AA71" si="94">P20</f>
        <v>256.68855568447401</v>
      </c>
      <c r="Q71" s="243">
        <f t="shared" si="94"/>
        <v>269.06365627500099</v>
      </c>
      <c r="R71" s="243">
        <f t="shared" si="94"/>
        <v>282.19002161326898</v>
      </c>
      <c r="S71" s="260">
        <f t="shared" si="94"/>
        <v>284.06878742236199</v>
      </c>
      <c r="T71" s="243">
        <f t="shared" si="94"/>
        <v>286.02397575074502</v>
      </c>
      <c r="U71" s="243">
        <f t="shared" si="94"/>
        <v>288.02432115421698</v>
      </c>
      <c r="V71" s="243">
        <f t="shared" si="94"/>
        <v>290.08195001278602</v>
      </c>
      <c r="W71" s="260">
        <f t="shared" si="94"/>
        <v>290.64640085953198</v>
      </c>
      <c r="X71" s="243">
        <f t="shared" si="94"/>
        <v>291.94560582935901</v>
      </c>
      <c r="Y71" s="243">
        <f t="shared" si="94"/>
        <v>292.57635948132702</v>
      </c>
      <c r="Z71" s="243">
        <f t="shared" si="94"/>
        <v>293.248747038462</v>
      </c>
      <c r="AA71" s="260">
        <f t="shared" si="94"/>
        <v>293.65977826243102</v>
      </c>
      <c r="AB71" s="95"/>
    </row>
    <row r="72" spans="1:32" s="171" customFormat="1" ht="12" x14ac:dyDescent="0.15">
      <c r="B72" s="214" t="s">
        <v>283</v>
      </c>
      <c r="D72" s="240"/>
      <c r="E72" s="255"/>
      <c r="F72" s="255"/>
      <c r="G72" s="241"/>
      <c r="H72" s="255"/>
      <c r="I72" s="255"/>
      <c r="J72" s="255"/>
      <c r="K72" s="241"/>
      <c r="L72" s="242"/>
      <c r="M72" s="242"/>
      <c r="N72" s="242"/>
      <c r="O72" s="259"/>
      <c r="P72" s="242"/>
      <c r="Q72" s="242">
        <f t="shared" ref="Q72" si="95">(Q71/P71)-1</f>
        <v>4.8210566137349309E-2</v>
      </c>
      <c r="R72" s="242">
        <f t="shared" ref="R72" si="96">(R71/Q71)-1</f>
        <v>4.8785352581591113E-2</v>
      </c>
      <c r="S72" s="259">
        <f t="shared" ref="S72" si="97">(S71/R71)-1</f>
        <v>6.6578038385347593E-3</v>
      </c>
      <c r="T72" s="242">
        <f t="shared" ref="T72" si="98">(T71/S71)-1</f>
        <v>6.8827988675714824E-3</v>
      </c>
      <c r="U72" s="242">
        <f t="shared" ref="U72" si="99">(U71/T71)-1</f>
        <v>6.9936284125187154E-3</v>
      </c>
      <c r="V72" s="242">
        <f t="shared" ref="V72" si="100">(V71/U71)-1</f>
        <v>7.143941353019656E-3</v>
      </c>
      <c r="W72" s="259">
        <f t="shared" ref="W72" si="101">(W71/V71)-1</f>
        <v>1.9458323646854847E-3</v>
      </c>
      <c r="X72" s="242">
        <f t="shared" ref="X72" si="102">(X71/W71)-1</f>
        <v>4.4700535289097232E-3</v>
      </c>
      <c r="Y72" s="242">
        <f t="shared" ref="Y72" si="103">(Y71/X71)-1</f>
        <v>2.160517710743326E-3</v>
      </c>
      <c r="Z72" s="242">
        <f t="shared" ref="Z72" si="104">(Z71/Y71)-1</f>
        <v>2.2981609256707003E-3</v>
      </c>
      <c r="AA72" s="259">
        <f t="shared" ref="AA72" si="105">(AA71/Z71)-1</f>
        <v>1.4016469912319085E-3</v>
      </c>
      <c r="AB72" s="256"/>
    </row>
    <row r="73" spans="1:32" s="97" customFormat="1" x14ac:dyDescent="0.2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6">G70-G71</f>
        <v>69.947500972419334</v>
      </c>
      <c r="H73" s="226">
        <f t="shared" si="106"/>
        <v>69.322815785041911</v>
      </c>
      <c r="I73" s="226">
        <f t="shared" si="106"/>
        <v>57.377360410402474</v>
      </c>
      <c r="J73" s="226">
        <f t="shared" si="106"/>
        <v>73.004211452751491</v>
      </c>
      <c r="K73" s="150">
        <f t="shared" si="106"/>
        <v>57.211771344119057</v>
      </c>
      <c r="L73" s="226">
        <f t="shared" ref="L73:N73" si="107">L70-L71</f>
        <v>40.833358543003243</v>
      </c>
      <c r="M73" s="226">
        <f t="shared" si="107"/>
        <v>30.39454995112672</v>
      </c>
      <c r="N73" s="226">
        <f t="shared" si="107"/>
        <v>19.416638483280963</v>
      </c>
      <c r="O73" s="150">
        <f t="shared" ref="O73:AA73" si="108">O70-O71</f>
        <v>8.9252580271594866</v>
      </c>
      <c r="P73" s="252">
        <f t="shared" si="108"/>
        <v>-2.1160976584466766</v>
      </c>
      <c r="Q73" s="263">
        <f t="shared" si="108"/>
        <v>-2.2181159245623121</v>
      </c>
      <c r="R73" s="263">
        <f t="shared" si="108"/>
        <v>-2.326327492008943</v>
      </c>
      <c r="S73" s="264">
        <f t="shared" si="108"/>
        <v>-2.3418157241148947</v>
      </c>
      <c r="T73" s="263">
        <f t="shared" si="108"/>
        <v>-2.3579339707288796</v>
      </c>
      <c r="U73" s="263">
        <f t="shared" si="108"/>
        <v>-2.3744244847413825</v>
      </c>
      <c r="V73" s="263">
        <f t="shared" si="108"/>
        <v>-2.3913872340075955</v>
      </c>
      <c r="W73" s="264">
        <f t="shared" si="108"/>
        <v>-2.3960404726840352</v>
      </c>
      <c r="X73" s="263">
        <f t="shared" si="108"/>
        <v>-2.4067509018543092</v>
      </c>
      <c r="Y73" s="263">
        <f t="shared" si="108"/>
        <v>-2.4119507298030953</v>
      </c>
      <c r="Z73" s="263">
        <f t="shared" si="108"/>
        <v>-2.4174937807250103</v>
      </c>
      <c r="AA73" s="264">
        <f t="shared" si="108"/>
        <v>-2.4208822536091361</v>
      </c>
      <c r="AB73" s="257"/>
    </row>
    <row r="74" spans="1:32" x14ac:dyDescent="0.2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tabSelected="1" topLeftCell="F1" zoomScale="120" zoomScaleNormal="120" workbookViewId="0">
      <selection activeCell="H6" sqref="H6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0" x14ac:dyDescent="0.2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295</v>
      </c>
      <c r="J1" t="s">
        <v>278</v>
      </c>
    </row>
    <row r="2" spans="1:10" x14ac:dyDescent="0.2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2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2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2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2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2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2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2">
      <c r="A9" s="191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2">
      <c r="A10" s="191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2">
      <c r="A11" s="191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2">
      <c r="A12" s="191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2">
      <c r="A13" s="191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2">
      <c r="A14" s="191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2">
      <c r="A15" s="191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2">
      <c r="A16" s="191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2">
      <c r="A17" s="191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2">
      <c r="A18" s="191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2">
      <c r="A19" s="191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2">
      <c r="A20" s="191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2">
      <c r="A21" s="191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2">
      <c r="A22" s="191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2">
      <c r="A23" s="191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244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245</v>
      </c>
    </row>
    <row r="23" spans="1:12" x14ac:dyDescent="0.2">
      <c r="A23" s="158" t="s">
        <v>246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247</v>
      </c>
      <c r="C26" s="158">
        <v>1065.5</v>
      </c>
      <c r="D26" s="158">
        <f>C26/C25</f>
        <v>0.18843065822516181</v>
      </c>
    </row>
    <row r="27" spans="1:12" x14ac:dyDescent="0.2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02" t="s">
        <v>209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2">
      <c r="A2" s="321" t="s">
        <v>193</v>
      </c>
      <c r="B2" s="107"/>
      <c r="C2" t="s">
        <v>194</v>
      </c>
    </row>
    <row r="3" spans="1:32" x14ac:dyDescent="0.2">
      <c r="A3" s="321"/>
      <c r="B3" s="108"/>
      <c r="C3" t="s">
        <v>195</v>
      </c>
    </row>
    <row r="4" spans="1:32" x14ac:dyDescent="0.2">
      <c r="A4" s="321"/>
      <c r="B4" s="109"/>
      <c r="C4" t="s">
        <v>196</v>
      </c>
    </row>
    <row r="5" spans="1:32" x14ac:dyDescent="0.2">
      <c r="A5" s="321"/>
      <c r="B5" s="98"/>
      <c r="C5" t="s">
        <v>183</v>
      </c>
    </row>
    <row r="7" spans="1:32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3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27" t="s">
        <v>104</v>
      </c>
      <c r="B2" s="327"/>
      <c r="C2" s="327"/>
      <c r="D2" s="327"/>
      <c r="E2" s="327"/>
      <c r="F2" s="327"/>
      <c r="G2" s="327"/>
      <c r="H2" s="327"/>
      <c r="I2" s="327"/>
      <c r="J2" s="327"/>
      <c r="K2" s="77"/>
    </row>
    <row r="3" spans="1:24" x14ac:dyDescent="0.2">
      <c r="A3" s="327" t="s">
        <v>105</v>
      </c>
      <c r="B3" s="327"/>
      <c r="C3" s="327"/>
      <c r="D3" s="327"/>
      <c r="E3" s="327"/>
      <c r="F3" s="327"/>
      <c r="G3" s="327"/>
      <c r="H3" s="327"/>
      <c r="I3" s="327"/>
      <c r="J3" s="327"/>
      <c r="K3" s="77"/>
    </row>
    <row r="4" spans="1:24" ht="16" thickBot="1" x14ac:dyDescent="0.25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33" t="s">
        <v>161</v>
      </c>
      <c r="L4" s="333"/>
      <c r="M4" s="333"/>
      <c r="N4" s="333"/>
    </row>
    <row r="5" spans="1:24" x14ac:dyDescent="0.2">
      <c r="A5" s="47"/>
      <c r="B5" s="48"/>
      <c r="C5" s="329" t="s">
        <v>106</v>
      </c>
      <c r="D5" s="330"/>
      <c r="E5" s="330"/>
      <c r="F5" s="330"/>
      <c r="G5" s="330"/>
      <c r="H5" s="330"/>
      <c r="I5" s="330"/>
      <c r="J5" s="331"/>
      <c r="K5" s="78"/>
      <c r="L5" s="332" t="s">
        <v>107</v>
      </c>
      <c r="M5" s="301"/>
      <c r="N5" s="301"/>
    </row>
    <row r="6" spans="1:24" x14ac:dyDescent="0.2">
      <c r="A6" s="1" t="s">
        <v>109</v>
      </c>
      <c r="B6" s="49"/>
      <c r="C6" s="323">
        <v>2020</v>
      </c>
      <c r="D6" s="324"/>
      <c r="E6" s="324"/>
      <c r="F6" s="324"/>
      <c r="G6" s="324"/>
      <c r="H6" s="324"/>
      <c r="I6" s="324"/>
      <c r="J6" s="32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6" t="s">
        <v>108</v>
      </c>
      <c r="L23" s="326"/>
      <c r="M23" s="326"/>
      <c r="N23" s="32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22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2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32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2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22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271</v>
      </c>
    </row>
    <row r="37" spans="3:23" x14ac:dyDescent="0.2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35" t="s">
        <v>87</v>
      </c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</row>
    <row r="7" spans="1:18" x14ac:dyDescent="0.2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36" t="s">
        <v>95</v>
      </c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37" t="s">
        <v>99</v>
      </c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36" t="s">
        <v>101</v>
      </c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schemas.microsoft.com/office/2006/documentManagement/types"/>
    <ds:schemaRef ds:uri="66951ee6-cd93-49c7-9437-e871b2a117d6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ac5d118-ba7b-4807-b700-df6f95cfff50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2020-11-09T21:56:48Z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