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covid changes 052020/"/>
    </mc:Choice>
  </mc:AlternateContent>
  <xr:revisionPtr revIDLastSave="0" documentId="8_{B8357396-DE6C-7042-BA82-E26529D83B25}" xr6:coauthVersionLast="45" xr6:coauthVersionMax="45" xr10:uidLastSave="{00000000-0000-0000-0000-000000000000}"/>
  <bookViews>
    <workbookView xWindow="0" yWindow="460" windowWidth="28700" windowHeight="16760" firstSheet="1" activeTab="3" xr2:uid="{6DB4813E-24A9-4E22-BA09-9A23A9DFCC52}"/>
  </bookViews>
  <sheets>
    <sheet name="GDP Changes" sheetId="1" r:id="rId1"/>
    <sheet name="Pre and Post Tax Collections" sheetId="2" r:id="rId2"/>
    <sheet name="outlays and deficit check" sheetId="4" r:id="rId3"/>
    <sheet name="Legisla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4" l="1"/>
  <c r="G32" i="4"/>
  <c r="H32" i="4"/>
  <c r="I32" i="4"/>
  <c r="J32" i="4" s="1"/>
  <c r="E32" i="4"/>
  <c r="D32" i="4"/>
  <c r="C34" i="1" l="1"/>
  <c r="D34" i="1"/>
  <c r="E2" i="6"/>
  <c r="E6" i="6" s="1"/>
  <c r="C59" i="4" s="1"/>
  <c r="D2" i="6"/>
  <c r="D6" i="6" s="1"/>
  <c r="B59" i="4" s="1"/>
  <c r="E5" i="6"/>
  <c r="D5" i="6"/>
  <c r="D33" i="4"/>
  <c r="C18" i="2"/>
  <c r="D38" i="4" l="1"/>
  <c r="C41" i="4"/>
  <c r="B16" i="4"/>
  <c r="A36" i="4"/>
  <c r="D36" i="4"/>
  <c r="D34" i="4"/>
  <c r="F22" i="4"/>
  <c r="F25" i="4" s="1"/>
  <c r="M25" i="4" s="1"/>
  <c r="D25" i="4"/>
  <c r="E25" i="4"/>
  <c r="G25" i="4"/>
  <c r="H25" i="4"/>
  <c r="I25" i="4"/>
  <c r="J25" i="4"/>
  <c r="C25" i="4"/>
  <c r="B12" i="4"/>
  <c r="B13" i="4" s="1"/>
  <c r="G8" i="4"/>
  <c r="C4" i="4"/>
  <c r="D3" i="4"/>
  <c r="E3" i="4" s="1"/>
  <c r="L25" i="4" l="1"/>
  <c r="B14" i="4"/>
  <c r="B15" i="4" s="1"/>
  <c r="B17" i="4" s="1"/>
  <c r="E4" i="4"/>
  <c r="F3" i="4"/>
  <c r="C5" i="4"/>
  <c r="D4" i="4"/>
  <c r="C6" i="2"/>
  <c r="C17" i="2" s="1"/>
  <c r="M7" i="2"/>
  <c r="E33" i="4" l="1"/>
  <c r="E38" i="4"/>
  <c r="D21" i="4"/>
  <c r="E21" i="4" s="1"/>
  <c r="C21" i="4"/>
  <c r="C24" i="4" s="1"/>
  <c r="C26" i="4" s="1"/>
  <c r="E5" i="4"/>
  <c r="G3" i="4"/>
  <c r="F4" i="4"/>
  <c r="D5" i="4"/>
  <c r="F38" i="4" l="1"/>
  <c r="L38" i="4"/>
  <c r="E34" i="4"/>
  <c r="L34" i="4" s="1"/>
  <c r="F33" i="4"/>
  <c r="L32" i="4"/>
  <c r="E36" i="4"/>
  <c r="L36" i="4" s="1"/>
  <c r="D24" i="4"/>
  <c r="G4" i="4"/>
  <c r="H3" i="4"/>
  <c r="F5" i="4"/>
  <c r="G33" i="4" l="1"/>
  <c r="F36" i="4"/>
  <c r="F34" i="4"/>
  <c r="G38" i="4"/>
  <c r="E24" i="4"/>
  <c r="E26" i="4" s="1"/>
  <c r="F21" i="4"/>
  <c r="L24" i="4"/>
  <c r="L26" i="4" s="1"/>
  <c r="D26" i="4"/>
  <c r="G5" i="4"/>
  <c r="I3" i="4"/>
  <c r="H4" i="4"/>
  <c r="H5" i="4" s="1"/>
  <c r="H38" i="4" l="1"/>
  <c r="E52" i="4"/>
  <c r="H33" i="4"/>
  <c r="G34" i="4"/>
  <c r="G36" i="4"/>
  <c r="F24" i="4"/>
  <c r="G21" i="4"/>
  <c r="I4" i="4"/>
  <c r="I38" i="4" s="1"/>
  <c r="J3" i="4"/>
  <c r="J4" i="4" s="1"/>
  <c r="J38" i="4" l="1"/>
  <c r="M38" i="4"/>
  <c r="I33" i="4"/>
  <c r="H36" i="4"/>
  <c r="H34" i="4"/>
  <c r="G24" i="4"/>
  <c r="G26" i="4" s="1"/>
  <c r="H21" i="4"/>
  <c r="F26" i="4"/>
  <c r="J5" i="4"/>
  <c r="I5" i="4"/>
  <c r="J33" i="4" l="1"/>
  <c r="I36" i="4"/>
  <c r="M36" i="4" s="1"/>
  <c r="I34" i="4"/>
  <c r="M34" i="4" s="1"/>
  <c r="M32" i="4"/>
  <c r="I21" i="4"/>
  <c r="H24" i="4"/>
  <c r="J34" i="4" l="1"/>
  <c r="J36" i="4"/>
  <c r="H26" i="4"/>
  <c r="J21" i="4"/>
  <c r="J24" i="4" s="1"/>
  <c r="J26" i="4" s="1"/>
  <c r="I24" i="4"/>
  <c r="I26" i="4" s="1"/>
  <c r="M24" i="4" l="1"/>
  <c r="M26" i="4" l="1"/>
  <c r="F52" i="4"/>
  <c r="O48" i="4"/>
  <c r="B60" i="4" l="1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D24" i="2"/>
  <c r="D22" i="2"/>
  <c r="D21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D16" i="2"/>
  <c r="D14" i="2"/>
  <c r="D13" i="2"/>
  <c r="D15" i="2"/>
  <c r="E18" i="2" l="1"/>
  <c r="E6" i="2"/>
  <c r="E17" i="2" s="1"/>
  <c r="H18" i="2"/>
  <c r="H6" i="2"/>
  <c r="H17" i="2" s="1"/>
  <c r="G18" i="2"/>
  <c r="G6" i="2"/>
  <c r="G17" i="2" s="1"/>
  <c r="D18" i="2"/>
  <c r="D6" i="2"/>
  <c r="D17" i="2" s="1"/>
  <c r="J18" i="2"/>
  <c r="J6" i="2"/>
  <c r="J17" i="2" s="1"/>
  <c r="F18" i="2"/>
  <c r="F6" i="2"/>
  <c r="F17" i="2" s="1"/>
  <c r="I18" i="2"/>
  <c r="I6" i="2"/>
  <c r="I17" i="2" s="1"/>
  <c r="C25" i="2" l="1"/>
  <c r="E13" i="1"/>
  <c r="E14" i="1"/>
  <c r="E12" i="1"/>
  <c r="D23" i="2"/>
  <c r="D25" i="2" l="1"/>
  <c r="E25" i="2" l="1"/>
  <c r="F25" i="2" l="1"/>
  <c r="G25" i="2" l="1"/>
  <c r="H25" i="2" l="1"/>
  <c r="I25" i="2" l="1"/>
  <c r="J25" i="2" l="1"/>
  <c r="F21" i="1" l="1"/>
  <c r="G31" i="2" s="1"/>
  <c r="F19" i="1"/>
  <c r="G21" i="1"/>
  <c r="H31" i="2" s="1"/>
  <c r="H22" i="1"/>
  <c r="I22" i="1"/>
  <c r="E17" i="1"/>
  <c r="F32" i="2" s="1"/>
  <c r="C18" i="1"/>
  <c r="G18" i="1"/>
  <c r="D19" i="1"/>
  <c r="D20" i="1"/>
  <c r="H21" i="1"/>
  <c r="I31" i="2" s="1"/>
  <c r="I21" i="1"/>
  <c r="J31" i="2" s="1"/>
  <c r="D21" i="1"/>
  <c r="E31" i="2" s="1"/>
  <c r="E21" i="1"/>
  <c r="F31" i="2" s="1"/>
  <c r="D17" i="1"/>
  <c r="E32" i="2" s="1"/>
  <c r="B21" i="1"/>
  <c r="C22" i="1"/>
  <c r="D39" i="2" s="1"/>
  <c r="E7" i="1"/>
  <c r="E8" i="1"/>
  <c r="E9" i="1"/>
  <c r="E6" i="1"/>
  <c r="F7" i="1"/>
  <c r="F8" i="1"/>
  <c r="F9" i="1"/>
  <c r="N31" i="2" s="1"/>
  <c r="F6" i="1"/>
  <c r="C38" i="2" l="1"/>
  <c r="C31" i="2"/>
  <c r="H29" i="2"/>
  <c r="H33" i="2"/>
  <c r="H47" i="2" s="1"/>
  <c r="H43" i="4" s="1"/>
  <c r="H36" i="2"/>
  <c r="I39" i="2"/>
  <c r="I53" i="2" s="1"/>
  <c r="I66" i="2" s="1"/>
  <c r="Q30" i="2"/>
  <c r="G30" i="2" s="1"/>
  <c r="G44" i="2" s="1"/>
  <c r="G58" i="2" s="1"/>
  <c r="O30" i="2"/>
  <c r="E30" i="2" s="1"/>
  <c r="E44" i="2" s="1"/>
  <c r="E58" i="2" s="1"/>
  <c r="J39" i="2"/>
  <c r="J53" i="2" s="1"/>
  <c r="J66" i="2" s="1"/>
  <c r="D33" i="2"/>
  <c r="D47" i="2" s="1"/>
  <c r="D29" i="2"/>
  <c r="D36" i="2"/>
  <c r="E46" i="2"/>
  <c r="F46" i="2"/>
  <c r="F60" i="2" s="1"/>
  <c r="D53" i="2"/>
  <c r="D66" i="2" s="1"/>
  <c r="E38" i="2"/>
  <c r="E52" i="2" s="1"/>
  <c r="E65" i="2" s="1"/>
  <c r="E45" i="2"/>
  <c r="E59" i="2" s="1"/>
  <c r="E37" i="2"/>
  <c r="G38" i="2"/>
  <c r="G52" i="2" s="1"/>
  <c r="G65" i="2" s="1"/>
  <c r="G45" i="2"/>
  <c r="G59" i="2" s="1"/>
  <c r="G37" i="2"/>
  <c r="G51" i="2" s="1"/>
  <c r="G64" i="2" s="1"/>
  <c r="J45" i="2"/>
  <c r="J59" i="2" s="1"/>
  <c r="J38" i="2"/>
  <c r="J52" i="2" s="1"/>
  <c r="J65" i="2" s="1"/>
  <c r="F45" i="2"/>
  <c r="F38" i="2"/>
  <c r="F52" i="2" s="1"/>
  <c r="C45" i="2"/>
  <c r="C59" i="2" s="1"/>
  <c r="C52" i="2"/>
  <c r="I45" i="2"/>
  <c r="I59" i="2" s="1"/>
  <c r="I38" i="2"/>
  <c r="I52" i="2" s="1"/>
  <c r="I65" i="2" s="1"/>
  <c r="H45" i="2"/>
  <c r="H59" i="2" s="1"/>
  <c r="H38" i="2"/>
  <c r="H52" i="2" s="1"/>
  <c r="H65" i="2" s="1"/>
  <c r="F17" i="1"/>
  <c r="G32" i="2" s="1"/>
  <c r="G20" i="1"/>
  <c r="I17" i="1"/>
  <c r="J32" i="2" s="1"/>
  <c r="B19" i="1"/>
  <c r="I19" i="1"/>
  <c r="H17" i="1"/>
  <c r="I32" i="2" s="1"/>
  <c r="E22" i="1"/>
  <c r="H19" i="1"/>
  <c r="S30" i="2" s="1"/>
  <c r="I30" i="2" s="1"/>
  <c r="F18" i="1"/>
  <c r="D22" i="1"/>
  <c r="E19" i="1"/>
  <c r="B20" i="1"/>
  <c r="F20" i="1"/>
  <c r="C20" i="1"/>
  <c r="G22" i="1"/>
  <c r="I20" i="1"/>
  <c r="E20" i="1"/>
  <c r="G19" i="1"/>
  <c r="R30" i="2" s="1"/>
  <c r="H30" i="2" s="1"/>
  <c r="I18" i="1"/>
  <c r="E18" i="1"/>
  <c r="G17" i="1"/>
  <c r="H32" i="2" s="1"/>
  <c r="B22" i="1"/>
  <c r="B18" i="1"/>
  <c r="C19" i="1"/>
  <c r="N30" i="2" s="1"/>
  <c r="D30" i="2" s="1"/>
  <c r="C21" i="1"/>
  <c r="D31" i="2" s="1"/>
  <c r="F22" i="1"/>
  <c r="H20" i="1"/>
  <c r="H18" i="1"/>
  <c r="D18" i="1"/>
  <c r="C17" i="1"/>
  <c r="D32" i="2" s="1"/>
  <c r="B17" i="1"/>
  <c r="F33" i="2" l="1"/>
  <c r="F47" i="2" s="1"/>
  <c r="F29" i="2"/>
  <c r="F36" i="2"/>
  <c r="F50" i="2" s="1"/>
  <c r="C46" i="2"/>
  <c r="C60" i="2" s="1"/>
  <c r="C32" i="2"/>
  <c r="C33" i="2"/>
  <c r="C47" i="2" s="1"/>
  <c r="C29" i="2"/>
  <c r="C36" i="2"/>
  <c r="J33" i="2"/>
  <c r="J47" i="2" s="1"/>
  <c r="J43" i="4" s="1"/>
  <c r="J29" i="2"/>
  <c r="J36" i="2"/>
  <c r="J50" i="2" s="1"/>
  <c r="J63" i="2" s="1"/>
  <c r="H53" i="2"/>
  <c r="H66" i="2" s="1"/>
  <c r="H39" i="2"/>
  <c r="P30" i="2"/>
  <c r="F30" i="2" s="1"/>
  <c r="F44" i="2" s="1"/>
  <c r="F39" i="2"/>
  <c r="F53" i="2" s="1"/>
  <c r="H34" i="2"/>
  <c r="I29" i="2"/>
  <c r="I34" i="2" s="1"/>
  <c r="I33" i="2"/>
  <c r="I47" i="2" s="1"/>
  <c r="I43" i="4" s="1"/>
  <c r="I36" i="2"/>
  <c r="I50" i="2" s="1"/>
  <c r="I63" i="2" s="1"/>
  <c r="G39" i="2"/>
  <c r="G53" i="2" s="1"/>
  <c r="G66" i="2" s="1"/>
  <c r="J20" i="1"/>
  <c r="E39" i="2"/>
  <c r="E53" i="2" s="1"/>
  <c r="E66" i="2" s="1"/>
  <c r="L66" i="2" s="1"/>
  <c r="M30" i="2"/>
  <c r="C30" i="2" s="1"/>
  <c r="C44" i="2" s="1"/>
  <c r="C37" i="2"/>
  <c r="C51" i="2" s="1"/>
  <c r="C39" i="2"/>
  <c r="C53" i="2" s="1"/>
  <c r="G33" i="2"/>
  <c r="G47" i="2" s="1"/>
  <c r="G43" i="4" s="1"/>
  <c r="G29" i="2"/>
  <c r="G34" i="2" s="1"/>
  <c r="G36" i="2"/>
  <c r="T30" i="2"/>
  <c r="J30" i="2" s="1"/>
  <c r="J44" i="2" s="1"/>
  <c r="J58" i="2" s="1"/>
  <c r="D34" i="2"/>
  <c r="E33" i="2"/>
  <c r="E47" i="2" s="1"/>
  <c r="E43" i="4" s="1"/>
  <c r="E29" i="2"/>
  <c r="E34" i="2" s="1"/>
  <c r="E36" i="2"/>
  <c r="E50" i="2" s="1"/>
  <c r="E63" i="2" s="1"/>
  <c r="D43" i="4"/>
  <c r="E60" i="2"/>
  <c r="I46" i="2"/>
  <c r="H46" i="2"/>
  <c r="G46" i="2"/>
  <c r="J46" i="2"/>
  <c r="F65" i="2"/>
  <c r="M65" i="2" s="1"/>
  <c r="M52" i="2"/>
  <c r="C65" i="2"/>
  <c r="H50" i="2"/>
  <c r="H63" i="2" s="1"/>
  <c r="J22" i="1"/>
  <c r="D38" i="2"/>
  <c r="D52" i="2" s="1"/>
  <c r="D65" i="2" s="1"/>
  <c r="L65" i="2" s="1"/>
  <c r="D45" i="2"/>
  <c r="L45" i="2" s="1"/>
  <c r="J21" i="1"/>
  <c r="J37" i="2"/>
  <c r="H43" i="2"/>
  <c r="H57" i="2" s="1"/>
  <c r="E51" i="2"/>
  <c r="E64" i="2" s="1"/>
  <c r="J17" i="1"/>
  <c r="D37" i="2"/>
  <c r="D51" i="2" s="1"/>
  <c r="D64" i="2" s="1"/>
  <c r="D44" i="2"/>
  <c r="J19" i="1"/>
  <c r="I37" i="2"/>
  <c r="I44" i="2"/>
  <c r="I58" i="2" s="1"/>
  <c r="J18" i="1"/>
  <c r="K19" i="1" s="1"/>
  <c r="H44" i="2"/>
  <c r="H58" i="2" s="1"/>
  <c r="H37" i="2"/>
  <c r="H51" i="2" s="1"/>
  <c r="H64" i="2" s="1"/>
  <c r="F37" i="2"/>
  <c r="M45" i="2"/>
  <c r="N45" i="2" s="1"/>
  <c r="F59" i="2"/>
  <c r="M59" i="2" s="1"/>
  <c r="D50" i="2"/>
  <c r="D63" i="2" s="1"/>
  <c r="D43" i="2"/>
  <c r="C40" i="2" l="1"/>
  <c r="L47" i="2"/>
  <c r="C66" i="2"/>
  <c r="L53" i="2"/>
  <c r="C34" i="2"/>
  <c r="J34" i="2"/>
  <c r="F66" i="2"/>
  <c r="M66" i="2" s="1"/>
  <c r="M53" i="2"/>
  <c r="L43" i="4"/>
  <c r="B52" i="4" s="1"/>
  <c r="F34" i="2"/>
  <c r="F43" i="4"/>
  <c r="M43" i="4" s="1"/>
  <c r="C52" i="4" s="1"/>
  <c r="M47" i="2"/>
  <c r="H60" i="2"/>
  <c r="H48" i="2"/>
  <c r="H61" i="2" s="1"/>
  <c r="I60" i="2"/>
  <c r="J60" i="2"/>
  <c r="G60" i="2"/>
  <c r="M46" i="2"/>
  <c r="N46" i="2" s="1"/>
  <c r="D46" i="2"/>
  <c r="F63" i="2"/>
  <c r="L52" i="2"/>
  <c r="C64" i="2"/>
  <c r="L51" i="2"/>
  <c r="D40" i="2"/>
  <c r="C58" i="2"/>
  <c r="L44" i="2"/>
  <c r="F40" i="2"/>
  <c r="F51" i="2"/>
  <c r="L63" i="2"/>
  <c r="I40" i="2"/>
  <c r="I51" i="2"/>
  <c r="I64" i="2" s="1"/>
  <c r="D58" i="2"/>
  <c r="L58" i="2" s="1"/>
  <c r="E40" i="2"/>
  <c r="D59" i="2"/>
  <c r="L59" i="2" s="1"/>
  <c r="J40" i="2"/>
  <c r="J51" i="2"/>
  <c r="J64" i="2" s="1"/>
  <c r="J43" i="2"/>
  <c r="J57" i="2" s="1"/>
  <c r="L64" i="2"/>
  <c r="G50" i="2"/>
  <c r="G63" i="2" s="1"/>
  <c r="M63" i="2" s="1"/>
  <c r="G40" i="2"/>
  <c r="C50" i="2"/>
  <c r="C54" i="2"/>
  <c r="F58" i="2"/>
  <c r="M58" i="2" s="1"/>
  <c r="M44" i="2"/>
  <c r="N44" i="2" s="1"/>
  <c r="C43" i="2"/>
  <c r="F43" i="2"/>
  <c r="F48" i="2" s="1"/>
  <c r="I43" i="2"/>
  <c r="I57" i="2" s="1"/>
  <c r="G43" i="2"/>
  <c r="G57" i="2" s="1"/>
  <c r="E43" i="2"/>
  <c r="H40" i="2"/>
  <c r="D57" i="2"/>
  <c r="G48" i="2" l="1"/>
  <c r="G61" i="2" s="1"/>
  <c r="I48" i="2"/>
  <c r="I61" i="2" s="1"/>
  <c r="E57" i="2"/>
  <c r="L57" i="2" s="1"/>
  <c r="E48" i="2"/>
  <c r="E61" i="2" s="1"/>
  <c r="J48" i="2"/>
  <c r="J61" i="2" s="1"/>
  <c r="C57" i="2"/>
  <c r="C48" i="2"/>
  <c r="C61" i="2" s="1"/>
  <c r="L46" i="2"/>
  <c r="D48" i="2"/>
  <c r="D61" i="2" s="1"/>
  <c r="M60" i="2"/>
  <c r="D60" i="2"/>
  <c r="L60" i="2" s="1"/>
  <c r="J54" i="2"/>
  <c r="J67" i="2" s="1"/>
  <c r="F54" i="2"/>
  <c r="F67" i="2" s="1"/>
  <c r="H54" i="2"/>
  <c r="H67" i="2" s="1"/>
  <c r="E54" i="2"/>
  <c r="E67" i="2" s="1"/>
  <c r="G54" i="2"/>
  <c r="G67" i="2" s="1"/>
  <c r="I54" i="2"/>
  <c r="I67" i="2" s="1"/>
  <c r="D54" i="2"/>
  <c r="D67" i="2" s="1"/>
  <c r="C67" i="2"/>
  <c r="L54" i="2"/>
  <c r="E51" i="4" s="1"/>
  <c r="E53" i="4" s="1"/>
  <c r="F64" i="2"/>
  <c r="M64" i="2" s="1"/>
  <c r="M51" i="2"/>
  <c r="M50" i="2"/>
  <c r="C63" i="2"/>
  <c r="L50" i="2"/>
  <c r="L43" i="2"/>
  <c r="F61" i="2"/>
  <c r="M61" i="2" s="1"/>
  <c r="M48" i="2"/>
  <c r="F57" i="2"/>
  <c r="M57" i="2" s="1"/>
  <c r="M43" i="2"/>
  <c r="N43" i="2" s="1"/>
  <c r="L67" i="2" l="1"/>
  <c r="M67" i="2"/>
  <c r="L61" i="2"/>
  <c r="L48" i="2"/>
  <c r="B51" i="4" s="1"/>
  <c r="B53" i="4" s="1"/>
  <c r="B61" i="4" s="1"/>
  <c r="M54" i="2"/>
  <c r="F51" i="4" s="1"/>
  <c r="F53" i="4" s="1"/>
  <c r="C51" i="4"/>
  <c r="C53" i="4" s="1"/>
  <c r="C61" i="4" s="1"/>
  <c r="N48" i="2"/>
</calcChain>
</file>

<file path=xl/sharedStrings.xml><?xml version="1.0" encoding="utf-8"?>
<sst xmlns="http://schemas.openxmlformats.org/spreadsheetml/2006/main" count="283" uniqueCount="149">
  <si>
    <t>Use CBO and/or Fed elasticities</t>
  </si>
  <si>
    <t>CBO</t>
  </si>
  <si>
    <t>Corp</t>
  </si>
  <si>
    <t>FICA</t>
  </si>
  <si>
    <t>SECA</t>
  </si>
  <si>
    <t>Individual</t>
  </si>
  <si>
    <t>Income and Payroll Taxes</t>
  </si>
  <si>
    <t>Taxes to Tax Base</t>
  </si>
  <si>
    <t>Tax base to NIPA</t>
  </si>
  <si>
    <t>Nipa to GDP GAP</t>
  </si>
  <si>
    <t>R1*R2</t>
  </si>
  <si>
    <t>Fed Taxes to Tax Base</t>
  </si>
  <si>
    <t>Tax Base to NIPA Income</t>
  </si>
  <si>
    <t>Federal Reserve</t>
  </si>
  <si>
    <t>Production and Import</t>
  </si>
  <si>
    <t>Fed says moves with GDP</t>
  </si>
  <si>
    <t>State and Local</t>
  </si>
  <si>
    <t>Personal</t>
  </si>
  <si>
    <t>R1*R2*R3</t>
  </si>
  <si>
    <t>corporate</t>
  </si>
  <si>
    <t>sales</t>
  </si>
  <si>
    <t>consumption</t>
  </si>
  <si>
    <t>Personal Income</t>
  </si>
  <si>
    <t>Pre-COVID</t>
  </si>
  <si>
    <t>Wages and Salaries</t>
  </si>
  <si>
    <t>GDP</t>
  </si>
  <si>
    <t>May 2020 Interim Forecast—Data Release (Quarterly)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</si>
  <si>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</si>
  <si>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</si>
  <si>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</si>
  <si>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</si>
  <si>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</si>
  <si>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</si>
  <si>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</si>
  <si>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</si>
  <si>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Gross Domestic Product (GDP)</t>
  </si>
  <si>
    <t>Income, Personal</t>
  </si>
  <si>
    <t>Profits, Corporate, With IVA and CCAdj</t>
  </si>
  <si>
    <t>Personal Consumption Expenditures</t>
  </si>
  <si>
    <t/>
  </si>
  <si>
    <t>Profits, Corporate, With IVA &amp; CCAdj</t>
  </si>
  <si>
    <t>PCE</t>
  </si>
  <si>
    <t>% Change</t>
  </si>
  <si>
    <t>Total Prop Income</t>
  </si>
  <si>
    <t>Profits, corporate, with IVA and CCADj</t>
  </si>
  <si>
    <t>March 2020 FIM Projections (before new CBO economic forecast)</t>
  </si>
  <si>
    <t>Federal</t>
  </si>
  <si>
    <t>Corporate</t>
  </si>
  <si>
    <t>State</t>
  </si>
  <si>
    <t>Noncorporate</t>
  </si>
  <si>
    <t>Split into pieces using share from 2020Q1</t>
  </si>
  <si>
    <t>Wages</t>
  </si>
  <si>
    <t xml:space="preserve">State </t>
  </si>
  <si>
    <t>Production and Imports</t>
  </si>
  <si>
    <t>wages</t>
  </si>
  <si>
    <t>FY2020</t>
  </si>
  <si>
    <t>NOTE: Personal income falling less because of checks which are not taxable. Take them out of personal income.</t>
  </si>
  <si>
    <r>
      <t>Income, Personal (</t>
    </r>
    <r>
      <rPr>
        <sz val="10"/>
        <color rgb="FFFF0000"/>
        <rFont val="Calibri "/>
      </rPr>
      <t>NOTE)</t>
    </r>
  </si>
  <si>
    <t>pers</t>
  </si>
  <si>
    <t xml:space="preserve">corp </t>
  </si>
  <si>
    <t>pay</t>
  </si>
  <si>
    <t>othe</t>
  </si>
  <si>
    <t>Total</t>
  </si>
  <si>
    <t>Post-Covid</t>
  </si>
  <si>
    <t>CHANGES</t>
  </si>
  <si>
    <t>FY2021</t>
  </si>
  <si>
    <t>Percent CHANGES</t>
  </si>
  <si>
    <t xml:space="preserve">USING GDP GAP </t>
  </si>
  <si>
    <t>Get Bigger #s</t>
  </si>
  <si>
    <t>2019Q$4</t>
  </si>
  <si>
    <t>Unemployment Rate, Civilian, 16 Years or Older</t>
  </si>
  <si>
    <t>NAIRU</t>
  </si>
  <si>
    <t>UGAP</t>
  </si>
  <si>
    <t>Total Automatic Stabilizers</t>
  </si>
  <si>
    <t>Revenue</t>
  </si>
  <si>
    <t>Spending</t>
  </si>
  <si>
    <t>FY 2020</t>
  </si>
  <si>
    <t>FY 2021</t>
  </si>
  <si>
    <t>CBO's post covid deficit</t>
  </si>
  <si>
    <t>CBO pre-covid Deficit</t>
  </si>
  <si>
    <t>change</t>
  </si>
  <si>
    <t>Legislation</t>
  </si>
  <si>
    <t>CBO AS</t>
  </si>
  <si>
    <t xml:space="preserve">Pre-COVID (Jan 2020 CBO) </t>
  </si>
  <si>
    <t>annualized</t>
  </si>
  <si>
    <t xml:space="preserve"> </t>
  </si>
  <si>
    <t>UI</t>
  </si>
  <si>
    <t>extended cost</t>
  </si>
  <si>
    <t>seca and wage change together</t>
  </si>
  <si>
    <t>elasiticty</t>
  </si>
  <si>
    <t>STATE AND LOCAL</t>
  </si>
  <si>
    <t>FEDERAL</t>
  </si>
  <si>
    <t>Make it bigger because of composition of conumption toward groceries</t>
  </si>
  <si>
    <t xml:space="preserve">SNAP  </t>
  </si>
  <si>
    <t>Refundable Tax Credits are in Benefits to Persons</t>
  </si>
  <si>
    <t>Need to account for them too</t>
  </si>
  <si>
    <t xml:space="preserve">Refundable Tax Credits </t>
  </si>
  <si>
    <t>Where are these in the CBO Forecast</t>
  </si>
  <si>
    <t>ref tax credit about 10%</t>
  </si>
  <si>
    <t>4-q avg UGAP</t>
  </si>
  <si>
    <t>About $25 billion per week at peak in May</t>
  </si>
  <si>
    <t xml:space="preserve">Additional $600 per week is all federal--about 60% </t>
  </si>
  <si>
    <t>OF remaining $10 billion per week, some normal (not additional), some gig workers (federal)</t>
  </si>
  <si>
    <t>Costs of Gig worker legislation that lasts until end of december:  30 fy2020 and 5 fy2021</t>
  </si>
  <si>
    <t>Per week at peak</t>
  </si>
  <si>
    <t>billion per week</t>
  </si>
  <si>
    <t>q2</t>
  </si>
  <si>
    <t>q3</t>
  </si>
  <si>
    <t>q4</t>
  </si>
  <si>
    <t>Gig Workers</t>
  </si>
  <si>
    <t>(7 weeks because was delayed)</t>
  </si>
  <si>
    <t>nonGIG</t>
  </si>
  <si>
    <t>Extra $600</t>
  </si>
  <si>
    <t>Regular</t>
  </si>
  <si>
    <t>Regular UI in normal times</t>
  </si>
  <si>
    <t>Automatic Stabil</t>
  </si>
  <si>
    <t>weeks regular</t>
  </si>
  <si>
    <t>weeks extended at 50%</t>
  </si>
  <si>
    <t>regular $</t>
  </si>
  <si>
    <t>check extended close enough</t>
  </si>
  <si>
    <t xml:space="preserve">UI Automatic </t>
  </si>
  <si>
    <t>extended</t>
  </si>
  <si>
    <t>** some people unemployed later</t>
  </si>
  <si>
    <t>Medicaid - Very Rough</t>
  </si>
  <si>
    <t xml:space="preserve">Most in expansion states, so federal share high </t>
  </si>
  <si>
    <t>Assume share is 80% for increase</t>
  </si>
  <si>
    <t>Q1</t>
  </si>
  <si>
    <t>About 5% increase in enrollment in May</t>
  </si>
  <si>
    <t>May</t>
  </si>
  <si>
    <t>8.551 billion</t>
  </si>
  <si>
    <t>February</t>
  </si>
  <si>
    <t>Some of it legislation</t>
  </si>
  <si>
    <t>Call it 1.6</t>
  </si>
  <si>
    <t>From MTS</t>
  </si>
  <si>
    <t>4.9 billion</t>
  </si>
  <si>
    <t>Refundable Tax Credit Federal</t>
  </si>
  <si>
    <t>Total ex refund</t>
  </si>
  <si>
    <t>Total EX</t>
  </si>
  <si>
    <t>Total ex</t>
  </si>
  <si>
    <t>Assume another 5% increase in costs, so 10% total</t>
  </si>
  <si>
    <t>bump up ref tax credit</t>
  </si>
  <si>
    <t>bump up a little</t>
  </si>
  <si>
    <t xml:space="preserve">Families First </t>
  </si>
  <si>
    <t>CARES</t>
  </si>
  <si>
    <t>PPP Extensions</t>
  </si>
  <si>
    <t xml:space="preserve">Coronavirus Preparedness </t>
  </si>
  <si>
    <t>Take away checks, not taxalbe</t>
  </si>
  <si>
    <t>Also take away some PPP</t>
  </si>
  <si>
    <t>NOTE: take some out for stimulus checks-not 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</si>
</sst>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name val="Calibri "/>
    </font>
    <font>
      <sz val="11"/>
      <color theme="1"/>
      <name val="Calibri "/>
    </font>
    <font>
      <sz val="10"/>
      <name val="Calibri 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Calibri 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AAAAAA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2" fillId="0" borderId="0" applyNumberForma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4" fillId="0" borderId="0" xfId="0" applyFont="1"/>
    <xf numFmtId="1" fontId="4" fillId="2" borderId="0" xfId="3" applyNumberFormat="1" applyFont="1" applyFill="1"/>
    <xf numFmtId="164" fontId="2" fillId="0" borderId="0" xfId="1" applyNumberFormat="1" applyFont="1"/>
    <xf numFmtId="164" fontId="2" fillId="3" borderId="0" xfId="1" applyNumberFormat="1" applyFont="1" applyFill="1"/>
    <xf numFmtId="164" fontId="2" fillId="0" borderId="0" xfId="1" applyNumberFormat="1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/>
    <xf numFmtId="1" fontId="6" fillId="0" borderId="0" xfId="3" applyNumberFormat="1" applyFont="1"/>
    <xf numFmtId="1" fontId="6" fillId="2" borderId="0" xfId="3" applyNumberFormat="1" applyFont="1" applyFill="1"/>
    <xf numFmtId="0" fontId="3" fillId="0" borderId="0" xfId="0" applyFont="1"/>
    <xf numFmtId="0" fontId="8" fillId="0" borderId="0" xfId="0" applyFont="1"/>
    <xf numFmtId="0" fontId="3" fillId="0" borderId="1" xfId="0" applyFont="1" applyBorder="1" applyAlignment="1">
      <alignment horizontal="right"/>
    </xf>
    <xf numFmtId="164" fontId="3" fillId="0" borderId="0" xfId="1" applyNumberFormat="1" applyFont="1"/>
    <xf numFmtId="164" fontId="3" fillId="3" borderId="0" xfId="1" applyNumberFormat="1" applyFont="1" applyFill="1"/>
    <xf numFmtId="164" fontId="3" fillId="0" borderId="0" xfId="1" applyNumberFormat="1" applyFont="1" applyFill="1"/>
    <xf numFmtId="0" fontId="7" fillId="4" borderId="0" xfId="0" applyFont="1" applyFill="1"/>
    <xf numFmtId="0" fontId="6" fillId="4" borderId="1" xfId="0" applyFont="1" applyFill="1" applyBorder="1"/>
    <xf numFmtId="166" fontId="6" fillId="0" borderId="0" xfId="2" applyNumberFormat="1" applyFont="1" applyAlignment="1">
      <alignment horizontal="center"/>
    </xf>
    <xf numFmtId="1" fontId="6" fillId="0" borderId="0" xfId="3" applyNumberFormat="1" applyFont="1" applyAlignme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6" fontId="0" fillId="0" borderId="0" xfId="0" applyNumberFormat="1"/>
    <xf numFmtId="0" fontId="0" fillId="4" borderId="0" xfId="0" applyFill="1"/>
    <xf numFmtId="1" fontId="10" fillId="0" borderId="0" xfId="0" applyNumberFormat="1" applyFont="1" applyAlignment="1">
      <alignment horizontal="center"/>
    </xf>
    <xf numFmtId="1" fontId="10" fillId="0" borderId="2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>
      <alignment horizontal="left" indent="1"/>
    </xf>
    <xf numFmtId="1" fontId="0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0" fontId="11" fillId="0" borderId="0" xfId="0" applyFont="1"/>
    <xf numFmtId="165" fontId="3" fillId="0" borderId="0" xfId="3" applyNumberFormat="1" applyFont="1"/>
    <xf numFmtId="3" fontId="3" fillId="2" borderId="0" xfId="3" applyNumberFormat="1" applyFont="1" applyFill="1"/>
    <xf numFmtId="167" fontId="3" fillId="2" borderId="0" xfId="3" applyNumberFormat="1" applyFont="1" applyFill="1"/>
    <xf numFmtId="0" fontId="3" fillId="0" borderId="0" xfId="0" applyFont="1" applyFill="1" applyBorder="1" applyAlignment="1">
      <alignment horizontal="right"/>
    </xf>
    <xf numFmtId="9" fontId="2" fillId="0" borderId="0" xfId="2" applyFont="1"/>
    <xf numFmtId="0" fontId="0" fillId="0" borderId="0" xfId="0" applyAlignment="1">
      <alignment horizontal="center"/>
    </xf>
    <xf numFmtId="166" fontId="0" fillId="0" borderId="0" xfId="2" applyNumberFormat="1" applyFont="1"/>
    <xf numFmtId="3" fontId="13" fillId="5" borderId="2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/>
    <xf numFmtId="9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8" fontId="11" fillId="0" borderId="0" xfId="0" applyNumberFormat="1" applyFont="1"/>
    <xf numFmtId="0" fontId="12" fillId="0" borderId="0" xfId="5" applyAlignment="1">
      <alignment horizontal="center"/>
    </xf>
    <xf numFmtId="165" fontId="7" fillId="0" borderId="0" xfId="0" applyNumberFormat="1" applyFont="1" applyAlignment="1">
      <alignment horizontal="center"/>
    </xf>
    <xf numFmtId="0" fontId="0" fillId="0" borderId="0" xfId="0" quotePrefix="1"/>
    <xf numFmtId="3" fontId="13" fillId="5" borderId="2" xfId="0" applyNumberFormat="1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right"/>
    </xf>
  </cellXfs>
  <cellStyles count="7">
    <cellStyle name="Comma" xfId="1" builtinId="3"/>
    <cellStyle name="Hyperlink" xfId="5" builtinId="8"/>
    <cellStyle name="Normal" xfId="0" builtinId="0"/>
    <cellStyle name="Normal 2 3" xfId="3" xr:uid="{6D4E0F38-2F7A-4F8B-8F8B-A70051A5D1F4}"/>
    <cellStyle name="Normal 2 3 2" xfId="4" xr:uid="{22A73B71-725B-40D9-A72F-118B64EC6C00}"/>
    <cellStyle name="Normal 6" xfId="6" xr:uid="{D6D9E645-FB8E-4C46-8ACF-25E24EED0F1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121354</xdr:colOff>
      <xdr:row>2</xdr:row>
      <xdr:rowOff>171450</xdr:rowOff>
    </xdr:from>
    <xdr:to>
      <xdr:col>20</xdr:col>
      <xdr:colOff>246389</xdr:colOff>
      <xdr:row>15</xdr:row>
      <xdr:rowOff>82057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77DD4-8CAF-4DEE-A14D-419A10BDC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2254" y="539750"/>
          <a:ext cx="6830635" cy="267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B7F8-DA8A-4CED-B40F-97B887A0F791}">
  <dimension ref="A1:AU49"/>
  <sheetViews>
    <sheetView topLeftCell="A17" workbookViewId="0">
      <selection activeCell="D18" sqref="D18"/>
    </sheetView>
  </sheetViews>
  <sheetFormatPr baseColWidth="10" defaultColWidth="8.83203125" defaultRowHeight="15"/>
  <cols>
    <col min="1" max="1" width="24.33203125" customWidth="1"/>
    <col min="2" max="9" width="8.6640625" customWidth="1"/>
  </cols>
  <sheetData>
    <row r="1" spans="1:11">
      <c r="A1" t="s">
        <v>0</v>
      </c>
    </row>
    <row r="2" spans="1:11">
      <c r="A2" t="s">
        <v>1</v>
      </c>
      <c r="K2" t="s">
        <v>13</v>
      </c>
    </row>
    <row r="3" spans="1:11">
      <c r="A3" t="s">
        <v>6</v>
      </c>
    </row>
    <row r="5" spans="1:11" ht="48">
      <c r="B5" s="2" t="s">
        <v>7</v>
      </c>
      <c r="C5" s="2" t="s">
        <v>8</v>
      </c>
      <c r="D5" s="2" t="s">
        <v>9</v>
      </c>
      <c r="E5" s="2" t="s">
        <v>18</v>
      </c>
      <c r="F5" s="2" t="s">
        <v>10</v>
      </c>
      <c r="H5" s="2" t="s">
        <v>11</v>
      </c>
      <c r="I5" s="2" t="s">
        <v>12</v>
      </c>
    </row>
    <row r="6" spans="1:11">
      <c r="A6" s="1" t="s">
        <v>5</v>
      </c>
      <c r="B6">
        <v>1.61</v>
      </c>
      <c r="C6">
        <v>1.1299999999999999</v>
      </c>
      <c r="D6">
        <v>1.22</v>
      </c>
      <c r="E6">
        <f>D6*C6*B6</f>
        <v>2.2195459999999998</v>
      </c>
      <c r="F6">
        <f>C6*B6</f>
        <v>1.8192999999999999</v>
      </c>
      <c r="H6">
        <v>1.61</v>
      </c>
    </row>
    <row r="7" spans="1:11">
      <c r="A7" s="1" t="s">
        <v>2</v>
      </c>
      <c r="B7">
        <v>1</v>
      </c>
      <c r="C7">
        <v>0.75</v>
      </c>
      <c r="D7">
        <v>1.55</v>
      </c>
      <c r="E7">
        <f t="shared" ref="E7:E9" si="0">D7*C7*B7</f>
        <v>1.1625000000000001</v>
      </c>
      <c r="F7">
        <f t="shared" ref="F7:F9" si="1">C7*B7</f>
        <v>0.75</v>
      </c>
      <c r="H7">
        <v>0.82</v>
      </c>
    </row>
    <row r="8" spans="1:11">
      <c r="A8" s="1" t="s">
        <v>3</v>
      </c>
      <c r="B8">
        <v>1</v>
      </c>
      <c r="C8">
        <v>0.88</v>
      </c>
      <c r="D8">
        <v>1.18</v>
      </c>
      <c r="E8">
        <f t="shared" si="0"/>
        <v>1.0384</v>
      </c>
      <c r="F8">
        <f t="shared" si="1"/>
        <v>0.88</v>
      </c>
      <c r="H8">
        <v>0.84</v>
      </c>
    </row>
    <row r="9" spans="1:11">
      <c r="A9" s="1" t="s">
        <v>4</v>
      </c>
      <c r="B9">
        <v>1</v>
      </c>
      <c r="C9">
        <v>0.81</v>
      </c>
      <c r="D9">
        <v>1.54</v>
      </c>
      <c r="E9">
        <f t="shared" si="0"/>
        <v>1.2474000000000001</v>
      </c>
      <c r="F9">
        <f t="shared" si="1"/>
        <v>0.81</v>
      </c>
      <c r="H9">
        <v>0.87</v>
      </c>
    </row>
    <row r="11" spans="1:11">
      <c r="A11" s="1" t="s">
        <v>14</v>
      </c>
      <c r="C11" t="s">
        <v>15</v>
      </c>
    </row>
    <row r="12" spans="1:11">
      <c r="A12" s="1" t="s">
        <v>16</v>
      </c>
      <c r="B12" t="s">
        <v>17</v>
      </c>
      <c r="C12">
        <v>1.06</v>
      </c>
      <c r="D12">
        <v>1.28</v>
      </c>
      <c r="E12">
        <f>D12*C12</f>
        <v>1.3568</v>
      </c>
    </row>
    <row r="13" spans="1:11">
      <c r="B13" t="s">
        <v>19</v>
      </c>
      <c r="C13">
        <v>0.82</v>
      </c>
      <c r="D13">
        <v>1</v>
      </c>
      <c r="E13">
        <f t="shared" ref="E13:E14" si="2">D13*C13</f>
        <v>0.82</v>
      </c>
    </row>
    <row r="14" spans="1:11">
      <c r="B14" t="s">
        <v>20</v>
      </c>
      <c r="C14">
        <v>1</v>
      </c>
      <c r="D14">
        <v>1</v>
      </c>
      <c r="E14">
        <f t="shared" si="2"/>
        <v>1</v>
      </c>
      <c r="F14" t="s">
        <v>21</v>
      </c>
    </row>
    <row r="15" spans="1:11">
      <c r="A15" t="s">
        <v>56</v>
      </c>
    </row>
    <row r="16" spans="1:11">
      <c r="A16" s="27" t="s">
        <v>42</v>
      </c>
      <c r="B16" s="16" t="s">
        <v>27</v>
      </c>
      <c r="C16" s="16" t="s">
        <v>28</v>
      </c>
      <c r="D16" s="16" t="s">
        <v>29</v>
      </c>
      <c r="E16" s="16" t="s">
        <v>30</v>
      </c>
      <c r="F16" s="16" t="s">
        <v>31</v>
      </c>
      <c r="G16" s="16" t="s">
        <v>32</v>
      </c>
      <c r="H16" s="16" t="s">
        <v>33</v>
      </c>
      <c r="I16" s="16" t="s">
        <v>34</v>
      </c>
    </row>
    <row r="17" spans="1:12">
      <c r="A17" s="13" t="s">
        <v>25</v>
      </c>
      <c r="B17" s="28">
        <f>B33/B25-1</f>
        <v>-2.0670683187450245E-2</v>
      </c>
      <c r="C17" s="28">
        <f t="shared" ref="C17:I17" si="3">C33/C25-1</f>
        <v>-0.14222960352502212</v>
      </c>
      <c r="D17" s="28">
        <f t="shared" si="3"/>
        <v>-0.10765832565140521</v>
      </c>
      <c r="E17" s="28">
        <f t="shared" si="3"/>
        <v>-9.3960825787119617E-2</v>
      </c>
      <c r="F17" s="28">
        <f t="shared" si="3"/>
        <v>-8.5256572460669977E-2</v>
      </c>
      <c r="G17" s="28">
        <f t="shared" si="3"/>
        <v>-8.0598743399389883E-2</v>
      </c>
      <c r="H17" s="28">
        <f t="shared" si="3"/>
        <v>-7.8945678557821086E-2</v>
      </c>
      <c r="I17" s="28">
        <f t="shared" si="3"/>
        <v>-7.8530146332362327E-2</v>
      </c>
      <c r="J17" s="35">
        <f>AVERAGE(C17:I17)</f>
        <v>-9.5311413673398598E-2</v>
      </c>
    </row>
    <row r="18" spans="1:12">
      <c r="A18" s="13" t="s">
        <v>57</v>
      </c>
      <c r="B18" s="28">
        <f t="shared" ref="B18:I22" si="4">B34/B26-1</f>
        <v>-9.6230366492146002E-3</v>
      </c>
      <c r="C18" s="28">
        <f t="shared" si="4"/>
        <v>-0.17562379539822637</v>
      </c>
      <c r="D18" s="28">
        <f t="shared" si="4"/>
        <v>-0.11484922374147366</v>
      </c>
      <c r="E18" s="28">
        <f t="shared" si="4"/>
        <v>-8.157265932677471E-2</v>
      </c>
      <c r="F18" s="28">
        <f t="shared" si="4"/>
        <v>-9.0884400273608779E-2</v>
      </c>
      <c r="G18" s="28">
        <f t="shared" si="4"/>
        <v>-9.2863618702240469E-2</v>
      </c>
      <c r="H18" s="28">
        <f t="shared" si="4"/>
        <v>-9.6033598681320886E-2</v>
      </c>
      <c r="I18" s="28">
        <f t="shared" si="4"/>
        <v>-9.4237612920886948E-2</v>
      </c>
      <c r="J18" s="35">
        <f t="shared" ref="J18:J22" si="5">AVERAGE(C18:I18)</f>
        <v>-0.10658070129207597</v>
      </c>
      <c r="K18" s="28" t="s">
        <v>148</v>
      </c>
    </row>
    <row r="19" spans="1:12">
      <c r="A19" s="13" t="s">
        <v>24</v>
      </c>
      <c r="B19" s="28">
        <f t="shared" si="4"/>
        <v>-1.9243010842455832E-2</v>
      </c>
      <c r="C19" s="28">
        <f t="shared" si="4"/>
        <v>-0.13801677620379049</v>
      </c>
      <c r="D19" s="28">
        <f t="shared" si="4"/>
        <v>-0.14133548064867951</v>
      </c>
      <c r="E19" s="28">
        <f t="shared" si="4"/>
        <v>-0.11778693562525822</v>
      </c>
      <c r="F19" s="28">
        <f t="shared" si="4"/>
        <v>-0.10996512207274534</v>
      </c>
      <c r="G19" s="28">
        <f t="shared" si="4"/>
        <v>-0.10144941826069809</v>
      </c>
      <c r="H19" s="28">
        <f t="shared" si="4"/>
        <v>-9.7645726779370001E-2</v>
      </c>
      <c r="I19" s="28">
        <f t="shared" si="4"/>
        <v>-9.6810669759350598E-2</v>
      </c>
      <c r="J19" s="35">
        <f t="shared" si="5"/>
        <v>-0.11471573276427031</v>
      </c>
      <c r="K19" s="28">
        <f>1.88*J18</f>
        <v>-0.20037171842910281</v>
      </c>
    </row>
    <row r="20" spans="1:12">
      <c r="A20" s="13" t="s">
        <v>43</v>
      </c>
      <c r="B20" s="28">
        <f t="shared" si="4"/>
        <v>-8.9275294666821825E-3</v>
      </c>
      <c r="C20" s="28">
        <f t="shared" si="4"/>
        <v>-0.19351824817518248</v>
      </c>
      <c r="D20" s="28">
        <f t="shared" si="4"/>
        <v>-0.1564145593426306</v>
      </c>
      <c r="E20" s="28">
        <f t="shared" si="4"/>
        <v>-0.12268637900406854</v>
      </c>
      <c r="F20" s="28">
        <f t="shared" si="4"/>
        <v>-0.10695854363976631</v>
      </c>
      <c r="G20" s="28">
        <f t="shared" si="4"/>
        <v>-9.8044724126306382E-2</v>
      </c>
      <c r="H20" s="28">
        <f t="shared" si="4"/>
        <v>-9.3146261344023151E-2</v>
      </c>
      <c r="I20" s="28">
        <f t="shared" si="4"/>
        <v>-9.1234445545644749E-2</v>
      </c>
      <c r="J20" s="35">
        <f t="shared" si="5"/>
        <v>-0.12314330873966031</v>
      </c>
    </row>
    <row r="21" spans="1:12" ht="30">
      <c r="A21" s="13" t="s">
        <v>37</v>
      </c>
      <c r="B21" s="28">
        <f t="shared" si="4"/>
        <v>-0.11810515644440345</v>
      </c>
      <c r="C21" s="28">
        <f t="shared" si="4"/>
        <v>-0.32675891814179181</v>
      </c>
      <c r="D21" s="28">
        <f t="shared" si="4"/>
        <v>-6.6429682292823866E-2</v>
      </c>
      <c r="E21" s="28">
        <f t="shared" si="4"/>
        <v>-8.4961361465659579E-2</v>
      </c>
      <c r="F21" s="28">
        <f t="shared" si="4"/>
        <v>-4.108587162278432E-2</v>
      </c>
      <c r="G21" s="28">
        <f t="shared" si="4"/>
        <v>-2.8494416634578523E-2</v>
      </c>
      <c r="H21" s="28">
        <f t="shared" si="4"/>
        <v>-1.328564128768539E-2</v>
      </c>
      <c r="I21" s="28">
        <f t="shared" si="4"/>
        <v>-7.0130967469370642E-3</v>
      </c>
      <c r="J21" s="35">
        <f t="shared" si="5"/>
        <v>-8.1146998313180077E-2</v>
      </c>
    </row>
    <row r="22" spans="1:12">
      <c r="A22" s="13" t="s">
        <v>41</v>
      </c>
      <c r="B22" s="28">
        <f t="shared" si="4"/>
        <v>-3.0137059321299953E-2</v>
      </c>
      <c r="C22" s="28">
        <f t="shared" si="4"/>
        <v>-0.15300557272271087</v>
      </c>
      <c r="D22" s="28">
        <f t="shared" si="4"/>
        <v>-9.3099757199175071E-2</v>
      </c>
      <c r="E22" s="28">
        <f t="shared" si="4"/>
        <v>-7.7804385291137201E-2</v>
      </c>
      <c r="F22" s="28">
        <f t="shared" si="4"/>
        <v>-7.9498068265270283E-2</v>
      </c>
      <c r="G22" s="28">
        <f t="shared" si="4"/>
        <v>-8.1865134303071629E-2</v>
      </c>
      <c r="H22" s="28">
        <f t="shared" si="4"/>
        <v>-8.7589276213248968E-2</v>
      </c>
      <c r="I22" s="28">
        <f t="shared" si="4"/>
        <v>-9.0631389801102968E-2</v>
      </c>
      <c r="J22" s="35">
        <f t="shared" si="5"/>
        <v>-9.4784797685102423E-2</v>
      </c>
    </row>
    <row r="23" spans="1:12">
      <c r="A23" s="26" t="s">
        <v>83</v>
      </c>
      <c r="B23" s="14"/>
      <c r="C23" s="14"/>
      <c r="D23" s="14"/>
      <c r="E23" s="14"/>
      <c r="F23" s="14"/>
      <c r="G23" s="14"/>
      <c r="H23" s="14"/>
      <c r="I23" s="14"/>
    </row>
    <row r="24" spans="1:12">
      <c r="A24" s="15"/>
      <c r="B24" s="16" t="s">
        <v>27</v>
      </c>
      <c r="C24" s="16" t="s">
        <v>28</v>
      </c>
      <c r="D24" s="16" t="s">
        <v>29</v>
      </c>
      <c r="E24" s="16" t="s">
        <v>30</v>
      </c>
      <c r="F24" s="16" t="s">
        <v>31</v>
      </c>
      <c r="G24" s="16" t="s">
        <v>32</v>
      </c>
      <c r="H24" s="16" t="s">
        <v>33</v>
      </c>
      <c r="I24" s="16" t="s">
        <v>34</v>
      </c>
      <c r="J24" s="6"/>
      <c r="K24" s="6"/>
    </row>
    <row r="25" spans="1:12">
      <c r="A25" s="23" t="s">
        <v>35</v>
      </c>
      <c r="B25" s="24">
        <v>21992.5</v>
      </c>
      <c r="C25" s="24">
        <v>22218.3</v>
      </c>
      <c r="D25" s="24">
        <v>22455.3</v>
      </c>
      <c r="E25" s="24">
        <v>22693.5</v>
      </c>
      <c r="F25" s="24">
        <v>22921.4</v>
      </c>
      <c r="G25" s="24">
        <v>23141.8</v>
      </c>
      <c r="H25" s="24">
        <v>23359.1</v>
      </c>
      <c r="I25" s="24">
        <v>23583.3</v>
      </c>
      <c r="J25" s="7"/>
      <c r="K25" s="7"/>
    </row>
    <row r="26" spans="1:12">
      <c r="A26" s="23" t="s">
        <v>36</v>
      </c>
      <c r="B26" s="24">
        <v>19100</v>
      </c>
      <c r="C26" s="24">
        <v>19249.099999999999</v>
      </c>
      <c r="D26" s="24">
        <v>19439.400000000001</v>
      </c>
      <c r="E26" s="24">
        <v>19627.900000000001</v>
      </c>
      <c r="F26" s="24">
        <v>19882.400000000001</v>
      </c>
      <c r="G26" s="24">
        <v>20074.599999999999</v>
      </c>
      <c r="H26" s="24">
        <v>20262.7</v>
      </c>
      <c r="I26" s="24">
        <v>20456.8</v>
      </c>
      <c r="J26" s="7"/>
      <c r="K26" s="7"/>
    </row>
    <row r="27" spans="1:12">
      <c r="A27" s="23" t="s">
        <v>24</v>
      </c>
      <c r="B27" s="24">
        <v>9582.7000000000007</v>
      </c>
      <c r="C27" s="24">
        <v>9692.2999999999993</v>
      </c>
      <c r="D27" s="24">
        <v>9810.7000000000007</v>
      </c>
      <c r="E27" s="24">
        <v>9924.7000000000007</v>
      </c>
      <c r="F27" s="24">
        <v>10035</v>
      </c>
      <c r="G27" s="24">
        <v>10142</v>
      </c>
      <c r="H27" s="24">
        <v>10245.200000000001</v>
      </c>
      <c r="I27" s="24">
        <v>10347</v>
      </c>
      <c r="J27" s="7"/>
      <c r="K27" s="7"/>
    </row>
    <row r="28" spans="1:12">
      <c r="A28" s="23" t="s">
        <v>43</v>
      </c>
      <c r="B28" s="24">
        <v>1713.8</v>
      </c>
      <c r="C28" s="24">
        <v>1712.5</v>
      </c>
      <c r="D28" s="24">
        <v>1728.1</v>
      </c>
      <c r="E28" s="24">
        <v>1745.1</v>
      </c>
      <c r="F28" s="24">
        <v>1763.3</v>
      </c>
      <c r="G28" s="24">
        <v>1779.8</v>
      </c>
      <c r="H28" s="24">
        <v>1796.1</v>
      </c>
      <c r="I28" s="24">
        <v>1816.2</v>
      </c>
      <c r="J28" s="7"/>
      <c r="K28" s="7"/>
    </row>
    <row r="29" spans="1:12">
      <c r="A29" s="23" t="s">
        <v>40</v>
      </c>
      <c r="B29" s="24">
        <v>2170.1</v>
      </c>
      <c r="C29" s="24">
        <v>2225.8000000000002</v>
      </c>
      <c r="D29" s="24">
        <v>2250.5</v>
      </c>
      <c r="E29" s="24">
        <v>2303.4</v>
      </c>
      <c r="F29" s="24">
        <v>2324.4</v>
      </c>
      <c r="G29" s="24">
        <v>2337.3000000000002</v>
      </c>
      <c r="H29" s="24">
        <v>2348.4</v>
      </c>
      <c r="I29" s="24">
        <v>2367</v>
      </c>
      <c r="J29" s="7"/>
      <c r="K29" s="7"/>
    </row>
    <row r="30" spans="1:12" s="4" customFormat="1" ht="15" customHeight="1">
      <c r="A30" s="25" t="s">
        <v>38</v>
      </c>
      <c r="B30" s="24">
        <v>15008.1</v>
      </c>
      <c r="C30" s="24">
        <v>15145.2</v>
      </c>
      <c r="D30" s="24">
        <v>15321.2</v>
      </c>
      <c r="E30" s="24">
        <v>15492.7</v>
      </c>
      <c r="F30" s="24">
        <v>15659.5</v>
      </c>
      <c r="G30" s="24">
        <v>15818.7</v>
      </c>
      <c r="H30" s="24">
        <v>15975.7</v>
      </c>
      <c r="I30" s="24">
        <v>16139</v>
      </c>
      <c r="J30" s="7"/>
      <c r="K30" s="7"/>
      <c r="L30" s="3"/>
    </row>
    <row r="31" spans="1:12" s="4" customFormat="1" ht="15" customHeight="1">
      <c r="A31" s="68" t="s">
        <v>26</v>
      </c>
      <c r="B31" s="68"/>
      <c r="C31" s="68"/>
      <c r="D31" s="68"/>
      <c r="E31" s="17"/>
      <c r="F31" s="17"/>
      <c r="G31" s="17"/>
      <c r="H31" s="17"/>
      <c r="I31" s="17"/>
      <c r="J31" s="8"/>
      <c r="K31" s="8"/>
    </row>
    <row r="32" spans="1:12" s="4" customFormat="1" ht="15" customHeight="1">
      <c r="A32" s="15"/>
      <c r="B32" s="16" t="s">
        <v>27</v>
      </c>
      <c r="C32" s="16" t="s">
        <v>28</v>
      </c>
      <c r="D32" s="16" t="s">
        <v>29</v>
      </c>
      <c r="E32" s="16" t="s">
        <v>30</v>
      </c>
      <c r="F32" s="16" t="s">
        <v>31</v>
      </c>
      <c r="G32" s="16" t="s">
        <v>32</v>
      </c>
      <c r="H32" s="16" t="s">
        <v>33</v>
      </c>
      <c r="I32" s="16" t="s">
        <v>34</v>
      </c>
      <c r="J32" s="6"/>
      <c r="K32" s="6"/>
    </row>
    <row r="33" spans="1:47" s="4" customFormat="1" ht="15" customHeight="1">
      <c r="A33" s="13" t="s">
        <v>35</v>
      </c>
      <c r="B33" s="18">
        <v>21537.9</v>
      </c>
      <c r="C33" s="19">
        <v>19058.2</v>
      </c>
      <c r="D33" s="19">
        <v>20037.8</v>
      </c>
      <c r="E33" s="19">
        <v>20561.2</v>
      </c>
      <c r="F33" s="19">
        <v>20967.2</v>
      </c>
      <c r="G33" s="19">
        <v>21276.6</v>
      </c>
      <c r="H33" s="19">
        <v>21515</v>
      </c>
      <c r="I33" s="19">
        <v>21731.3</v>
      </c>
      <c r="J33" s="9"/>
      <c r="K33" s="9"/>
    </row>
    <row r="34" spans="1:47" s="4" customFormat="1" ht="15" customHeight="1">
      <c r="A34" s="13" t="s">
        <v>36</v>
      </c>
      <c r="B34" s="18">
        <v>18916.2</v>
      </c>
      <c r="C34" s="19">
        <f>18148.5-270*4-300*4</f>
        <v>15868.5</v>
      </c>
      <c r="D34" s="19">
        <f>17806.8-150*4</f>
        <v>17206.8</v>
      </c>
      <c r="E34" s="19">
        <v>18026.8</v>
      </c>
      <c r="F34" s="19">
        <v>18075.400000000001</v>
      </c>
      <c r="G34" s="19">
        <v>18210.400000000001</v>
      </c>
      <c r="H34" s="19">
        <v>18316.8</v>
      </c>
      <c r="I34" s="19">
        <v>18529</v>
      </c>
      <c r="J34" s="9" t="s">
        <v>146</v>
      </c>
      <c r="K34" s="9"/>
    </row>
    <row r="35" spans="1:47" s="4" customFormat="1" ht="15" customHeight="1">
      <c r="A35" s="13" t="s">
        <v>24</v>
      </c>
      <c r="B35" s="18">
        <v>9398.2999999999993</v>
      </c>
      <c r="C35" s="19">
        <v>8354.6</v>
      </c>
      <c r="D35" s="19">
        <v>8424.1</v>
      </c>
      <c r="E35" s="19">
        <v>8755.7000000000007</v>
      </c>
      <c r="F35" s="19">
        <v>8931.5</v>
      </c>
      <c r="G35" s="19">
        <v>9113.1</v>
      </c>
      <c r="H35" s="19">
        <v>9244.7999999999993</v>
      </c>
      <c r="I35" s="19">
        <v>9345.2999999999993</v>
      </c>
      <c r="J35" s="9" t="s">
        <v>147</v>
      </c>
      <c r="K35" s="9"/>
    </row>
    <row r="36" spans="1:47">
      <c r="A36" s="13" t="s">
        <v>43</v>
      </c>
      <c r="B36" s="29">
        <v>1698.5</v>
      </c>
      <c r="C36" s="29">
        <v>1381.1</v>
      </c>
      <c r="D36" s="29">
        <v>1457.8</v>
      </c>
      <c r="E36" s="29">
        <v>1531</v>
      </c>
      <c r="F36" s="29">
        <v>1574.7</v>
      </c>
      <c r="G36" s="29">
        <v>1605.3</v>
      </c>
      <c r="H36" s="29">
        <v>1628.8</v>
      </c>
      <c r="I36" s="29">
        <v>1650.5</v>
      </c>
      <c r="J36" s="7"/>
      <c r="K36" s="7"/>
    </row>
    <row r="37" spans="1:47" s="4" customFormat="1" ht="26" customHeight="1">
      <c r="A37" s="13" t="s">
        <v>44</v>
      </c>
      <c r="B37" s="18">
        <v>1913.8</v>
      </c>
      <c r="C37" s="19">
        <v>1498.5</v>
      </c>
      <c r="D37" s="19">
        <v>2101</v>
      </c>
      <c r="E37" s="19">
        <v>2107.6999999999998</v>
      </c>
      <c r="F37" s="19">
        <v>2228.9</v>
      </c>
      <c r="G37" s="19">
        <v>2270.6999999999998</v>
      </c>
      <c r="H37" s="19">
        <v>2317.1999999999998</v>
      </c>
      <c r="I37" s="19">
        <v>2350.4</v>
      </c>
      <c r="J37" s="9"/>
      <c r="K37" s="9"/>
    </row>
    <row r="38" spans="1:47" s="4" customFormat="1" ht="15" customHeight="1">
      <c r="A38" s="13" t="s">
        <v>38</v>
      </c>
      <c r="B38" s="18">
        <v>14555.8</v>
      </c>
      <c r="C38" s="19">
        <v>12827.9</v>
      </c>
      <c r="D38" s="19">
        <v>13894.8</v>
      </c>
      <c r="E38" s="19">
        <v>14287.3</v>
      </c>
      <c r="F38" s="19">
        <v>14414.6</v>
      </c>
      <c r="G38" s="19">
        <v>14523.7</v>
      </c>
      <c r="H38" s="19">
        <v>14576.4</v>
      </c>
      <c r="I38" s="19">
        <v>14676.3</v>
      </c>
      <c r="J38" s="9"/>
      <c r="K38" s="9"/>
    </row>
    <row r="39" spans="1:47">
      <c r="A39" s="14"/>
      <c r="B39" s="14"/>
      <c r="C39" s="14"/>
      <c r="D39" s="14"/>
      <c r="E39" s="14"/>
      <c r="F39" s="14"/>
      <c r="G39" s="14"/>
      <c r="H39" s="14"/>
      <c r="I39" s="14"/>
    </row>
    <row r="40" spans="1:47">
      <c r="A40" s="14"/>
      <c r="B40" s="14"/>
      <c r="C40" s="14"/>
      <c r="D40" s="14"/>
      <c r="E40" s="14"/>
      <c r="F40" s="14"/>
      <c r="G40" s="14"/>
      <c r="H40" s="14"/>
      <c r="I40" s="14"/>
    </row>
    <row r="41" spans="1:47">
      <c r="A41" s="13"/>
      <c r="B41" s="14"/>
      <c r="C41" s="14"/>
      <c r="D41" s="14"/>
      <c r="E41" s="14"/>
      <c r="F41" s="14"/>
      <c r="G41" s="14"/>
      <c r="H41" s="14"/>
      <c r="I41" s="14"/>
    </row>
    <row r="42" spans="1:47" s="4" customFormat="1" ht="15" customHeight="1">
      <c r="A42" s="69"/>
      <c r="B42" s="69"/>
      <c r="C42" s="69"/>
      <c r="D42" s="20"/>
      <c r="E42" s="20"/>
      <c r="F42" s="20"/>
      <c r="G42" s="20"/>
      <c r="H42" s="20"/>
      <c r="I42" s="2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4" customFormat="1" ht="15" customHeight="1">
      <c r="A43" s="21"/>
      <c r="B43" s="22"/>
      <c r="C43" s="22"/>
      <c r="D43" s="22"/>
      <c r="E43" s="22"/>
      <c r="F43" s="22"/>
      <c r="G43" s="22"/>
      <c r="H43" s="22"/>
      <c r="I43" s="22"/>
      <c r="K43" s="4" t="s">
        <v>39</v>
      </c>
    </row>
    <row r="44" spans="1:47" s="10" customFormat="1" ht="15" customHeight="1">
      <c r="A44" s="23"/>
      <c r="B44" s="24"/>
      <c r="C44" s="24"/>
      <c r="D44" s="24"/>
      <c r="E44" s="24"/>
      <c r="F44" s="24"/>
      <c r="G44" s="24"/>
      <c r="H44" s="24"/>
      <c r="I44" s="2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47" s="10" customFormat="1" ht="15" customHeight="1">
      <c r="A45" s="23"/>
      <c r="B45" s="24"/>
      <c r="C45" s="24"/>
      <c r="D45" s="24"/>
      <c r="E45" s="24"/>
      <c r="F45" s="24"/>
      <c r="G45" s="24"/>
      <c r="H45" s="24"/>
      <c r="I45" s="2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spans="1:47" s="10" customFormat="1" ht="15" customHeight="1">
      <c r="A46" s="23"/>
      <c r="B46" s="24"/>
      <c r="C46" s="24"/>
      <c r="D46" s="24"/>
      <c r="E46" s="24"/>
      <c r="F46" s="24"/>
      <c r="G46" s="24"/>
      <c r="H46" s="24"/>
      <c r="I46" s="24"/>
      <c r="J46" s="5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spans="1:47" s="10" customFormat="1" ht="15" customHeight="1">
      <c r="A47" s="23"/>
      <c r="B47" s="24"/>
      <c r="C47" s="24"/>
      <c r="D47" s="24"/>
      <c r="E47" s="24"/>
      <c r="F47" s="24"/>
      <c r="G47" s="24"/>
      <c r="H47" s="24"/>
      <c r="I47" s="2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spans="1:47" s="10" customFormat="1" ht="15" customHeight="1">
      <c r="A48" s="23"/>
      <c r="B48" s="24"/>
      <c r="C48" s="24"/>
      <c r="D48" s="24"/>
      <c r="E48" s="24"/>
      <c r="F48" s="24"/>
      <c r="G48" s="24"/>
      <c r="H48" s="24"/>
      <c r="I48" s="2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spans="1:47" s="12" customFormat="1" ht="15" customHeight="1">
      <c r="A49" s="25"/>
      <c r="B49" s="24"/>
      <c r="C49" s="24"/>
      <c r="D49" s="24"/>
      <c r="E49" s="24"/>
      <c r="F49" s="24"/>
      <c r="G49" s="24"/>
      <c r="H49" s="24"/>
      <c r="I49" s="2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mergeCells count="2">
    <mergeCell ref="A31:D31"/>
    <mergeCell ref="A42:C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760-5634-4946-A079-DCDDEB160E1F}">
  <dimension ref="A1:T67"/>
  <sheetViews>
    <sheetView workbookViewId="0">
      <selection activeCell="C6" sqref="C6"/>
    </sheetView>
  </sheetViews>
  <sheetFormatPr baseColWidth="10" defaultColWidth="8.83203125" defaultRowHeight="15"/>
  <cols>
    <col min="1" max="1" width="10.5" customWidth="1"/>
    <col min="3" max="10" width="9.33203125" bestFit="1" customWidth="1"/>
    <col min="11" max="11" width="9.33203125" customWidth="1"/>
  </cols>
  <sheetData>
    <row r="1" spans="1:14">
      <c r="A1" s="36" t="s">
        <v>23</v>
      </c>
      <c r="B1" t="s">
        <v>45</v>
      </c>
    </row>
    <row r="2" spans="1:14">
      <c r="C2" s="16" t="s">
        <v>27</v>
      </c>
      <c r="D2" s="16" t="s">
        <v>28</v>
      </c>
      <c r="E2" s="16" t="s">
        <v>29</v>
      </c>
      <c r="F2" s="16" t="s">
        <v>30</v>
      </c>
      <c r="G2" s="16" t="s">
        <v>31</v>
      </c>
      <c r="H2" s="16" t="s">
        <v>32</v>
      </c>
      <c r="I2" s="16" t="s">
        <v>33</v>
      </c>
      <c r="J2" s="16" t="s">
        <v>34</v>
      </c>
      <c r="K2" s="71"/>
      <c r="M2" s="55" t="s">
        <v>94</v>
      </c>
    </row>
    <row r="3" spans="1:14">
      <c r="A3" t="s">
        <v>46</v>
      </c>
      <c r="M3" s="54">
        <v>161185</v>
      </c>
      <c r="N3" s="54">
        <v>177291</v>
      </c>
    </row>
    <row r="4" spans="1:14">
      <c r="A4" s="1" t="s">
        <v>49</v>
      </c>
      <c r="C4" s="31">
        <v>3354.0414840202702</v>
      </c>
      <c r="D4" s="31">
        <v>3396.6829680405399</v>
      </c>
      <c r="E4" s="31">
        <v>3439.32445206081</v>
      </c>
      <c r="F4" s="31">
        <v>3478.8436223346598</v>
      </c>
      <c r="G4" s="31">
        <v>3518.3627926085101</v>
      </c>
      <c r="H4" s="31">
        <v>3557.8819628823699</v>
      </c>
      <c r="I4" s="31">
        <v>3597.4011331562201</v>
      </c>
      <c r="J4" s="31">
        <v>3636.21038762539</v>
      </c>
      <c r="K4" s="31"/>
      <c r="M4" t="s">
        <v>95</v>
      </c>
    </row>
    <row r="5" spans="1:14">
      <c r="A5" s="1" t="s">
        <v>47</v>
      </c>
      <c r="C5" s="31">
        <v>148.882553191489</v>
      </c>
      <c r="D5" s="31">
        <v>157.065106382979</v>
      </c>
      <c r="E5" s="31">
        <v>165.247659574468</v>
      </c>
      <c r="F5" s="31">
        <v>167.317350016451</v>
      </c>
      <c r="G5" s="31">
        <v>169.387040458434</v>
      </c>
      <c r="H5" s="31">
        <v>171.456730900417</v>
      </c>
      <c r="I5" s="31">
        <v>173.5264213424</v>
      </c>
      <c r="J5" s="31">
        <v>179.12250596424701</v>
      </c>
      <c r="K5" s="31"/>
    </row>
    <row r="6" spans="1:14">
      <c r="A6" s="1" t="s">
        <v>98</v>
      </c>
      <c r="C6" s="31">
        <f>0.1*C13</f>
        <v>172.34000000000003</v>
      </c>
      <c r="D6" s="31">
        <f t="shared" ref="D6:J6" si="0">0.1*D13</f>
        <v>174.53103830142402</v>
      </c>
      <c r="E6" s="31">
        <f t="shared" si="0"/>
        <v>176.72207660284801</v>
      </c>
      <c r="F6" s="31">
        <f t="shared" si="0"/>
        <v>178.75268172131291</v>
      </c>
      <c r="G6" s="31">
        <f t="shared" si="0"/>
        <v>180.78328683977787</v>
      </c>
      <c r="H6" s="31">
        <f t="shared" si="0"/>
        <v>182.81389195824332</v>
      </c>
      <c r="I6" s="31">
        <f t="shared" si="0"/>
        <v>184.84449707670828</v>
      </c>
      <c r="J6" s="31">
        <f t="shared" si="0"/>
        <v>186.83862474241616</v>
      </c>
      <c r="K6" s="31"/>
    </row>
    <row r="7" spans="1:14">
      <c r="A7" t="s">
        <v>48</v>
      </c>
      <c r="C7" s="31"/>
      <c r="D7" s="31"/>
      <c r="E7" s="31"/>
      <c r="F7" s="31"/>
      <c r="G7" s="31"/>
      <c r="H7" s="31"/>
      <c r="I7" s="31"/>
      <c r="J7" s="31"/>
      <c r="K7" s="31"/>
      <c r="M7">
        <f>M3/C13/1000</f>
        <v>9.3527329697110362E-2</v>
      </c>
    </row>
    <row r="8" spans="1:14">
      <c r="A8" s="1" t="s">
        <v>49</v>
      </c>
      <c r="C8" s="31">
        <v>1861.0343485687499</v>
      </c>
      <c r="D8" s="31">
        <v>1880.14184230102</v>
      </c>
      <c r="E8" s="31">
        <v>1900.1970948012199</v>
      </c>
      <c r="F8" s="31">
        <v>1920.3538928837099</v>
      </c>
      <c r="G8" s="31">
        <v>1939.63909138496</v>
      </c>
      <c r="H8" s="31">
        <v>1958.28962999697</v>
      </c>
      <c r="I8" s="31">
        <v>1976.67784252142</v>
      </c>
      <c r="J8" s="31">
        <v>1995.6499421439801</v>
      </c>
      <c r="K8" s="31"/>
      <c r="M8" s="56">
        <v>0.1</v>
      </c>
    </row>
    <row r="9" spans="1:14">
      <c r="A9" s="1" t="s">
        <v>47</v>
      </c>
      <c r="C9" s="31">
        <v>70.183888016456805</v>
      </c>
      <c r="D9" s="31">
        <v>70.904475576493894</v>
      </c>
      <c r="E9" s="31">
        <v>71.660805300713506</v>
      </c>
      <c r="F9" s="31">
        <v>72.420964542524203</v>
      </c>
      <c r="G9" s="31">
        <v>73.148253758345504</v>
      </c>
      <c r="H9" s="31">
        <v>73.851608489223096</v>
      </c>
      <c r="I9" s="31">
        <v>74.545070299657397</v>
      </c>
      <c r="J9" s="31">
        <v>75.260551836239898</v>
      </c>
      <c r="K9" s="31"/>
    </row>
    <row r="10" spans="1:14">
      <c r="A10" s="1" t="s">
        <v>96</v>
      </c>
      <c r="E10" t="s">
        <v>97</v>
      </c>
    </row>
    <row r="11" spans="1:14">
      <c r="A11" t="s">
        <v>50</v>
      </c>
    </row>
    <row r="12" spans="1:14">
      <c r="A12" t="s">
        <v>46</v>
      </c>
    </row>
    <row r="13" spans="1:14">
      <c r="A13" s="1" t="s">
        <v>22</v>
      </c>
      <c r="C13" s="31">
        <v>1723.4</v>
      </c>
      <c r="D13" s="31">
        <f t="shared" ref="D13:J13" si="1">$C13/$C4*D4</f>
        <v>1745.31038301424</v>
      </c>
      <c r="E13" s="31">
        <f t="shared" si="1"/>
        <v>1767.2207660284798</v>
      </c>
      <c r="F13" s="31">
        <f t="shared" si="1"/>
        <v>1787.5268172131291</v>
      </c>
      <c r="G13" s="31">
        <f t="shared" si="1"/>
        <v>1807.8328683977786</v>
      </c>
      <c r="H13" s="31">
        <f t="shared" si="1"/>
        <v>1828.1389195824331</v>
      </c>
      <c r="I13" s="31">
        <f t="shared" si="1"/>
        <v>1848.4449707670826</v>
      </c>
      <c r="J13" s="31">
        <f t="shared" si="1"/>
        <v>1868.3862474241614</v>
      </c>
      <c r="K13" s="31"/>
    </row>
    <row r="14" spans="1:14">
      <c r="A14" s="1" t="s">
        <v>51</v>
      </c>
      <c r="C14" s="31">
        <v>1431.5</v>
      </c>
      <c r="D14" s="31">
        <f t="shared" ref="D14:J14" si="2">$C14/$C4*D4</f>
        <v>1449.6993230154833</v>
      </c>
      <c r="E14" s="31">
        <f t="shared" si="2"/>
        <v>1467.8986460309668</v>
      </c>
      <c r="F14" s="31">
        <f t="shared" si="2"/>
        <v>1484.7653701059496</v>
      </c>
      <c r="G14" s="31">
        <f t="shared" si="2"/>
        <v>1501.6320941809329</v>
      </c>
      <c r="H14" s="31">
        <f t="shared" si="2"/>
        <v>1518.49881825592</v>
      </c>
      <c r="I14" s="31">
        <f t="shared" si="2"/>
        <v>1535.3655423309031</v>
      </c>
      <c r="J14" s="31">
        <f t="shared" si="2"/>
        <v>1551.9292753787204</v>
      </c>
      <c r="K14" s="31"/>
      <c r="L14" s="33"/>
    </row>
    <row r="15" spans="1:14">
      <c r="A15" s="1" t="s">
        <v>47</v>
      </c>
      <c r="C15" s="37">
        <v>118.1</v>
      </c>
      <c r="D15" s="31">
        <f>D5</f>
        <v>157.065106382979</v>
      </c>
      <c r="E15" s="31">
        <f t="shared" ref="E15:J15" si="3">E5</f>
        <v>165.247659574468</v>
      </c>
      <c r="F15" s="31">
        <f t="shared" si="3"/>
        <v>167.317350016451</v>
      </c>
      <c r="G15" s="31">
        <f t="shared" si="3"/>
        <v>169.387040458434</v>
      </c>
      <c r="H15" s="31">
        <f t="shared" si="3"/>
        <v>171.456730900417</v>
      </c>
      <c r="I15" s="31">
        <f t="shared" si="3"/>
        <v>173.5264213424</v>
      </c>
      <c r="J15" s="31">
        <f t="shared" si="3"/>
        <v>179.12250596424701</v>
      </c>
      <c r="K15" s="31"/>
    </row>
    <row r="16" spans="1:14" ht="14" customHeight="1">
      <c r="A16" s="1" t="s">
        <v>53</v>
      </c>
      <c r="C16" s="31">
        <v>181.5</v>
      </c>
      <c r="D16" s="31">
        <f t="shared" ref="D16:J16" si="4">$C16/$C4*D4</f>
        <v>183.80749362718143</v>
      </c>
      <c r="E16" s="31">
        <f t="shared" si="4"/>
        <v>186.11498725436289</v>
      </c>
      <c r="F16" s="31">
        <f t="shared" si="4"/>
        <v>188.25352055482352</v>
      </c>
      <c r="G16" s="31">
        <f t="shared" si="4"/>
        <v>190.39205385528419</v>
      </c>
      <c r="H16" s="31">
        <f t="shared" si="4"/>
        <v>192.53058715574537</v>
      </c>
      <c r="I16" s="31">
        <f t="shared" si="4"/>
        <v>194.669120456206</v>
      </c>
      <c r="J16" s="31">
        <f t="shared" si="4"/>
        <v>196.76923749999145</v>
      </c>
      <c r="K16" s="31"/>
    </row>
    <row r="17" spans="1:20">
      <c r="A17" s="1" t="s">
        <v>98</v>
      </c>
      <c r="C17" s="31">
        <f>C6</f>
        <v>172.34000000000003</v>
      </c>
      <c r="D17" s="31">
        <f t="shared" ref="D17:J17" si="5">D6</f>
        <v>174.53103830142402</v>
      </c>
      <c r="E17" s="31">
        <f t="shared" si="5"/>
        <v>176.72207660284801</v>
      </c>
      <c r="F17" s="31">
        <f t="shared" si="5"/>
        <v>178.75268172131291</v>
      </c>
      <c r="G17" s="31">
        <f t="shared" si="5"/>
        <v>180.78328683977787</v>
      </c>
      <c r="H17" s="31">
        <f t="shared" si="5"/>
        <v>182.81389195824332</v>
      </c>
      <c r="I17" s="31">
        <f t="shared" si="5"/>
        <v>184.84449707670828</v>
      </c>
      <c r="J17" s="31">
        <f t="shared" si="5"/>
        <v>186.83862474241616</v>
      </c>
      <c r="K17" s="31"/>
    </row>
    <row r="18" spans="1:20">
      <c r="A18" s="41" t="s">
        <v>136</v>
      </c>
      <c r="B18" s="40"/>
      <c r="C18" s="31">
        <f>SUM(C13:C16)</f>
        <v>3454.5</v>
      </c>
      <c r="D18" s="31">
        <f t="shared" ref="D18:J18" si="6">SUM(D13:D16)</f>
        <v>3535.8823060398836</v>
      </c>
      <c r="E18" s="31">
        <f t="shared" si="6"/>
        <v>3586.4820588882772</v>
      </c>
      <c r="F18" s="31">
        <f t="shared" si="6"/>
        <v>3627.8630578903535</v>
      </c>
      <c r="G18" s="31">
        <f t="shared" si="6"/>
        <v>3669.2440568924299</v>
      </c>
      <c r="H18" s="31">
        <f t="shared" si="6"/>
        <v>3710.6250558945153</v>
      </c>
      <c r="I18" s="31">
        <f t="shared" si="6"/>
        <v>3752.0060548965916</v>
      </c>
      <c r="J18" s="31">
        <f t="shared" si="6"/>
        <v>3796.2072662671203</v>
      </c>
      <c r="K18" s="31"/>
    </row>
    <row r="19" spans="1:20">
      <c r="A19" s="41"/>
      <c r="B19" s="40"/>
      <c r="C19" s="31"/>
      <c r="D19" s="31"/>
      <c r="E19" s="31"/>
      <c r="F19" s="31"/>
      <c r="G19" s="31"/>
      <c r="H19" s="31"/>
      <c r="I19" s="31"/>
      <c r="J19" s="31"/>
      <c r="K19" s="31"/>
    </row>
    <row r="20" spans="1:20">
      <c r="A20" t="s">
        <v>52</v>
      </c>
      <c r="C20" s="31"/>
      <c r="D20" s="31"/>
      <c r="E20" s="31"/>
      <c r="F20" s="31"/>
      <c r="G20" s="31"/>
      <c r="H20" s="31"/>
      <c r="I20" s="31"/>
      <c r="J20" s="31"/>
      <c r="K20" s="31"/>
    </row>
    <row r="21" spans="1:20">
      <c r="A21" s="1" t="s">
        <v>22</v>
      </c>
      <c r="C21" s="38">
        <v>490.7</v>
      </c>
      <c r="D21" s="37">
        <f>$C21/$C8*D8</f>
        <v>495.73808389223751</v>
      </c>
      <c r="E21" s="37">
        <f t="shared" ref="E21:J21" si="7">$C21/$C8*E8</f>
        <v>501.02606388541523</v>
      </c>
      <c r="F21" s="37">
        <f t="shared" si="7"/>
        <v>506.34081846083973</v>
      </c>
      <c r="G21" s="37">
        <f t="shared" si="7"/>
        <v>511.42575787200167</v>
      </c>
      <c r="H21" s="37">
        <f t="shared" si="7"/>
        <v>516.3433561441409</v>
      </c>
      <c r="I21" s="37">
        <f t="shared" si="7"/>
        <v>521.19178674548198</v>
      </c>
      <c r="J21" s="37">
        <f t="shared" si="7"/>
        <v>526.19417119472644</v>
      </c>
      <c r="K21" s="37"/>
    </row>
    <row r="22" spans="1:20">
      <c r="A22" s="1" t="s">
        <v>51</v>
      </c>
      <c r="C22" s="38">
        <v>23.4</v>
      </c>
      <c r="D22" s="37">
        <f>$C22/$C8*D8</f>
        <v>23.64025099465734</v>
      </c>
      <c r="E22" s="37">
        <f t="shared" ref="E22:J22" si="8">$C22/$C8*E8</f>
        <v>23.892418779129233</v>
      </c>
      <c r="F22" s="37">
        <f t="shared" si="8"/>
        <v>24.145863362509981</v>
      </c>
      <c r="G22" s="37">
        <f t="shared" si="8"/>
        <v>24.388348755257464</v>
      </c>
      <c r="H22" s="37">
        <f t="shared" si="8"/>
        <v>24.622854154825546</v>
      </c>
      <c r="I22" s="37">
        <f t="shared" si="8"/>
        <v>24.854061157212708</v>
      </c>
      <c r="J22" s="37">
        <f t="shared" si="8"/>
        <v>25.092609753325043</v>
      </c>
      <c r="K22" s="37"/>
    </row>
    <row r="23" spans="1:20">
      <c r="A23" s="1" t="s">
        <v>47</v>
      </c>
      <c r="C23" s="39">
        <v>65.2</v>
      </c>
      <c r="D23" s="37">
        <f>D9</f>
        <v>70.904475576493894</v>
      </c>
      <c r="E23" s="37">
        <f t="shared" ref="E23:J23" si="9">E9</f>
        <v>71.660805300713506</v>
      </c>
      <c r="F23" s="37">
        <f t="shared" si="9"/>
        <v>72.420964542524203</v>
      </c>
      <c r="G23" s="37">
        <f t="shared" si="9"/>
        <v>73.148253758345504</v>
      </c>
      <c r="H23" s="37">
        <f t="shared" si="9"/>
        <v>73.851608489223096</v>
      </c>
      <c r="I23" s="37">
        <f t="shared" si="9"/>
        <v>74.545070299657397</v>
      </c>
      <c r="J23" s="37">
        <f t="shared" si="9"/>
        <v>75.260551836239898</v>
      </c>
      <c r="K23" s="37"/>
    </row>
    <row r="24" spans="1:20">
      <c r="A24" s="1" t="s">
        <v>53</v>
      </c>
      <c r="C24" s="38">
        <v>1355.3</v>
      </c>
      <c r="D24" s="37">
        <f>$C24/$C8*D8</f>
        <v>1369.2150501307306</v>
      </c>
      <c r="E24" s="37">
        <f t="shared" ref="E24:J24" si="10">$C24/$C8*E8</f>
        <v>1383.8203064681134</v>
      </c>
      <c r="F24" s="37">
        <f t="shared" si="10"/>
        <v>1398.4995134705034</v>
      </c>
      <c r="G24" s="37">
        <f t="shared" si="10"/>
        <v>1412.5439772649763</v>
      </c>
      <c r="H24" s="37">
        <f t="shared" si="10"/>
        <v>1426.1262494032078</v>
      </c>
      <c r="I24" s="37">
        <f t="shared" si="10"/>
        <v>1439.5174823235207</v>
      </c>
      <c r="J24" s="37">
        <f t="shared" si="10"/>
        <v>1453.3339315675826</v>
      </c>
      <c r="K24" s="37"/>
    </row>
    <row r="25" spans="1:20">
      <c r="A25" t="s">
        <v>62</v>
      </c>
      <c r="C25" s="39">
        <f t="shared" ref="C25:J25" si="11">SUM(C21:C24)</f>
        <v>1934.6</v>
      </c>
      <c r="D25" s="37">
        <f t="shared" si="11"/>
        <v>1959.4978605941194</v>
      </c>
      <c r="E25" s="37">
        <f t="shared" si="11"/>
        <v>1980.3995944333715</v>
      </c>
      <c r="F25" s="37">
        <f t="shared" si="11"/>
        <v>2001.4071598363773</v>
      </c>
      <c r="G25" s="37">
        <f t="shared" si="11"/>
        <v>2021.5063376505809</v>
      </c>
      <c r="H25" s="37">
        <f t="shared" si="11"/>
        <v>2040.9440681913973</v>
      </c>
      <c r="I25" s="37">
        <f t="shared" si="11"/>
        <v>2060.1084005258726</v>
      </c>
      <c r="J25" s="37">
        <f t="shared" si="11"/>
        <v>2079.8812643518741</v>
      </c>
      <c r="K25" s="37"/>
    </row>
    <row r="26" spans="1:20" s="36" customFormat="1">
      <c r="A26" s="43" t="s">
        <v>63</v>
      </c>
    </row>
    <row r="27" spans="1:20">
      <c r="C27" s="16" t="s">
        <v>27</v>
      </c>
      <c r="D27" s="16" t="s">
        <v>28</v>
      </c>
      <c r="E27" s="16" t="s">
        <v>29</v>
      </c>
      <c r="F27" s="16" t="s">
        <v>30</v>
      </c>
      <c r="G27" s="16" t="s">
        <v>31</v>
      </c>
      <c r="H27" s="16" t="s">
        <v>32</v>
      </c>
      <c r="I27" s="16" t="s">
        <v>33</v>
      </c>
      <c r="J27" s="16" t="s">
        <v>34</v>
      </c>
      <c r="K27" s="71"/>
    </row>
    <row r="28" spans="1:20">
      <c r="A28" t="s">
        <v>46</v>
      </c>
      <c r="M28" s="16" t="s">
        <v>27</v>
      </c>
      <c r="N28" s="16" t="s">
        <v>28</v>
      </c>
      <c r="O28" s="16" t="s">
        <v>29</v>
      </c>
      <c r="P28" s="16" t="s">
        <v>30</v>
      </c>
      <c r="Q28" s="16" t="s">
        <v>31</v>
      </c>
      <c r="R28" s="16" t="s">
        <v>32</v>
      </c>
      <c r="S28" s="16" t="s">
        <v>33</v>
      </c>
      <c r="T28" s="16" t="s">
        <v>34</v>
      </c>
    </row>
    <row r="29" spans="1:20">
      <c r="A29" s="1" t="s">
        <v>22</v>
      </c>
      <c r="C29" s="44">
        <f>(1+1.84*'GDP Changes'!B18)*C13</f>
        <v>1692.8848118952883</v>
      </c>
      <c r="D29" s="44">
        <f>(1+1.84*'GDP Changes'!C18)*D13</f>
        <v>1181.317201166517</v>
      </c>
      <c r="E29" s="44">
        <f>(1+1.84*'GDP Changes'!D18)*E13</f>
        <v>1393.7671290174223</v>
      </c>
      <c r="F29" s="44">
        <f>(1+1.84*'GDP Changes'!E18)*F13</f>
        <v>1519.2303155928082</v>
      </c>
      <c r="G29" s="44">
        <f>(1+1.84*'GDP Changes'!F18)*G13</f>
        <v>1505.5138652855585</v>
      </c>
      <c r="H29" s="44">
        <f>(1+1.84*'GDP Changes'!G18)*H13</f>
        <v>1515.7665437468279</v>
      </c>
      <c r="I29" s="44">
        <f>(1+1.84*'GDP Changes'!H18)*I13</f>
        <v>1521.821377353923</v>
      </c>
      <c r="J29" s="44">
        <f>(1+1.84*'GDP Changes'!I18)*J13</f>
        <v>1544.4132890766627</v>
      </c>
      <c r="K29" s="44"/>
      <c r="M29" t="s">
        <v>88</v>
      </c>
    </row>
    <row r="30" spans="1:20">
      <c r="A30" s="1" t="s">
        <v>51</v>
      </c>
      <c r="C30" s="44">
        <f>(1+0.88*M30)*C14</f>
        <v>1407.908925291476</v>
      </c>
      <c r="D30" s="44">
        <f>(1+0.88*N30)*D14</f>
        <v>1270.0861755922538</v>
      </c>
      <c r="E30" s="44">
        <f>(1+0.88*O30)*E14</f>
        <v>1284.3545040275512</v>
      </c>
      <c r="F30" s="44">
        <f>(1+0.88*P30)*F14</f>
        <v>1330.5456435568287</v>
      </c>
      <c r="G30" s="44">
        <f>(1+0.88*Q30)*G14</f>
        <v>1356.5188465067893</v>
      </c>
      <c r="H30" s="44">
        <f>(1+0.88*R30)*H14</f>
        <v>1383.1615761801561</v>
      </c>
      <c r="I30" s="44">
        <f>(1+0.88*S30)*I14</f>
        <v>1403.7382504526358</v>
      </c>
      <c r="J30" s="44">
        <f>(1+0.88*T30)*J14</f>
        <v>1420.0959321649361</v>
      </c>
      <c r="K30" s="44"/>
      <c r="M30" s="53">
        <f>0.95*'GDP Changes'!B19+0.05*'GDP Changes'!B20</f>
        <v>-1.8727236773667149E-2</v>
      </c>
      <c r="N30" s="53">
        <f>0.95*'GDP Changes'!C19+0.05*'GDP Changes'!C20</f>
        <v>-0.14079184980236009</v>
      </c>
      <c r="O30" s="53">
        <f>0.95*'GDP Changes'!D19+0.05*'GDP Changes'!D20</f>
        <v>-0.14208943458337708</v>
      </c>
      <c r="P30" s="53">
        <f>0.95*'GDP Changes'!E19+0.05*'GDP Changes'!E20</f>
        <v>-0.11803190779419873</v>
      </c>
      <c r="Q30" s="53">
        <f>0.95*'GDP Changes'!F19+0.05*'GDP Changes'!F20</f>
        <v>-0.10981479315109638</v>
      </c>
      <c r="R30" s="53">
        <f>0.95*'GDP Changes'!G19+0.05*'GDP Changes'!G20</f>
        <v>-0.1012791835539785</v>
      </c>
      <c r="S30" s="53">
        <f>0.95*'GDP Changes'!H19+0.05*'GDP Changes'!H20</f>
        <v>-9.7420753507602653E-2</v>
      </c>
      <c r="T30" s="53">
        <f>0.95*'GDP Changes'!I19+0.05*'GDP Changes'!I20</f>
        <v>-9.6531858548665306E-2</v>
      </c>
    </row>
    <row r="31" spans="1:20">
      <c r="A31" s="1" t="s">
        <v>47</v>
      </c>
      <c r="C31" s="44">
        <f>(1+0.82*'GDP Changes'!B21)*C15</f>
        <v>106.66246043961108</v>
      </c>
      <c r="D31" s="44">
        <f>(1+0.82*'GDP Changes'!C21)*D15</f>
        <v>114.98071850656632</v>
      </c>
      <c r="E31" s="44">
        <f>(1+0.82*'GDP Changes'!D21)*E15</f>
        <v>156.24623296383302</v>
      </c>
      <c r="F31" s="44">
        <f>(1+0.82*'GDP Changes'!E21)*F15</f>
        <v>155.66063193598734</v>
      </c>
      <c r="G31" s="44">
        <f>(1+0.82*'GDP Changes'!F21)*G15</f>
        <v>163.68032081538635</v>
      </c>
      <c r="H31" s="44">
        <f>(1+0.82*'GDP Changes'!G21)*H15</f>
        <v>167.45057208985199</v>
      </c>
      <c r="I31" s="44">
        <f>(1+0.82*'GDP Changes'!H21)*I15</f>
        <v>171.63598531632948</v>
      </c>
      <c r="J31" s="44">
        <f>(1+0.82*'GDP Changes'!I21)*J15</f>
        <v>178.09241912386454</v>
      </c>
      <c r="K31" s="44"/>
      <c r="M31" t="s">
        <v>89</v>
      </c>
      <c r="N31">
        <f>0.05*'GDP Changes'!F9+0.95*'GDP Changes'!F8</f>
        <v>0.87649999999999995</v>
      </c>
    </row>
    <row r="32" spans="1:20">
      <c r="A32" s="1" t="s">
        <v>53</v>
      </c>
      <c r="C32" s="44">
        <f>(1+1.05*'GDP Changes'!B17)*C16</f>
        <v>177.56068455155167</v>
      </c>
      <c r="D32" s="44">
        <f>(1+1.05*'GDP Changes'!C17)*D16</f>
        <v>156.35748333648328</v>
      </c>
      <c r="E32" s="44">
        <f>(1+1.05*'GDP Changes'!D17)*E16</f>
        <v>165.07631795260369</v>
      </c>
      <c r="F32" s="44">
        <f>(1+1.05*'GDP Changes'!E17)*F16</f>
        <v>169.68064149372663</v>
      </c>
      <c r="G32" s="44">
        <f>(1+1.05*'GDP Changes'!F17)*G16</f>
        <v>173.34827122306294</v>
      </c>
      <c r="H32" s="44">
        <f>(1+1.05*'GDP Changes'!G17)*H16</f>
        <v>176.23697759551058</v>
      </c>
      <c r="I32" s="44">
        <f>(1+1.05*'GDP Changes'!H17)*I16</f>
        <v>178.53242035710315</v>
      </c>
      <c r="J32" s="44">
        <f>(1+1.05*'GDP Changes'!I17)*J16</f>
        <v>180.54430463468069</v>
      </c>
      <c r="K32" s="44"/>
      <c r="L32" t="s">
        <v>141</v>
      </c>
    </row>
    <row r="33" spans="1:14">
      <c r="A33" s="1" t="s">
        <v>98</v>
      </c>
      <c r="C33" s="44">
        <f>(1-2*'GDP Changes'!B18)*C17</f>
        <v>175.65686827225133</v>
      </c>
      <c r="D33" s="44">
        <f>(1-2*'GDP Changes'!C18)*D17</f>
        <v>235.83464502400261</v>
      </c>
      <c r="E33" s="44">
        <f>(1-2*'GDP Changes'!D18)*E17</f>
        <v>217.31486323448468</v>
      </c>
      <c r="F33" s="44">
        <f>(1-2*'GDP Changes'!E18)*F17</f>
        <v>207.915344940913</v>
      </c>
      <c r="G33" s="44">
        <f>(1-2*'GDP Changes'!F18)*G17</f>
        <v>213.64404804762788</v>
      </c>
      <c r="H33" s="44">
        <f>(1-2*'GDP Changes'!G18)*H17</f>
        <v>216.76741107080909</v>
      </c>
      <c r="I33" s="44">
        <f>(1-2*'GDP Changes'!H18)*I17</f>
        <v>220.34706157813866</v>
      </c>
      <c r="J33" s="44">
        <f>(1-2*'GDP Changes'!I18)*J17</f>
        <v>222.0530767367095</v>
      </c>
      <c r="K33" s="44"/>
      <c r="M33" t="s">
        <v>140</v>
      </c>
    </row>
    <row r="34" spans="1:14">
      <c r="A34" s="42" t="s">
        <v>137</v>
      </c>
      <c r="C34" s="31">
        <f>SUM(C29:C32)</f>
        <v>3385.0168821779271</v>
      </c>
      <c r="D34" s="31">
        <f t="shared" ref="D34:J34" si="12">SUM(D29:D32)</f>
        <v>2722.7415786018205</v>
      </c>
      <c r="E34" s="31">
        <f t="shared" si="12"/>
        <v>2999.4441839614101</v>
      </c>
      <c r="F34" s="31">
        <f t="shared" si="12"/>
        <v>3175.1172325793505</v>
      </c>
      <c r="G34" s="31">
        <f t="shared" si="12"/>
        <v>3199.0613038307974</v>
      </c>
      <c r="H34" s="31">
        <f t="shared" si="12"/>
        <v>3242.6156696123467</v>
      </c>
      <c r="I34" s="31">
        <f t="shared" si="12"/>
        <v>3275.7280334799912</v>
      </c>
      <c r="J34" s="31">
        <f t="shared" si="12"/>
        <v>3323.1459450001444</v>
      </c>
      <c r="K34" s="31"/>
    </row>
    <row r="35" spans="1:14">
      <c r="A35" t="s">
        <v>52</v>
      </c>
      <c r="C35" s="44"/>
      <c r="D35" s="44"/>
      <c r="E35" s="44"/>
      <c r="F35" s="44"/>
      <c r="G35" s="44"/>
      <c r="H35" s="44"/>
      <c r="I35" s="44"/>
      <c r="J35" s="44"/>
      <c r="K35" s="44"/>
    </row>
    <row r="36" spans="1:14">
      <c r="A36" s="1" t="s">
        <v>22</v>
      </c>
      <c r="C36" s="44">
        <f>(1+1.36*'GDP Changes'!B18)*C21</f>
        <v>484.27804724607336</v>
      </c>
      <c r="D36" s="44">
        <f>(1+1.36*'GDP Changes'!C18)*D21</f>
        <v>377.33185470166273</v>
      </c>
      <c r="E36" s="44">
        <f>(1+1.36*'GDP Changes'!D18)*E21</f>
        <v>422.76832574979437</v>
      </c>
      <c r="F36" s="44">
        <f>(1+1.36*'GDP Changes'!E18)*F21</f>
        <v>450.16796722177668</v>
      </c>
      <c r="G36" s="44">
        <f>(1+1.36*'GDP Changes'!F18)*G21</f>
        <v>448.21211019940677</v>
      </c>
      <c r="H36" s="44">
        <f>(1+1.36*'GDP Changes'!G18)*H21</f>
        <v>451.13201908375055</v>
      </c>
      <c r="I36" s="44">
        <f>(1+1.36*'GDP Changes'!H18)*I21</f>
        <v>453.12117162281197</v>
      </c>
      <c r="J36" s="44">
        <f>(1+1.36*'GDP Changes'!I18)*J21</f>
        <v>458.75546682299171</v>
      </c>
      <c r="K36" s="44"/>
    </row>
    <row r="37" spans="1:14">
      <c r="A37" s="1" t="s">
        <v>54</v>
      </c>
      <c r="C37" s="44">
        <f>(1+'GDP Changes'!B19)*C22</f>
        <v>22.949713546286532</v>
      </c>
      <c r="D37" s="44">
        <f>(1+'GDP Changes'!C19)*D22</f>
        <v>20.377499763726281</v>
      </c>
      <c r="E37" s="44">
        <f>(1+'GDP Changes'!D19)*E22</f>
        <v>20.515572287121465</v>
      </c>
      <c r="F37" s="44">
        <f>(1+'GDP Changes'!E19)*F22</f>
        <v>21.301796109013736</v>
      </c>
      <c r="G37" s="44">
        <f>(1+'GDP Changes'!F19)*G22</f>
        <v>21.706481007232892</v>
      </c>
      <c r="H37" s="44">
        <f>(1+'GDP Changes'!G19)*H22</f>
        <v>22.124879924900483</v>
      </c>
      <c r="I37" s="44">
        <f>(1+'GDP Changes'!H19)*I22</f>
        <v>22.427168292097765</v>
      </c>
      <c r="J37" s="44">
        <f>(1+'GDP Changes'!I19)*J22</f>
        <v>22.663377397095633</v>
      </c>
      <c r="K37" s="44"/>
    </row>
    <row r="38" spans="1:14">
      <c r="A38" s="1" t="s">
        <v>47</v>
      </c>
      <c r="C38" s="44">
        <f>(1+0.82*'GDP Changes'!B21)*C23</f>
        <v>58.885625915856416</v>
      </c>
      <c r="D38" s="44">
        <f>(1+0.82*'GDP Changes'!C21)*D23</f>
        <v>51.906166397249173</v>
      </c>
      <c r="E38" s="44">
        <f>(1+0.82*'GDP Changes'!D21)*E23</f>
        <v>67.757273586954582</v>
      </c>
      <c r="F38" s="44">
        <f>(1+0.82*'GDP Changes'!E21)*F23</f>
        <v>67.375517870649134</v>
      </c>
      <c r="G38" s="44">
        <f>(1+0.82*'GDP Changes'!F21)*G23</f>
        <v>70.683858752401591</v>
      </c>
      <c r="H38" s="44">
        <f>(1+0.82*'GDP Changes'!G21)*H23</f>
        <v>72.126034518054027</v>
      </c>
      <c r="I38" s="44">
        <f>(1+0.82*'GDP Changes'!H21)*I23</f>
        <v>73.732959467368829</v>
      </c>
      <c r="J38" s="44">
        <f>(1+0.82*'GDP Changes'!I21)*J23</f>
        <v>74.827748020610457</v>
      </c>
      <c r="K38" s="44"/>
    </row>
    <row r="39" spans="1:14">
      <c r="A39" s="1" t="s">
        <v>53</v>
      </c>
      <c r="C39" s="44">
        <f>(1+1.1*'GDP Changes'!B22)*C24</f>
        <v>1310.3707678520263</v>
      </c>
      <c r="D39" s="44">
        <f>(1+1.1*'GDP Changes'!C22)*D24</f>
        <v>1138.7677639123422</v>
      </c>
      <c r="E39" s="44">
        <f>(1+1.1*'GDP Changes'!D22)*E24</f>
        <v>1242.1036384746969</v>
      </c>
      <c r="F39" s="44">
        <f>(1+1.1*'GDP Changes'!E22)*F24</f>
        <v>1278.8091789974237</v>
      </c>
      <c r="G39" s="44">
        <f>(1+1.1*'GDP Changes'!F22)*G24</f>
        <v>1289.0200079794381</v>
      </c>
      <c r="H39" s="44">
        <f>(1+1.1*'GDP Changes'!G22)*H24</f>
        <v>1297.7012307686255</v>
      </c>
      <c r="I39" s="44">
        <f>(1+1.1*'GDP Changes'!H22)*I24</f>
        <v>1300.8225585131815</v>
      </c>
      <c r="J39" s="44">
        <f>(1+1.1*'GDP Changes'!I22)*J24</f>
        <v>1308.4444900982044</v>
      </c>
      <c r="K39" s="44"/>
      <c r="M39" t="s">
        <v>92</v>
      </c>
    </row>
    <row r="40" spans="1:14">
      <c r="A40" s="42" t="s">
        <v>62</v>
      </c>
      <c r="C40" s="44">
        <f t="shared" ref="C40" si="13">SUM(C36:C39)</f>
        <v>1876.4841545602426</v>
      </c>
      <c r="D40" s="44">
        <f>SUM(D36:D39)</f>
        <v>1588.3832847749804</v>
      </c>
      <c r="E40" s="44">
        <f>SUM(E36:E39)</f>
        <v>1753.1448100985674</v>
      </c>
      <c r="F40" s="44">
        <f>SUM(F36:F39)</f>
        <v>1817.6544601988633</v>
      </c>
      <c r="G40" s="44">
        <f>SUM(G36:G39)</f>
        <v>1829.6224579384793</v>
      </c>
      <c r="H40" s="44">
        <f>SUM(H36:H39)</f>
        <v>1843.0841642953305</v>
      </c>
      <c r="I40" s="44">
        <f>SUM(I36:I39)</f>
        <v>1850.1038578954601</v>
      </c>
      <c r="J40" s="44">
        <f t="shared" ref="J40" si="14">SUM(J36:J39)</f>
        <v>1864.6910823389021</v>
      </c>
      <c r="K40" s="44"/>
    </row>
    <row r="41" spans="1:14">
      <c r="A41" s="43" t="s">
        <v>64</v>
      </c>
      <c r="C41" s="34"/>
      <c r="D41" s="34"/>
      <c r="E41" s="34"/>
      <c r="F41" s="34"/>
      <c r="G41" s="34"/>
      <c r="H41" s="34"/>
      <c r="I41" s="34"/>
      <c r="J41" s="34"/>
      <c r="K41" s="34"/>
    </row>
    <row r="42" spans="1:14">
      <c r="A42" t="s">
        <v>46</v>
      </c>
      <c r="L42" t="s">
        <v>55</v>
      </c>
      <c r="M42" t="s">
        <v>65</v>
      </c>
    </row>
    <row r="43" spans="1:14">
      <c r="A43" s="1" t="s">
        <v>22</v>
      </c>
      <c r="C43" s="30">
        <f>C29-C13</f>
        <v>-30.515188104711797</v>
      </c>
      <c r="D43" s="30">
        <f t="shared" ref="D43:J43" si="15">D29-D13</f>
        <v>-563.99318184772301</v>
      </c>
      <c r="E43" s="30">
        <f t="shared" si="15"/>
        <v>-373.45363701105748</v>
      </c>
      <c r="F43" s="30">
        <f t="shared" si="15"/>
        <v>-268.2965016203209</v>
      </c>
      <c r="G43" s="30">
        <f t="shared" si="15"/>
        <v>-302.31900311222012</v>
      </c>
      <c r="H43" s="30">
        <f t="shared" si="15"/>
        <v>-312.37237583560523</v>
      </c>
      <c r="I43" s="30">
        <f t="shared" si="15"/>
        <v>-326.6235934131596</v>
      </c>
      <c r="J43" s="30">
        <f t="shared" si="15"/>
        <v>-323.97295834749866</v>
      </c>
      <c r="K43" s="30"/>
      <c r="L43" s="30">
        <f>SUM(C43:E43)/4</f>
        <v>-241.99050174087307</v>
      </c>
      <c r="M43" s="30">
        <f>AVERAGE(F43:I43)</f>
        <v>-302.40286849532646</v>
      </c>
      <c r="N43">
        <f>M43/SUM(F13:I13)</f>
        <v>-4.158487553382692E-2</v>
      </c>
    </row>
    <row r="44" spans="1:14">
      <c r="A44" s="1" t="s">
        <v>51</v>
      </c>
      <c r="C44" s="30">
        <f t="shared" ref="C44:J44" si="16">C30-C14</f>
        <v>-23.591074708524047</v>
      </c>
      <c r="D44" s="30">
        <f t="shared" si="16"/>
        <v>-179.61314742322952</v>
      </c>
      <c r="E44" s="30">
        <f t="shared" si="16"/>
        <v>-183.54414200341557</v>
      </c>
      <c r="F44" s="30">
        <f t="shared" si="16"/>
        <v>-154.21972654912088</v>
      </c>
      <c r="G44" s="30">
        <f t="shared" si="16"/>
        <v>-145.11324767414362</v>
      </c>
      <c r="H44" s="30">
        <f t="shared" si="16"/>
        <v>-135.33724207576392</v>
      </c>
      <c r="I44" s="30">
        <f t="shared" si="16"/>
        <v>-131.62729187826721</v>
      </c>
      <c r="J44" s="30">
        <f t="shared" si="16"/>
        <v>-131.83334321378425</v>
      </c>
      <c r="K44" s="30"/>
      <c r="L44" s="30">
        <f t="shared" ref="L44:L48" si="17">SUM(C44:E44)/4</f>
        <v>-96.687091033792285</v>
      </c>
      <c r="M44" s="30">
        <f t="shared" ref="M44:M48" si="18">AVERAGE(F44:I44)</f>
        <v>-141.57437704432391</v>
      </c>
      <c r="N44">
        <f>M44/SUM(F14:I14)</f>
        <v>-2.3438450376657979E-2</v>
      </c>
    </row>
    <row r="45" spans="1:14">
      <c r="A45" s="1" t="s">
        <v>47</v>
      </c>
      <c r="C45" s="30">
        <f t="shared" ref="C45:J45" si="19">C31-C15</f>
        <v>-11.437539560388913</v>
      </c>
      <c r="D45" s="30">
        <f t="shared" si="19"/>
        <v>-42.084387876412677</v>
      </c>
      <c r="E45" s="30">
        <f t="shared" si="19"/>
        <v>-9.0014266106349794</v>
      </c>
      <c r="F45" s="30">
        <f t="shared" si="19"/>
        <v>-11.656718080463662</v>
      </c>
      <c r="G45" s="30">
        <f t="shared" si="19"/>
        <v>-5.7067196430476486</v>
      </c>
      <c r="H45" s="30">
        <f t="shared" si="19"/>
        <v>-4.0061588105650117</v>
      </c>
      <c r="I45" s="30">
        <f t="shared" si="19"/>
        <v>-1.8904360260705175</v>
      </c>
      <c r="J45" s="30">
        <f t="shared" si="19"/>
        <v>-1.0300868403824666</v>
      </c>
      <c r="K45" s="30"/>
      <c r="L45" s="30">
        <f t="shared" si="17"/>
        <v>-15.630838511859142</v>
      </c>
      <c r="M45" s="30">
        <f t="shared" si="18"/>
        <v>-5.81500814003671</v>
      </c>
      <c r="N45">
        <f>M45/SUM(F15:I15)</f>
        <v>-8.5303130476080888E-3</v>
      </c>
    </row>
    <row r="46" spans="1:14">
      <c r="A46" s="1" t="s">
        <v>53</v>
      </c>
      <c r="C46" s="30">
        <f t="shared" ref="C46:J47" si="20">C32-C16</f>
        <v>-3.9393154484483262</v>
      </c>
      <c r="D46" s="30">
        <f t="shared" si="20"/>
        <v>-27.450010290698145</v>
      </c>
      <c r="E46" s="30">
        <f t="shared" si="20"/>
        <v>-21.038669301759199</v>
      </c>
      <c r="F46" s="30">
        <f t="shared" si="20"/>
        <v>-18.572879061096899</v>
      </c>
      <c r="G46" s="30">
        <f t="shared" si="20"/>
        <v>-17.043782632221252</v>
      </c>
      <c r="H46" s="30">
        <f t="shared" si="20"/>
        <v>-16.293609560234785</v>
      </c>
      <c r="I46" s="30">
        <f t="shared" si="20"/>
        <v>-16.136700099102853</v>
      </c>
      <c r="J46" s="30">
        <f t="shared" si="20"/>
        <v>-16.224932865310763</v>
      </c>
      <c r="K46" s="30"/>
      <c r="L46" s="30">
        <f t="shared" si="17"/>
        <v>-13.106998760226418</v>
      </c>
      <c r="M46" s="30">
        <f t="shared" si="18"/>
        <v>-17.011742838163947</v>
      </c>
      <c r="N46">
        <f>M46/SUM(F16:I16)</f>
        <v>-2.2213028189255003E-2</v>
      </c>
    </row>
    <row r="47" spans="1:14">
      <c r="A47" s="1" t="s">
        <v>98</v>
      </c>
      <c r="C47" s="30">
        <f t="shared" si="20"/>
        <v>3.3168682722512983</v>
      </c>
      <c r="D47" s="30">
        <f t="shared" si="20"/>
        <v>61.303606722578593</v>
      </c>
      <c r="E47" s="30">
        <f t="shared" si="20"/>
        <v>40.59278663163667</v>
      </c>
      <c r="F47" s="30">
        <f t="shared" si="20"/>
        <v>29.162663219600091</v>
      </c>
      <c r="G47" s="30">
        <f t="shared" si="20"/>
        <v>32.860761207850004</v>
      </c>
      <c r="H47" s="30">
        <f t="shared" si="20"/>
        <v>33.953519112565772</v>
      </c>
      <c r="I47" s="30">
        <f t="shared" si="20"/>
        <v>35.502564501430385</v>
      </c>
      <c r="J47" s="30">
        <f t="shared" si="20"/>
        <v>35.214451994293341</v>
      </c>
      <c r="K47" s="30"/>
      <c r="L47" s="30">
        <f t="shared" ref="L47" si="21">SUM(C47:E47)/4</f>
        <v>26.30331540661664</v>
      </c>
      <c r="M47" s="30">
        <f t="shared" ref="M47" si="22">AVERAGE(F47:I47)</f>
        <v>32.869877010361563</v>
      </c>
    </row>
    <row r="48" spans="1:14">
      <c r="A48" s="42" t="s">
        <v>138</v>
      </c>
      <c r="C48" s="31">
        <f>SUM(C43:C46)</f>
        <v>-69.483117822073083</v>
      </c>
      <c r="D48" s="31">
        <f t="shared" ref="D48:J48" si="23">SUM(D43:D46)</f>
        <v>-813.14072743806332</v>
      </c>
      <c r="E48" s="31">
        <f t="shared" si="23"/>
        <v>-587.03787492686729</v>
      </c>
      <c r="F48" s="31">
        <f t="shared" si="23"/>
        <v>-452.74582531100231</v>
      </c>
      <c r="G48" s="31">
        <f t="shared" si="23"/>
        <v>-470.18275306163264</v>
      </c>
      <c r="H48" s="31">
        <f t="shared" si="23"/>
        <v>-468.00938628216898</v>
      </c>
      <c r="I48" s="31">
        <f t="shared" si="23"/>
        <v>-476.27802141660015</v>
      </c>
      <c r="J48" s="31">
        <f t="shared" si="23"/>
        <v>-473.06132126697617</v>
      </c>
      <c r="K48" s="31"/>
      <c r="L48" s="30">
        <f t="shared" si="17"/>
        <v>-367.41543004675088</v>
      </c>
      <c r="M48" s="30">
        <f t="shared" si="18"/>
        <v>-466.80399651785103</v>
      </c>
      <c r="N48">
        <f t="shared" ref="N48" si="24">M48/SUM(F18:I18)</f>
        <v>-3.162684794158676E-2</v>
      </c>
    </row>
    <row r="49" spans="1:16">
      <c r="A49" t="s">
        <v>52</v>
      </c>
      <c r="C49" s="30"/>
      <c r="D49" s="30"/>
      <c r="E49" s="30"/>
      <c r="F49" s="30"/>
      <c r="G49" s="30"/>
      <c r="H49" s="30"/>
      <c r="I49" s="30"/>
      <c r="J49" s="30"/>
      <c r="K49" s="30"/>
      <c r="N49" t="s">
        <v>58</v>
      </c>
      <c r="O49">
        <v>-0.11742494747749593</v>
      </c>
      <c r="P49">
        <v>-0.15973006301877465</v>
      </c>
    </row>
    <row r="50" spans="1:16">
      <c r="A50" s="1" t="s">
        <v>22</v>
      </c>
      <c r="C50" s="30">
        <f>C36-C21</f>
        <v>-6.4219527539266323</v>
      </c>
      <c r="D50" s="30">
        <f t="shared" ref="D50:J50" si="25">D36-D21</f>
        <v>-118.40622919057478</v>
      </c>
      <c r="E50" s="30">
        <f t="shared" si="25"/>
        <v>-78.257738135620855</v>
      </c>
      <c r="F50" s="30">
        <f t="shared" si="25"/>
        <v>-56.17285123906305</v>
      </c>
      <c r="G50" s="30">
        <f t="shared" si="25"/>
        <v>-63.213647672594902</v>
      </c>
      <c r="H50" s="30">
        <f t="shared" si="25"/>
        <v>-65.211337060390349</v>
      </c>
      <c r="I50" s="30">
        <f t="shared" si="25"/>
        <v>-68.070615122670006</v>
      </c>
      <c r="J50" s="30">
        <f t="shared" si="25"/>
        <v>-67.43870437173473</v>
      </c>
      <c r="K50" s="30"/>
      <c r="L50" s="30">
        <f>SUM(C50:E50)/4</f>
        <v>-50.771480020030566</v>
      </c>
      <c r="M50" s="30">
        <f>AVERAGE(F50:I50)</f>
        <v>-63.167112773679577</v>
      </c>
      <c r="N50" t="s">
        <v>59</v>
      </c>
      <c r="O50">
        <v>-6.7823353385216889E-2</v>
      </c>
      <c r="P50">
        <v>-9.1817786445113042E-2</v>
      </c>
    </row>
    <row r="51" spans="1:16">
      <c r="A51" s="1" t="s">
        <v>54</v>
      </c>
      <c r="C51" s="30">
        <f>C37-C22</f>
        <v>-0.45028645371346698</v>
      </c>
      <c r="D51" s="30">
        <f t="shared" ref="D51:J54" si="26">D37-D22</f>
        <v>-3.2627512309310589</v>
      </c>
      <c r="E51" s="30">
        <f t="shared" si="26"/>
        <v>-3.3768464920077683</v>
      </c>
      <c r="F51" s="30">
        <f t="shared" si="26"/>
        <v>-2.8440672534962452</v>
      </c>
      <c r="G51" s="30">
        <f t="shared" si="26"/>
        <v>-2.6818677480245725</v>
      </c>
      <c r="H51" s="30">
        <f t="shared" si="26"/>
        <v>-2.4979742299250631</v>
      </c>
      <c r="I51" s="30">
        <f t="shared" si="26"/>
        <v>-2.4268928651149437</v>
      </c>
      <c r="J51" s="30">
        <f t="shared" si="26"/>
        <v>-2.4292323562294094</v>
      </c>
      <c r="K51" s="30"/>
      <c r="L51" s="30">
        <f t="shared" ref="L51:L54" si="27">SUM(C51:E51)/4</f>
        <v>-1.7724710441630736</v>
      </c>
      <c r="M51" s="30">
        <f t="shared" ref="M51:M54" si="28">AVERAGE(F51:I51)</f>
        <v>-2.6127005241402061</v>
      </c>
      <c r="N51" t="s">
        <v>60</v>
      </c>
      <c r="O51">
        <v>-6.1329786745719511E-2</v>
      </c>
      <c r="P51">
        <v>-8.2973402756846254E-2</v>
      </c>
    </row>
    <row r="52" spans="1:16">
      <c r="A52" s="1" t="s">
        <v>47</v>
      </c>
      <c r="C52" s="30">
        <f>C38-C23</f>
        <v>-6.3143740841435871</v>
      </c>
      <c r="D52" s="30">
        <f t="shared" si="26"/>
        <v>-18.998309179244721</v>
      </c>
      <c r="E52" s="30">
        <f t="shared" si="26"/>
        <v>-3.9035317137589232</v>
      </c>
      <c r="F52" s="30">
        <f t="shared" si="26"/>
        <v>-5.0454466718750695</v>
      </c>
      <c r="G52" s="30">
        <f t="shared" si="26"/>
        <v>-2.4643950059439135</v>
      </c>
      <c r="H52" s="30">
        <f t="shared" si="26"/>
        <v>-1.7255739711690694</v>
      </c>
      <c r="I52" s="30">
        <f t="shared" si="26"/>
        <v>-0.81211083228856751</v>
      </c>
      <c r="J52" s="30">
        <f t="shared" si="26"/>
        <v>-0.43280381562944115</v>
      </c>
      <c r="K52" s="30"/>
      <c r="L52" s="30">
        <f t="shared" si="27"/>
        <v>-7.3040537442868079</v>
      </c>
      <c r="M52" s="30">
        <f t="shared" si="28"/>
        <v>-2.511881620319155</v>
      </c>
      <c r="N52" t="s">
        <v>61</v>
      </c>
      <c r="O52">
        <v>-7.2176407785954466E-2</v>
      </c>
      <c r="P52">
        <v>-9.7752908244013392E-2</v>
      </c>
    </row>
    <row r="53" spans="1:16">
      <c r="A53" s="1" t="s">
        <v>53</v>
      </c>
      <c r="C53" s="30">
        <f>C39-C24</f>
        <v>-44.929232147973607</v>
      </c>
      <c r="D53" s="30">
        <f>D39-D24</f>
        <v>-230.4472862183884</v>
      </c>
      <c r="E53" s="30">
        <f>E39-E24</f>
        <v>-141.71666799341642</v>
      </c>
      <c r="F53" s="30">
        <f>F39-F24</f>
        <v>-119.6903344730797</v>
      </c>
      <c r="G53" s="30">
        <f>G39-G24</f>
        <v>-123.52396928553821</v>
      </c>
      <c r="H53" s="30">
        <f>H39-H24</f>
        <v>-128.42501863458233</v>
      </c>
      <c r="I53" s="30">
        <f>I39-I24</f>
        <v>-138.69492381033911</v>
      </c>
      <c r="J53" s="30">
        <f t="shared" si="26"/>
        <v>-144.8894414693782</v>
      </c>
      <c r="K53" s="30"/>
      <c r="L53" s="30">
        <f t="shared" si="27"/>
        <v>-104.27329658994461</v>
      </c>
      <c r="M53" s="30">
        <f t="shared" si="28"/>
        <v>-127.58356155088484</v>
      </c>
    </row>
    <row r="54" spans="1:16">
      <c r="A54" s="42" t="s">
        <v>62</v>
      </c>
      <c r="C54" s="30">
        <f>C40-C25</f>
        <v>-58.115845439757322</v>
      </c>
      <c r="D54" s="30">
        <f>D40-D25</f>
        <v>-371.11457581913896</v>
      </c>
      <c r="E54" s="30">
        <f>E40-E25</f>
        <v>-227.25478433480407</v>
      </c>
      <c r="F54" s="30">
        <f>F40-F25</f>
        <v>-183.75269963751407</v>
      </c>
      <c r="G54" s="30">
        <f>G40-G25</f>
        <v>-191.88387971210159</v>
      </c>
      <c r="H54" s="30">
        <f>H40-H25</f>
        <v>-197.85990389606673</v>
      </c>
      <c r="I54" s="30">
        <f>I40-I25</f>
        <v>-210.00454263041252</v>
      </c>
      <c r="J54" s="30">
        <f t="shared" si="26"/>
        <v>-215.19018201297195</v>
      </c>
      <c r="K54" s="30"/>
      <c r="L54" s="30">
        <f t="shared" si="27"/>
        <v>-164.12130139842509</v>
      </c>
      <c r="M54" s="30">
        <f t="shared" si="28"/>
        <v>-195.87525646902373</v>
      </c>
    </row>
    <row r="55" spans="1:16">
      <c r="A55" s="43" t="s">
        <v>66</v>
      </c>
      <c r="C55" s="34"/>
      <c r="D55" s="34"/>
      <c r="E55" s="34"/>
      <c r="F55" s="34"/>
      <c r="G55" s="34"/>
      <c r="H55" s="34"/>
      <c r="I55" s="34"/>
      <c r="J55" s="34"/>
      <c r="K55" s="34"/>
      <c r="O55" s="70" t="s">
        <v>67</v>
      </c>
      <c r="P55" s="70"/>
    </row>
    <row r="56" spans="1:16">
      <c r="A56" t="s">
        <v>46</v>
      </c>
      <c r="L56" t="s">
        <v>55</v>
      </c>
      <c r="M56" t="s">
        <v>65</v>
      </c>
      <c r="O56" t="s">
        <v>68</v>
      </c>
    </row>
    <row r="57" spans="1:16">
      <c r="A57" s="1" t="s">
        <v>22</v>
      </c>
      <c r="C57" s="33">
        <f>C43/C13</f>
        <v>-1.770638743455483E-2</v>
      </c>
      <c r="D57" s="33">
        <f t="shared" ref="D57:J57" si="29">D43/D13</f>
        <v>-0.32314778353273649</v>
      </c>
      <c r="E57" s="33">
        <f t="shared" si="29"/>
        <v>-0.21132257168431159</v>
      </c>
      <c r="F57" s="33">
        <f t="shared" si="29"/>
        <v>-0.15009369316126547</v>
      </c>
      <c r="G57" s="33">
        <f t="shared" si="29"/>
        <v>-0.1672272965034402</v>
      </c>
      <c r="H57" s="33">
        <f t="shared" si="29"/>
        <v>-0.17086905841212247</v>
      </c>
      <c r="I57" s="33">
        <f t="shared" si="29"/>
        <v>-0.17670182157363046</v>
      </c>
      <c r="J57" s="33">
        <f t="shared" si="29"/>
        <v>-0.17339720777443202</v>
      </c>
      <c r="K57" s="33"/>
      <c r="L57" s="33">
        <f>SUM(D57:E57)/4</f>
        <v>-0.13361758880426203</v>
      </c>
      <c r="M57" s="33">
        <f>AVERAGE(F57:I57)</f>
        <v>-0.16622296741261466</v>
      </c>
      <c r="N57" t="s">
        <v>58</v>
      </c>
      <c r="O57" s="32">
        <v>-0.11742494747749593</v>
      </c>
      <c r="P57" s="32">
        <v>-0.15973006301877465</v>
      </c>
    </row>
    <row r="58" spans="1:16">
      <c r="A58" s="1" t="s">
        <v>51</v>
      </c>
      <c r="C58" s="33">
        <f>C44/C14</f>
        <v>-1.6479968360827137E-2</v>
      </c>
      <c r="D58" s="33">
        <f t="shared" ref="D58:J60" si="30">D44/D14</f>
        <v>-0.12389682782607686</v>
      </c>
      <c r="E58" s="33">
        <f t="shared" si="30"/>
        <v>-0.1250387024333719</v>
      </c>
      <c r="F58" s="33">
        <f t="shared" si="30"/>
        <v>-0.10386807885889479</v>
      </c>
      <c r="G58" s="33">
        <f t="shared" si="30"/>
        <v>-9.6637017972964825E-2</v>
      </c>
      <c r="H58" s="33">
        <f t="shared" si="30"/>
        <v>-8.9125681527501111E-2</v>
      </c>
      <c r="I58" s="33">
        <f t="shared" si="30"/>
        <v>-8.5730263086690281E-2</v>
      </c>
      <c r="J58" s="33">
        <f t="shared" si="30"/>
        <v>-8.4948035522825413E-2</v>
      </c>
      <c r="K58" s="33"/>
      <c r="L58" s="33">
        <f t="shared" ref="L58:L61" si="31">SUM(D58:E58)/4</f>
        <v>-6.2233882564862189E-2</v>
      </c>
      <c r="M58" s="33">
        <f t="shared" ref="M58:M61" si="32">AVERAGE(F58:I58)</f>
        <v>-9.3840260361512759E-2</v>
      </c>
      <c r="N58" t="s">
        <v>59</v>
      </c>
      <c r="O58" s="32">
        <v>-6.7823353385216889E-2</v>
      </c>
      <c r="P58" s="32">
        <v>-9.1817786445113042E-2</v>
      </c>
    </row>
    <row r="59" spans="1:16">
      <c r="A59" s="1" t="s">
        <v>47</v>
      </c>
      <c r="C59" s="33">
        <f>C45/C15</f>
        <v>-9.6846228284410779E-2</v>
      </c>
      <c r="D59" s="33">
        <f t="shared" si="30"/>
        <v>-0.2679423128762693</v>
      </c>
      <c r="E59" s="33">
        <f t="shared" si="30"/>
        <v>-5.4472339480115498E-2</v>
      </c>
      <c r="F59" s="33">
        <f t="shared" si="30"/>
        <v>-6.966831640184086E-2</v>
      </c>
      <c r="G59" s="33">
        <f t="shared" si="30"/>
        <v>-3.3690414730683155E-2</v>
      </c>
      <c r="H59" s="33">
        <f t="shared" si="30"/>
        <v>-2.3365421640354326E-2</v>
      </c>
      <c r="I59" s="33">
        <f t="shared" si="30"/>
        <v>-1.0894225855901994E-2</v>
      </c>
      <c r="J59" s="33">
        <f t="shared" si="30"/>
        <v>-5.7507393324883064E-3</v>
      </c>
      <c r="K59" s="33"/>
      <c r="L59" s="33">
        <f t="shared" si="31"/>
        <v>-8.0603663089096195E-2</v>
      </c>
      <c r="M59" s="33">
        <f t="shared" si="32"/>
        <v>-3.4404594657195087E-2</v>
      </c>
      <c r="N59" t="s">
        <v>60</v>
      </c>
      <c r="O59" s="32">
        <v>-6.1329786745719511E-2</v>
      </c>
      <c r="P59" s="32">
        <v>-8.2973402756846254E-2</v>
      </c>
    </row>
    <row r="60" spans="1:16">
      <c r="A60" s="1" t="s">
        <v>53</v>
      </c>
      <c r="C60" s="33">
        <f>C46/C16</f>
        <v>-2.1704217346822735E-2</v>
      </c>
      <c r="D60" s="33">
        <f t="shared" si="30"/>
        <v>-0.14934108370127322</v>
      </c>
      <c r="E60" s="33">
        <f t="shared" si="30"/>
        <v>-0.11304124193397548</v>
      </c>
      <c r="F60" s="33">
        <f t="shared" si="30"/>
        <v>-9.8658867076475587E-2</v>
      </c>
      <c r="G60" s="33">
        <f t="shared" si="30"/>
        <v>-8.9519401083703445E-2</v>
      </c>
      <c r="H60" s="33">
        <f t="shared" si="30"/>
        <v>-8.4628680569359405E-2</v>
      </c>
      <c r="I60" s="33">
        <f t="shared" si="30"/>
        <v>-8.2892962485712096E-2</v>
      </c>
      <c r="J60" s="33">
        <f t="shared" si="30"/>
        <v>-8.2456653648980402E-2</v>
      </c>
      <c r="K60" s="33"/>
      <c r="L60" s="33">
        <f t="shared" si="31"/>
        <v>-6.5595581408812179E-2</v>
      </c>
      <c r="M60" s="33">
        <f t="shared" si="32"/>
        <v>-8.892497780381263E-2</v>
      </c>
      <c r="N60" t="s">
        <v>61</v>
      </c>
      <c r="O60" s="32">
        <v>-7.2176407785954466E-2</v>
      </c>
      <c r="P60" s="32">
        <v>-9.7752908244013392E-2</v>
      </c>
    </row>
    <row r="61" spans="1:16">
      <c r="A61" s="42" t="s">
        <v>62</v>
      </c>
      <c r="C61" s="33">
        <f t="shared" ref="C61:J61" si="33">C48/C18</f>
        <v>-2.011379876163644E-2</v>
      </c>
      <c r="D61" s="33">
        <f t="shared" si="33"/>
        <v>-0.22996826733997389</v>
      </c>
      <c r="E61" s="33">
        <f t="shared" si="33"/>
        <v>-0.16368069469970661</v>
      </c>
      <c r="F61" s="33">
        <f t="shared" si="33"/>
        <v>-0.12479683441366707</v>
      </c>
      <c r="G61" s="33">
        <f t="shared" si="33"/>
        <v>-0.12814158605188056</v>
      </c>
      <c r="H61" s="33">
        <f t="shared" si="33"/>
        <v>-0.12612683287380719</v>
      </c>
      <c r="I61" s="33">
        <f t="shared" si="33"/>
        <v>-0.12693956631413986</v>
      </c>
      <c r="J61" s="33">
        <f t="shared" si="33"/>
        <v>-0.12461419729912324</v>
      </c>
      <c r="K61" s="33"/>
      <c r="L61" s="33">
        <f t="shared" si="31"/>
        <v>-9.8412240509920118E-2</v>
      </c>
      <c r="M61" s="33">
        <f t="shared" si="32"/>
        <v>-0.12650120491337366</v>
      </c>
    </row>
    <row r="62" spans="1:16">
      <c r="A62" t="s">
        <v>52</v>
      </c>
      <c r="C62" s="31"/>
      <c r="D62" s="31"/>
      <c r="E62" s="31"/>
      <c r="F62" s="31"/>
      <c r="G62" s="31"/>
      <c r="H62" s="31"/>
      <c r="I62" s="31"/>
      <c r="J62" s="31"/>
      <c r="K62" s="31"/>
      <c r="L62" s="40"/>
      <c r="M62" s="40"/>
    </row>
    <row r="63" spans="1:16">
      <c r="A63" s="1" t="s">
        <v>22</v>
      </c>
      <c r="C63" s="33">
        <f>C50/C21</f>
        <v>-1.3087329842931797E-2</v>
      </c>
      <c r="D63" s="33">
        <f t="shared" ref="D63:J63" si="34">D50/D21</f>
        <v>-0.23884836174158786</v>
      </c>
      <c r="E63" s="33">
        <f t="shared" si="34"/>
        <v>-0.15619494428840416</v>
      </c>
      <c r="F63" s="33">
        <f t="shared" si="34"/>
        <v>-0.1109388166844136</v>
      </c>
      <c r="G63" s="33">
        <f t="shared" si="34"/>
        <v>-0.12360278437210794</v>
      </c>
      <c r="H63" s="33">
        <f t="shared" si="34"/>
        <v>-0.12629452143504707</v>
      </c>
      <c r="I63" s="33">
        <f t="shared" si="34"/>
        <v>-0.13060569420659637</v>
      </c>
      <c r="J63" s="33">
        <f t="shared" si="34"/>
        <v>-0.12816315357240621</v>
      </c>
      <c r="K63" s="33"/>
      <c r="L63" s="33">
        <f>SUM(D63:E63)/2</f>
        <v>-0.19752165301499602</v>
      </c>
      <c r="M63" s="33">
        <f>AVERAGE(F63:I63)</f>
        <v>-0.12286045417454125</v>
      </c>
    </row>
    <row r="64" spans="1:16">
      <c r="A64" s="1" t="s">
        <v>54</v>
      </c>
      <c r="C64" s="33">
        <f t="shared" ref="C64:J64" si="35">C51/C22</f>
        <v>-1.9243010842455856E-2</v>
      </c>
      <c r="D64" s="33">
        <f t="shared" si="35"/>
        <v>-0.13801677620379055</v>
      </c>
      <c r="E64" s="33">
        <f t="shared" si="35"/>
        <v>-0.14133548064867957</v>
      </c>
      <c r="F64" s="33">
        <f t="shared" si="35"/>
        <v>-0.11778693562525826</v>
      </c>
      <c r="G64" s="33">
        <f t="shared" si="35"/>
        <v>-0.10996512207274528</v>
      </c>
      <c r="H64" s="33">
        <f t="shared" si="35"/>
        <v>-0.10144941826069803</v>
      </c>
      <c r="I64" s="33">
        <f t="shared" si="35"/>
        <v>-9.764572677936996E-2</v>
      </c>
      <c r="J64" s="33">
        <f t="shared" si="35"/>
        <v>-9.6810669759350543E-2</v>
      </c>
      <c r="K64" s="33"/>
      <c r="L64" s="33">
        <f t="shared" ref="L64:L67" si="36">SUM(D64:E64)/2</f>
        <v>-0.13967612842623506</v>
      </c>
      <c r="M64" s="33">
        <f t="shared" ref="M64:M67" si="37">AVERAGE(F64:I64)</f>
        <v>-0.10671180068451788</v>
      </c>
    </row>
    <row r="65" spans="1:13">
      <c r="A65" s="1" t="s">
        <v>47</v>
      </c>
      <c r="C65" s="33">
        <f t="shared" ref="C65:J65" si="38">C52/C23</f>
        <v>-9.6846228284410835E-2</v>
      </c>
      <c r="D65" s="33">
        <f t="shared" si="38"/>
        <v>-0.2679423128762693</v>
      </c>
      <c r="E65" s="33">
        <f t="shared" si="38"/>
        <v>-5.4472339480115456E-2</v>
      </c>
      <c r="F65" s="33">
        <f t="shared" si="38"/>
        <v>-6.9668316401840791E-2</v>
      </c>
      <c r="G65" s="33">
        <f t="shared" si="38"/>
        <v>-3.3690414730683162E-2</v>
      </c>
      <c r="H65" s="33">
        <f t="shared" si="38"/>
        <v>-2.3365421640354336E-2</v>
      </c>
      <c r="I65" s="33">
        <f t="shared" si="38"/>
        <v>-1.0894225855902103E-2</v>
      </c>
      <c r="J65" s="33">
        <f t="shared" si="38"/>
        <v>-5.7507393324883237E-3</v>
      </c>
      <c r="K65" s="33"/>
      <c r="L65" s="33">
        <f t="shared" si="36"/>
        <v>-0.16120732617819239</v>
      </c>
      <c r="M65" s="33">
        <f t="shared" si="37"/>
        <v>-3.4404594657195101E-2</v>
      </c>
    </row>
    <row r="66" spans="1:13">
      <c r="A66" s="1" t="s">
        <v>53</v>
      </c>
      <c r="C66" s="33">
        <f t="shared" ref="C66:J66" si="39">C53/C24</f>
        <v>-3.3150765253429949E-2</v>
      </c>
      <c r="D66" s="33">
        <f t="shared" si="39"/>
        <v>-0.1683061299949819</v>
      </c>
      <c r="E66" s="33">
        <f t="shared" si="39"/>
        <v>-0.10240973291909265</v>
      </c>
      <c r="F66" s="33">
        <f t="shared" si="39"/>
        <v>-8.5584823820250941E-2</v>
      </c>
      <c r="G66" s="33">
        <f t="shared" si="39"/>
        <v>-8.74478750917973E-2</v>
      </c>
      <c r="H66" s="33">
        <f t="shared" si="39"/>
        <v>-9.0051647733378759E-2</v>
      </c>
      <c r="I66" s="33">
        <f t="shared" si="39"/>
        <v>-9.6348203834573834E-2</v>
      </c>
      <c r="J66" s="33">
        <f t="shared" si="39"/>
        <v>-9.9694528781213265E-2</v>
      </c>
      <c r="K66" s="33"/>
      <c r="L66" s="33">
        <f t="shared" si="36"/>
        <v>-0.13535793145703728</v>
      </c>
      <c r="M66" s="33">
        <f t="shared" si="37"/>
        <v>-8.9858137620000209E-2</v>
      </c>
    </row>
    <row r="67" spans="1:13">
      <c r="A67" s="42" t="s">
        <v>62</v>
      </c>
      <c r="C67" s="33">
        <f t="shared" ref="C67:J67" si="40">C54/C25</f>
        <v>-3.0040238519465173E-2</v>
      </c>
      <c r="D67" s="33">
        <f t="shared" si="40"/>
        <v>-0.18939269252716465</v>
      </c>
      <c r="E67" s="33">
        <f t="shared" si="40"/>
        <v>-0.11475198488910306</v>
      </c>
      <c r="F67" s="33">
        <f t="shared" si="40"/>
        <v>-9.1811752913153646E-2</v>
      </c>
      <c r="G67" s="33">
        <f t="shared" si="40"/>
        <v>-9.4921235782575553E-2</v>
      </c>
      <c r="H67" s="33">
        <f t="shared" si="40"/>
        <v>-9.6945284772748441E-2</v>
      </c>
      <c r="I67" s="33">
        <f t="shared" si="40"/>
        <v>-0.10193858856009995</v>
      </c>
      <c r="J67" s="33">
        <f t="shared" si="40"/>
        <v>-0.10346272438779279</v>
      </c>
      <c r="K67" s="33"/>
      <c r="L67" s="33">
        <f t="shared" si="36"/>
        <v>-0.15207233870813386</v>
      </c>
      <c r="M67" s="33">
        <f t="shared" si="37"/>
        <v>-9.6404215507144397E-2</v>
      </c>
    </row>
  </sheetData>
  <mergeCells count="1">
    <mergeCell ref="O55:P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F6F0-2CB9-41D0-BADF-9C6797FD7760}">
  <dimension ref="A1:P63"/>
  <sheetViews>
    <sheetView topLeftCell="A24" zoomScale="150" zoomScaleNormal="150" workbookViewId="0">
      <selection activeCell="D43" sqref="D43:J43"/>
    </sheetView>
  </sheetViews>
  <sheetFormatPr baseColWidth="10" defaultColWidth="8.83203125" defaultRowHeight="15"/>
  <cols>
    <col min="1" max="1" width="15.5" customWidth="1"/>
    <col min="2" max="3" width="9" bestFit="1" customWidth="1"/>
    <col min="4" max="10" width="11.33203125" bestFit="1" customWidth="1"/>
  </cols>
  <sheetData>
    <row r="1" spans="1:13">
      <c r="B1" t="s">
        <v>69</v>
      </c>
      <c r="C1" s="22" t="s">
        <v>27</v>
      </c>
      <c r="D1" s="22" t="s">
        <v>28</v>
      </c>
      <c r="E1" s="22" t="s">
        <v>29</v>
      </c>
      <c r="F1" s="22" t="s">
        <v>30</v>
      </c>
      <c r="G1" s="22" t="s">
        <v>31</v>
      </c>
      <c r="H1" s="22" t="s">
        <v>32</v>
      </c>
      <c r="I1" s="22" t="s">
        <v>33</v>
      </c>
      <c r="J1" s="22" t="s">
        <v>34</v>
      </c>
      <c r="K1" s="45"/>
      <c r="L1" s="50"/>
      <c r="M1" s="50"/>
    </row>
    <row r="2" spans="1:13">
      <c r="A2" s="1" t="s">
        <v>70</v>
      </c>
      <c r="B2" s="1"/>
      <c r="C2" s="47">
        <v>3.8330000000000002</v>
      </c>
      <c r="D2" s="48">
        <v>15.067</v>
      </c>
      <c r="E2" s="48">
        <v>15.773999999999999</v>
      </c>
      <c r="F2" s="48">
        <v>11.51</v>
      </c>
      <c r="G2" s="48">
        <v>10.244</v>
      </c>
      <c r="H2" s="48">
        <v>9.41</v>
      </c>
      <c r="I2" s="48">
        <v>8.8970000000000002</v>
      </c>
      <c r="J2" s="48">
        <v>8.5839999999999996</v>
      </c>
      <c r="K2" s="48"/>
    </row>
    <row r="3" spans="1:13">
      <c r="A3" s="1" t="s">
        <v>71</v>
      </c>
      <c r="B3" s="1"/>
      <c r="C3" s="47">
        <v>4.4000000000000004</v>
      </c>
      <c r="D3" s="49">
        <f>C3</f>
        <v>4.4000000000000004</v>
      </c>
      <c r="E3" s="49">
        <f t="shared" ref="E3:J3" si="0">D3</f>
        <v>4.4000000000000004</v>
      </c>
      <c r="F3" s="49">
        <f t="shared" si="0"/>
        <v>4.4000000000000004</v>
      </c>
      <c r="G3" s="49">
        <f t="shared" si="0"/>
        <v>4.4000000000000004</v>
      </c>
      <c r="H3" s="49">
        <f t="shared" si="0"/>
        <v>4.4000000000000004</v>
      </c>
      <c r="I3" s="49">
        <f t="shared" si="0"/>
        <v>4.4000000000000004</v>
      </c>
      <c r="J3" s="49">
        <f t="shared" si="0"/>
        <v>4.4000000000000004</v>
      </c>
      <c r="K3" s="48"/>
    </row>
    <row r="4" spans="1:13">
      <c r="A4" s="1" t="s">
        <v>72</v>
      </c>
      <c r="B4" s="1"/>
      <c r="C4" s="47">
        <f>C2-C3</f>
        <v>-0.56700000000000017</v>
      </c>
      <c r="D4" s="47">
        <f t="shared" ref="D4:J4" si="1">D2-D3</f>
        <v>10.667</v>
      </c>
      <c r="E4" s="47">
        <f t="shared" si="1"/>
        <v>11.373999999999999</v>
      </c>
      <c r="F4" s="47">
        <f t="shared" si="1"/>
        <v>7.1099999999999994</v>
      </c>
      <c r="G4" s="47">
        <f t="shared" si="1"/>
        <v>5.8439999999999994</v>
      </c>
      <c r="H4" s="47">
        <f t="shared" si="1"/>
        <v>5.01</v>
      </c>
      <c r="I4" s="47">
        <f t="shared" si="1"/>
        <v>4.4969999999999999</v>
      </c>
      <c r="J4" s="47">
        <f t="shared" si="1"/>
        <v>4.1839999999999993</v>
      </c>
      <c r="K4" s="48"/>
    </row>
    <row r="5" spans="1:13">
      <c r="A5" s="1" t="s">
        <v>99</v>
      </c>
      <c r="B5" s="1"/>
      <c r="C5" s="47">
        <f>C4</f>
        <v>-0.56700000000000017</v>
      </c>
      <c r="D5" s="47">
        <f>(C4*3+D4)/4</f>
        <v>2.2414999999999998</v>
      </c>
      <c r="E5" s="47">
        <f>(E4+D4+2*C4)/4</f>
        <v>5.2267499999999991</v>
      </c>
      <c r="F5" s="47">
        <f>AVERAGE(C4:F4)</f>
        <v>7.145999999999999</v>
      </c>
      <c r="G5" s="47">
        <f>AVERAGE(D4:G4)</f>
        <v>8.7487499999999994</v>
      </c>
      <c r="H5" s="47">
        <f>AVERAGE(E4:H4)</f>
        <v>7.3344999999999985</v>
      </c>
      <c r="I5" s="47">
        <f>AVERAGE(F4:I4)</f>
        <v>5.6152499999999996</v>
      </c>
      <c r="J5" s="47">
        <f>AVERAGE(G4:J4)</f>
        <v>4.8837499999999991</v>
      </c>
      <c r="K5" s="48"/>
    </row>
    <row r="7" spans="1:13">
      <c r="A7" s="36" t="s">
        <v>86</v>
      </c>
      <c r="B7" t="s">
        <v>100</v>
      </c>
    </row>
    <row r="8" spans="1:13">
      <c r="B8" t="s">
        <v>101</v>
      </c>
      <c r="C8" s="14"/>
      <c r="G8">
        <f>0.6*25</f>
        <v>15</v>
      </c>
    </row>
    <row r="9" spans="1:13">
      <c r="B9" t="s">
        <v>102</v>
      </c>
      <c r="C9" s="14"/>
    </row>
    <row r="10" spans="1:13">
      <c r="B10" t="s">
        <v>103</v>
      </c>
      <c r="C10" s="14"/>
    </row>
    <row r="11" spans="1:13">
      <c r="A11" t="s">
        <v>104</v>
      </c>
      <c r="B11" s="60">
        <v>25</v>
      </c>
      <c r="C11" s="14" t="s">
        <v>105</v>
      </c>
      <c r="G11" t="s">
        <v>106</v>
      </c>
      <c r="H11" t="s">
        <v>107</v>
      </c>
      <c r="I11" t="s">
        <v>108</v>
      </c>
    </row>
    <row r="12" spans="1:13">
      <c r="A12" t="s">
        <v>109</v>
      </c>
      <c r="B12">
        <f>G12/7</f>
        <v>2.1428571428571428</v>
      </c>
      <c r="C12" t="s">
        <v>110</v>
      </c>
      <c r="G12">
        <v>15</v>
      </c>
      <c r="H12">
        <v>15</v>
      </c>
      <c r="I12">
        <v>5</v>
      </c>
    </row>
    <row r="13" spans="1:13" ht="11.5" customHeight="1">
      <c r="A13" s="60" t="s">
        <v>111</v>
      </c>
      <c r="B13" s="60">
        <f>B11-B12</f>
        <v>22.857142857142858</v>
      </c>
      <c r="C13" s="14" t="s">
        <v>105</v>
      </c>
    </row>
    <row r="14" spans="1:13">
      <c r="A14" t="s">
        <v>112</v>
      </c>
      <c r="B14" s="61">
        <f>0.6*B13</f>
        <v>13.714285714285714</v>
      </c>
      <c r="C14" s="14" t="s">
        <v>105</v>
      </c>
    </row>
    <row r="15" spans="1:13">
      <c r="A15" t="s">
        <v>113</v>
      </c>
      <c r="B15" s="61">
        <f>B13-B14</f>
        <v>9.1428571428571441</v>
      </c>
      <c r="C15" s="14" t="s">
        <v>105</v>
      </c>
    </row>
    <row r="16" spans="1:13">
      <c r="A16" t="s">
        <v>114</v>
      </c>
      <c r="B16">
        <f>35/52</f>
        <v>0.67307692307692313</v>
      </c>
      <c r="C16" s="14">
        <v>10</v>
      </c>
      <c r="D16">
        <v>5</v>
      </c>
    </row>
    <row r="17" spans="1:14" ht="16">
      <c r="A17" s="46" t="s">
        <v>115</v>
      </c>
      <c r="B17" s="62">
        <f>B15-B16</f>
        <v>8.4697802197802208</v>
      </c>
      <c r="C17" s="62"/>
      <c r="D17" s="46"/>
      <c r="L17">
        <v>12</v>
      </c>
      <c r="M17">
        <v>39</v>
      </c>
      <c r="N17" t="s">
        <v>87</v>
      </c>
    </row>
    <row r="18" spans="1:14">
      <c r="C18" s="22" t="s">
        <v>27</v>
      </c>
      <c r="D18" s="22" t="s">
        <v>28</v>
      </c>
      <c r="E18" s="22" t="s">
        <v>29</v>
      </c>
      <c r="F18" s="22" t="s">
        <v>30</v>
      </c>
      <c r="G18" s="22" t="s">
        <v>31</v>
      </c>
      <c r="H18" s="22" t="s">
        <v>32</v>
      </c>
      <c r="I18" s="22" t="s">
        <v>33</v>
      </c>
      <c r="J18" s="22" t="s">
        <v>34</v>
      </c>
      <c r="L18" s="50" t="s">
        <v>55</v>
      </c>
      <c r="M18" s="50" t="s">
        <v>65</v>
      </c>
    </row>
    <row r="19" spans="1:14">
      <c r="A19" t="s">
        <v>86</v>
      </c>
      <c r="B19" t="s">
        <v>116</v>
      </c>
      <c r="C19">
        <v>1</v>
      </c>
      <c r="D19" s="52">
        <v>13</v>
      </c>
      <c r="E19" s="52">
        <v>12</v>
      </c>
      <c r="F19" s="52">
        <v>0</v>
      </c>
      <c r="G19" s="52"/>
      <c r="H19" s="52"/>
      <c r="I19" s="52"/>
      <c r="J19" s="52"/>
    </row>
    <row r="20" spans="1:14">
      <c r="B20" t="s">
        <v>117</v>
      </c>
      <c r="D20" s="52"/>
      <c r="E20" s="63">
        <v>1</v>
      </c>
      <c r="F20" s="52">
        <v>12</v>
      </c>
      <c r="G20" s="52" t="s">
        <v>85</v>
      </c>
      <c r="H20" s="52"/>
      <c r="I20" s="52"/>
      <c r="J20" t="s">
        <v>122</v>
      </c>
    </row>
    <row r="21" spans="1:14">
      <c r="B21" t="s">
        <v>118</v>
      </c>
      <c r="C21" s="58">
        <f>B17*4</f>
        <v>33.879120879120883</v>
      </c>
      <c r="D21" s="58">
        <f>D19*B17*4</f>
        <v>440.4285714285715</v>
      </c>
      <c r="E21" s="58">
        <f>D21*E4/D4*E19/D19</f>
        <v>433.49521426356529</v>
      </c>
      <c r="F21" s="58">
        <f>E21/4</f>
        <v>108.37380356589132</v>
      </c>
      <c r="G21" s="58">
        <f>F21/3</f>
        <v>36.124601188630443</v>
      </c>
      <c r="H21" s="58">
        <f>G21/3</f>
        <v>12.041533729543481</v>
      </c>
      <c r="I21" s="58">
        <f>H21/3</f>
        <v>4.0138445765144937</v>
      </c>
      <c r="J21" s="58">
        <f>I21/3</f>
        <v>1.337948192171498</v>
      </c>
    </row>
    <row r="22" spans="1:14">
      <c r="B22" t="s">
        <v>121</v>
      </c>
      <c r="C22" s="64"/>
      <c r="D22" s="58">
        <v>30</v>
      </c>
      <c r="E22" s="58">
        <v>68</v>
      </c>
      <c r="F22" s="58">
        <f>M17*8-100</f>
        <v>212</v>
      </c>
      <c r="G22">
        <v>100</v>
      </c>
    </row>
    <row r="23" spans="1:14">
      <c r="A23" t="s">
        <v>119</v>
      </c>
      <c r="C23" s="58"/>
      <c r="D23" s="58"/>
      <c r="E23" s="58"/>
      <c r="F23" s="58"/>
      <c r="G23" s="57"/>
    </row>
    <row r="24" spans="1:14">
      <c r="A24" t="s">
        <v>120</v>
      </c>
      <c r="B24" t="s">
        <v>48</v>
      </c>
      <c r="C24" s="58">
        <f>C21+0.5*C22</f>
        <v>33.879120879120883</v>
      </c>
      <c r="D24" s="58">
        <f t="shared" ref="D24:J24" si="2">D21+0.5*D22</f>
        <v>455.4285714285715</v>
      </c>
      <c r="E24" s="58">
        <f t="shared" si="2"/>
        <v>467.49521426356529</v>
      </c>
      <c r="F24" s="58">
        <f t="shared" si="2"/>
        <v>214.37380356589131</v>
      </c>
      <c r="G24" s="58">
        <f t="shared" si="2"/>
        <v>86.124601188630436</v>
      </c>
      <c r="H24" s="58">
        <f t="shared" si="2"/>
        <v>12.041533729543481</v>
      </c>
      <c r="I24" s="58">
        <f t="shared" si="2"/>
        <v>4.0138445765144937</v>
      </c>
      <c r="J24" s="58">
        <f t="shared" si="2"/>
        <v>1.337948192171498</v>
      </c>
      <c r="L24" s="58">
        <f>SUM(D24:E24)/4</f>
        <v>230.7309464230342</v>
      </c>
      <c r="M24" s="58">
        <f>AVERAGE(F24:I24)</f>
        <v>79.138445765144922</v>
      </c>
    </row>
    <row r="25" spans="1:14">
      <c r="B25" t="s">
        <v>46</v>
      </c>
      <c r="C25" s="58">
        <f>0.5*C22</f>
        <v>0</v>
      </c>
      <c r="D25" s="58">
        <f t="shared" ref="D25:J25" si="3">0.5*D22</f>
        <v>15</v>
      </c>
      <c r="E25" s="58">
        <f t="shared" si="3"/>
        <v>34</v>
      </c>
      <c r="F25" s="58">
        <f t="shared" si="3"/>
        <v>106</v>
      </c>
      <c r="G25" s="58">
        <f t="shared" si="3"/>
        <v>50</v>
      </c>
      <c r="H25" s="58">
        <f t="shared" si="3"/>
        <v>0</v>
      </c>
      <c r="I25" s="58">
        <f t="shared" si="3"/>
        <v>0</v>
      </c>
      <c r="J25" s="58">
        <f t="shared" si="3"/>
        <v>0</v>
      </c>
      <c r="L25" s="58">
        <f>SUM(D25:E25)/4</f>
        <v>12.25</v>
      </c>
      <c r="M25" s="58">
        <f>AVERAGE(F25:I25)</f>
        <v>39</v>
      </c>
    </row>
    <row r="26" spans="1:14">
      <c r="B26" t="s">
        <v>62</v>
      </c>
      <c r="C26" s="58">
        <f>C25+C24</f>
        <v>33.879120879120883</v>
      </c>
      <c r="D26" s="58">
        <f t="shared" ref="D26:M26" si="4">D25+D24</f>
        <v>470.4285714285715</v>
      </c>
      <c r="E26" s="58">
        <f t="shared" si="4"/>
        <v>501.49521426356529</v>
      </c>
      <c r="F26" s="58">
        <f t="shared" si="4"/>
        <v>320.37380356589131</v>
      </c>
      <c r="G26" s="58">
        <f t="shared" si="4"/>
        <v>136.12460118863044</v>
      </c>
      <c r="H26" s="58">
        <f t="shared" si="4"/>
        <v>12.041533729543481</v>
      </c>
      <c r="I26" s="58">
        <f t="shared" si="4"/>
        <v>4.0138445765144937</v>
      </c>
      <c r="J26" s="58">
        <f t="shared" si="4"/>
        <v>1.337948192171498</v>
      </c>
      <c r="L26" s="58">
        <f t="shared" si="4"/>
        <v>242.9809464230342</v>
      </c>
      <c r="M26" s="58">
        <f t="shared" si="4"/>
        <v>118.13844576514492</v>
      </c>
    </row>
    <row r="27" spans="1:14">
      <c r="A27" s="36" t="s">
        <v>123</v>
      </c>
      <c r="C27" s="58"/>
      <c r="D27" s="58"/>
      <c r="E27" s="58"/>
      <c r="F27" s="58"/>
      <c r="G27" s="58"/>
      <c r="H27" s="58"/>
      <c r="I27" s="58"/>
      <c r="J27" s="58"/>
      <c r="L27" s="58"/>
      <c r="M27" s="58"/>
    </row>
    <row r="28" spans="1:14">
      <c r="A28" t="s">
        <v>127</v>
      </c>
      <c r="C28" s="58"/>
      <c r="D28" s="58"/>
      <c r="E28" s="58"/>
      <c r="F28" s="58"/>
      <c r="G28" s="58"/>
      <c r="H28" s="58"/>
      <c r="I28" s="58"/>
      <c r="J28" s="58"/>
      <c r="L28" s="58"/>
      <c r="M28" s="58"/>
    </row>
    <row r="29" spans="1:14">
      <c r="A29" t="s">
        <v>139</v>
      </c>
      <c r="C29" s="58"/>
      <c r="D29" s="58"/>
      <c r="E29" s="58"/>
      <c r="F29" s="58"/>
      <c r="G29" s="58"/>
      <c r="H29" s="58"/>
      <c r="I29" s="58"/>
      <c r="J29" s="58"/>
      <c r="L29" s="58"/>
      <c r="M29" s="58"/>
    </row>
    <row r="30" spans="1:14">
      <c r="A30" t="s">
        <v>124</v>
      </c>
      <c r="C30" s="58"/>
      <c r="D30" s="58"/>
      <c r="E30" s="58"/>
      <c r="F30" s="58"/>
      <c r="G30" s="58"/>
      <c r="H30" s="58"/>
      <c r="I30" s="58"/>
      <c r="J30" s="58"/>
      <c r="L30" s="58"/>
      <c r="M30" s="58"/>
    </row>
    <row r="31" spans="1:14">
      <c r="A31" t="s">
        <v>125</v>
      </c>
      <c r="C31" s="58" t="s">
        <v>126</v>
      </c>
      <c r="D31" s="58"/>
      <c r="F31" s="58"/>
      <c r="G31" s="57"/>
      <c r="L31" s="52"/>
      <c r="M31" s="52"/>
    </row>
    <row r="32" spans="1:14">
      <c r="A32" s="58">
        <v>657</v>
      </c>
      <c r="B32" t="s">
        <v>62</v>
      </c>
      <c r="D32" s="57">
        <f>A32+D33</f>
        <v>722.7</v>
      </c>
      <c r="E32" s="57">
        <f>D32+E33</f>
        <v>792.75454204556115</v>
      </c>
      <c r="F32" s="57">
        <f t="shared" ref="F32:J32" si="5">E32+F33</f>
        <v>836.54632980219378</v>
      </c>
      <c r="G32" s="57">
        <f t="shared" si="5"/>
        <v>872.54059248148508</v>
      </c>
      <c r="H32" s="57">
        <f t="shared" si="5"/>
        <v>903.39809693447091</v>
      </c>
      <c r="I32" s="57">
        <f t="shared" si="5"/>
        <v>931.09594075185157</v>
      </c>
      <c r="J32" s="57">
        <f t="shared" si="5"/>
        <v>956.86596043873635</v>
      </c>
      <c r="L32" s="58">
        <f>SUM(D33:E33)/4</f>
        <v>33.938635511390274</v>
      </c>
      <c r="M32" s="58">
        <f>AVERAGE(F33:I33)</f>
        <v>34.585349676572612</v>
      </c>
    </row>
    <row r="33" spans="1:16">
      <c r="A33" s="58"/>
      <c r="D33" s="58">
        <f>0.1*A32</f>
        <v>65.7</v>
      </c>
      <c r="E33" s="58">
        <f>D33*E4/D4</f>
        <v>70.054542045561078</v>
      </c>
      <c r="F33" s="58">
        <f>E33*F4/E4</f>
        <v>43.791787756632608</v>
      </c>
      <c r="G33" s="58">
        <f>F33*G4/F4</f>
        <v>35.994262679291275</v>
      </c>
      <c r="H33" s="58">
        <f>G33*H4/G4</f>
        <v>30.857504452985847</v>
      </c>
      <c r="I33" s="58">
        <f>H33*I4/H4</f>
        <v>27.697843817380711</v>
      </c>
      <c r="J33" s="58">
        <f>I33*J4/I4</f>
        <v>25.770019686884783</v>
      </c>
      <c r="L33" s="58"/>
      <c r="M33" s="58"/>
    </row>
    <row r="34" spans="1:16">
      <c r="B34" t="s">
        <v>46</v>
      </c>
      <c r="C34" s="58"/>
      <c r="D34" s="58">
        <f>0.8*D33</f>
        <v>52.56</v>
      </c>
      <c r="E34" s="58">
        <f>0.8*E33</f>
        <v>56.043633636448867</v>
      </c>
      <c r="F34" s="58">
        <f>0.8*F33</f>
        <v>35.03343020530609</v>
      </c>
      <c r="G34" s="58">
        <f>0.8*G33</f>
        <v>28.795410143433021</v>
      </c>
      <c r="H34" s="58">
        <f>0.8*H33</f>
        <v>24.686003562388677</v>
      </c>
      <c r="I34" s="58">
        <f>0.8*I33</f>
        <v>22.158275053904571</v>
      </c>
      <c r="J34" s="58">
        <f>0.8*J33</f>
        <v>20.616015749507827</v>
      </c>
      <c r="L34" s="58">
        <f>SUM(D34:E34)/4</f>
        <v>27.150908409112219</v>
      </c>
      <c r="M34" s="58">
        <f>AVERAGE(F34:I34)</f>
        <v>27.66827974125809</v>
      </c>
    </row>
    <row r="35" spans="1:16">
      <c r="C35" s="58"/>
      <c r="D35" s="58"/>
      <c r="E35" s="58"/>
      <c r="F35" s="58"/>
      <c r="G35" s="58"/>
      <c r="H35" s="58"/>
      <c r="I35" s="58"/>
      <c r="J35" s="58"/>
      <c r="L35" s="58"/>
      <c r="M35" s="58"/>
    </row>
    <row r="36" spans="1:16">
      <c r="A36" s="58">
        <f>0.35*A32</f>
        <v>229.95</v>
      </c>
      <c r="B36" t="s">
        <v>48</v>
      </c>
      <c r="D36" s="58">
        <f>0.2*D33</f>
        <v>13.14</v>
      </c>
      <c r="E36" s="58">
        <f>0.2*E33</f>
        <v>14.010908409112217</v>
      </c>
      <c r="F36" s="58">
        <f>0.2*F33</f>
        <v>8.7583575513265224</v>
      </c>
      <c r="G36" s="58">
        <f>0.2*G33</f>
        <v>7.1988525358582551</v>
      </c>
      <c r="H36" s="58">
        <f>0.2*H33</f>
        <v>6.1715008905971693</v>
      </c>
      <c r="I36" s="58">
        <f>0.2*I33</f>
        <v>5.5395687634761428</v>
      </c>
      <c r="J36" s="58">
        <f>0.2*J33</f>
        <v>5.1540039373769568</v>
      </c>
      <c r="L36" s="58">
        <f>SUM(D36:E36)/4</f>
        <v>6.7877271022780548</v>
      </c>
      <c r="M36" s="58">
        <f>AVERAGE(F36:I36)</f>
        <v>6.9170699353145224</v>
      </c>
    </row>
    <row r="37" spans="1:16">
      <c r="C37" s="58"/>
      <c r="D37" s="58"/>
      <c r="F37" s="58"/>
      <c r="G37" s="57"/>
      <c r="L37" s="58"/>
      <c r="M37" s="32"/>
    </row>
    <row r="38" spans="1:16">
      <c r="A38" s="36" t="s">
        <v>93</v>
      </c>
      <c r="B38" s="54"/>
      <c r="C38" s="54">
        <v>54852</v>
      </c>
      <c r="D38" s="67">
        <f>0.6*C38/1000</f>
        <v>32.911199999999994</v>
      </c>
      <c r="E38" s="58">
        <f>D38*E4/D4</f>
        <v>35.092527308521596</v>
      </c>
      <c r="F38" s="58">
        <f t="shared" ref="F38:J38" si="6">E38*F4/E4</f>
        <v>21.936686228555352</v>
      </c>
      <c r="G38" s="58">
        <f t="shared" si="6"/>
        <v>18.030660241867437</v>
      </c>
      <c r="H38" s="58">
        <f t="shared" si="6"/>
        <v>15.457496203243645</v>
      </c>
      <c r="I38" s="58">
        <f t="shared" si="6"/>
        <v>13.874722639917501</v>
      </c>
      <c r="J38" s="58">
        <f t="shared" si="6"/>
        <v>12.909014793287707</v>
      </c>
      <c r="K38" s="45"/>
      <c r="L38" s="58">
        <f>SUM(D38:E38)/4</f>
        <v>17.000931827130398</v>
      </c>
      <c r="M38" s="58">
        <f>AVERAGE(F38:I38)</f>
        <v>17.324891328395985</v>
      </c>
    </row>
    <row r="39" spans="1:16">
      <c r="A39" t="s">
        <v>133</v>
      </c>
      <c r="B39" s="54"/>
      <c r="C39" s="54" t="s">
        <v>85</v>
      </c>
    </row>
    <row r="40" spans="1:16">
      <c r="A40" t="s">
        <v>128</v>
      </c>
      <c r="B40" s="14" t="s">
        <v>129</v>
      </c>
    </row>
    <row r="41" spans="1:16">
      <c r="A41" s="66" t="s">
        <v>130</v>
      </c>
      <c r="B41" s="54" t="s">
        <v>134</v>
      </c>
      <c r="C41">
        <f>8551/4900</f>
        <v>1.7451020408163265</v>
      </c>
      <c r="D41" t="s">
        <v>131</v>
      </c>
      <c r="F41" t="s">
        <v>132</v>
      </c>
    </row>
    <row r="42" spans="1:16">
      <c r="C42" s="58"/>
      <c r="D42" s="58"/>
      <c r="E42" s="65"/>
    </row>
    <row r="43" spans="1:16">
      <c r="A43" s="36" t="s">
        <v>135</v>
      </c>
      <c r="C43" s="58">
        <v>3</v>
      </c>
      <c r="D43" s="58">
        <f>'Pre and Post Tax Collections'!D47</f>
        <v>61.303606722578593</v>
      </c>
      <c r="E43" s="58">
        <f>'Pre and Post Tax Collections'!E47</f>
        <v>40.59278663163667</v>
      </c>
      <c r="F43" s="58">
        <f>'Pre and Post Tax Collections'!F47</f>
        <v>29.162663219600091</v>
      </c>
      <c r="G43" s="58">
        <f>'Pre and Post Tax Collections'!G47</f>
        <v>32.860761207850004</v>
      </c>
      <c r="H43" s="58">
        <f>'Pre and Post Tax Collections'!H47</f>
        <v>33.953519112565772</v>
      </c>
      <c r="I43" s="58">
        <f>'Pre and Post Tax Collections'!I47</f>
        <v>35.502564501430385</v>
      </c>
      <c r="J43" s="58">
        <f>'Pre and Post Tax Collections'!J47</f>
        <v>35.214451994293341</v>
      </c>
      <c r="L43" s="58">
        <f>SUM(C43:E43)/4</f>
        <v>26.224098338553816</v>
      </c>
      <c r="M43" s="58">
        <f>AVERAGE(F43:I43)</f>
        <v>32.869877010361563</v>
      </c>
    </row>
    <row r="44" spans="1:16">
      <c r="C44" s="58"/>
      <c r="D44" s="58"/>
      <c r="E44" s="65"/>
    </row>
    <row r="45" spans="1:16">
      <c r="C45" s="58"/>
      <c r="D45" s="58"/>
      <c r="E45" s="65"/>
    </row>
    <row r="46" spans="1:16">
      <c r="C46" s="58"/>
      <c r="D46" s="58"/>
      <c r="E46" s="65"/>
    </row>
    <row r="47" spans="1:16">
      <c r="C47" s="58"/>
      <c r="D47" s="58"/>
      <c r="E47" s="65"/>
    </row>
    <row r="48" spans="1:16">
      <c r="B48" t="s">
        <v>73</v>
      </c>
      <c r="O48">
        <f>9*52</f>
        <v>468</v>
      </c>
      <c r="P48" t="s">
        <v>84</v>
      </c>
    </row>
    <row r="49" spans="1:16">
      <c r="B49" s="70" t="s">
        <v>91</v>
      </c>
      <c r="C49" s="70"/>
      <c r="E49" s="70" t="s">
        <v>90</v>
      </c>
      <c r="F49" s="70"/>
    </row>
    <row r="50" spans="1:16">
      <c r="B50" t="s">
        <v>55</v>
      </c>
      <c r="C50" t="s">
        <v>65</v>
      </c>
      <c r="E50" t="s">
        <v>55</v>
      </c>
      <c r="F50" t="s">
        <v>65</v>
      </c>
      <c r="P50" t="s">
        <v>85</v>
      </c>
    </row>
    <row r="51" spans="1:16">
      <c r="A51" t="s">
        <v>74</v>
      </c>
      <c r="B51" s="30">
        <f>'Pre and Post Tax Collections'!L48</f>
        <v>-367.41543004675088</v>
      </c>
      <c r="C51" s="30">
        <f>'Pre and Post Tax Collections'!M48</f>
        <v>-466.80399651785103</v>
      </c>
      <c r="E51" s="30">
        <f>'Pre and Post Tax Collections'!L54</f>
        <v>-164.12130139842509</v>
      </c>
      <c r="F51" s="30">
        <f>'Pre and Post Tax Collections'!M54</f>
        <v>-195.87525646902373</v>
      </c>
      <c r="H51" t="s">
        <v>85</v>
      </c>
    </row>
    <row r="52" spans="1:16">
      <c r="A52" t="s">
        <v>75</v>
      </c>
      <c r="B52" s="30">
        <f>L25+L34+L38+L43</f>
        <v>82.625938574796436</v>
      </c>
      <c r="C52" s="30">
        <f>M25+M34+M38+M43</f>
        <v>116.86304808001563</v>
      </c>
      <c r="E52" s="30">
        <f>L24+L36</f>
        <v>237.51867352531224</v>
      </c>
      <c r="F52" s="30">
        <f>M24+M36</f>
        <v>86.055515700459438</v>
      </c>
    </row>
    <row r="53" spans="1:16">
      <c r="B53" s="30">
        <f>B52-B51</f>
        <v>450.04136862154735</v>
      </c>
      <c r="C53" s="30">
        <f>C52-C51</f>
        <v>583.66704459786661</v>
      </c>
      <c r="E53" s="30">
        <f>E52-E51</f>
        <v>401.63997492373733</v>
      </c>
      <c r="F53" s="30">
        <f>F52-F51</f>
        <v>281.93077216948313</v>
      </c>
      <c r="G53" s="30"/>
    </row>
    <row r="55" spans="1:16">
      <c r="B55" t="s">
        <v>76</v>
      </c>
      <c r="C55" t="s">
        <v>77</v>
      </c>
      <c r="G55" s="30"/>
    </row>
    <row r="56" spans="1:16">
      <c r="A56" t="s">
        <v>78</v>
      </c>
      <c r="B56" s="31">
        <v>-3700</v>
      </c>
      <c r="C56" s="31">
        <v>-2100</v>
      </c>
    </row>
    <row r="57" spans="1:16">
      <c r="A57" t="s">
        <v>79</v>
      </c>
      <c r="B57" s="31">
        <v>-1073</v>
      </c>
      <c r="C57" s="31">
        <v>-1000.4210000000003</v>
      </c>
    </row>
    <row r="58" spans="1:16">
      <c r="A58" t="s">
        <v>80</v>
      </c>
      <c r="B58" s="31">
        <v>-2627</v>
      </c>
      <c r="C58" s="31">
        <v>-1099.5789999999997</v>
      </c>
    </row>
    <row r="59" spans="1:16">
      <c r="A59" t="s">
        <v>81</v>
      </c>
      <c r="B59" s="31">
        <f>Legislation!D6</f>
        <v>2165.1509999999998</v>
      </c>
      <c r="C59" s="31">
        <f>Legislation!E6</f>
        <v>551.92000000000007</v>
      </c>
    </row>
    <row r="60" spans="1:16">
      <c r="A60" t="s">
        <v>82</v>
      </c>
      <c r="B60" s="31">
        <f>B58+B59</f>
        <v>-461.84900000000016</v>
      </c>
      <c r="C60" s="31">
        <v>-590.85599999999977</v>
      </c>
    </row>
    <row r="61" spans="1:16">
      <c r="B61" s="31">
        <f>B60+B53</f>
        <v>-11.807631378452811</v>
      </c>
      <c r="C61" s="31">
        <f>C60+C53</f>
        <v>-7.1889554021331605</v>
      </c>
    </row>
    <row r="62" spans="1:16">
      <c r="B62" s="31"/>
      <c r="C62" s="31"/>
    </row>
    <row r="63" spans="1:16">
      <c r="B63" s="31"/>
      <c r="C63" s="31"/>
    </row>
  </sheetData>
  <mergeCells count="2">
    <mergeCell ref="B49:C49"/>
    <mergeCell ref="E49:F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3359-8275-472E-8E3F-19ABAC9FFE44}">
  <dimension ref="A1:E6"/>
  <sheetViews>
    <sheetView tabSelected="1" workbookViewId="0">
      <selection activeCell="L23" sqref="L23"/>
    </sheetView>
  </sheetViews>
  <sheetFormatPr baseColWidth="10" defaultColWidth="8.83203125" defaultRowHeight="15"/>
  <sheetData>
    <row r="1" spans="1:5">
      <c r="D1" t="s">
        <v>55</v>
      </c>
      <c r="E1" t="s">
        <v>65</v>
      </c>
    </row>
    <row r="2" spans="1:5">
      <c r="A2" t="s">
        <v>145</v>
      </c>
      <c r="D2">
        <f>1.041+0.11</f>
        <v>1.151</v>
      </c>
      <c r="E2">
        <f>4.16+0.16</f>
        <v>4.32</v>
      </c>
    </row>
    <row r="3" spans="1:5">
      <c r="A3" t="s">
        <v>142</v>
      </c>
      <c r="D3" s="59">
        <v>134</v>
      </c>
      <c r="E3" s="59">
        <v>56.6</v>
      </c>
    </row>
    <row r="4" spans="1:5">
      <c r="A4" t="s">
        <v>143</v>
      </c>
      <c r="D4">
        <v>1596</v>
      </c>
      <c r="E4">
        <v>448</v>
      </c>
    </row>
    <row r="5" spans="1:5">
      <c r="A5" t="s">
        <v>144</v>
      </c>
      <c r="D5">
        <f>321+113</f>
        <v>434</v>
      </c>
      <c r="E5">
        <f>43</f>
        <v>43</v>
      </c>
    </row>
    <row r="6" spans="1:5">
      <c r="D6">
        <f>SUM(D2:D5)</f>
        <v>2165.1509999999998</v>
      </c>
      <c r="E6">
        <f>SUM(E2:E5)</f>
        <v>551.92000000000007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B75DE3-988E-447A-956A-E2C18461C121}"/>
</file>

<file path=customXml/itemProps2.xml><?xml version="1.0" encoding="utf-8"?>
<ds:datastoreItem xmlns:ds="http://schemas.openxmlformats.org/officeDocument/2006/customXml" ds:itemID="{B3CC8BAD-CB3F-4228-83D6-955AE38D858B}"/>
</file>

<file path=customXml/itemProps3.xml><?xml version="1.0" encoding="utf-8"?>
<ds:datastoreItem xmlns:ds="http://schemas.openxmlformats.org/officeDocument/2006/customXml" ds:itemID="{9BF13AE9-3801-4A90-9F1B-EC22C59329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 Changes</vt:lpstr>
      <vt:lpstr>Pre and Post Tax Collections</vt:lpstr>
      <vt:lpstr>outlays and deficit check</vt:lpstr>
      <vt:lpstr>Legislation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Sheiner</dc:creator>
  <cp:lastModifiedBy>Kadija Yilla</cp:lastModifiedBy>
  <dcterms:created xsi:type="dcterms:W3CDTF">2020-06-19T15:25:03Z</dcterms:created>
  <dcterms:modified xsi:type="dcterms:W3CDTF">2020-06-26T18:39:47Z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