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23"/>
  <workbookPr defaultThemeVersion="166925"/>
  <mc:AlternateContent xmlns:mc="http://schemas.openxmlformats.org/markup-compatibility/2006">
    <mc:Choice Requires="x15">
      <x15ac:absPath xmlns:x15ac="http://schemas.microsoft.com/office/spreadsheetml/2010/11/ac" url="https://brookingsinstitution.sharepoint.com/sites/hutchinscenterteam/Shared Documents/Projects/Fiscal Impact/covid changes 052020/"/>
    </mc:Choice>
  </mc:AlternateContent>
  <xr:revisionPtr revIDLastSave="3224" documentId="8_{340B65EE-5398-0045-A5A0-BB4EF8C8F83D}" xr6:coauthVersionLast="45" xr6:coauthVersionMax="45" xr10:uidLastSave="{2988806A-9AF6-4AC4-823D-80DEA058DCBD}"/>
  <bookViews>
    <workbookView xWindow="1440" yWindow="460" windowWidth="28800" windowHeight="17540" firstSheet="2" activeTab="10" xr2:uid="{0CE056BB-4BB5-224F-A085-B3A523CEC668}"/>
  </bookViews>
  <sheets>
    <sheet name="March 6 Budg Baseline" sheetId="1" state="hidden" r:id="rId1"/>
    <sheet name="Master" sheetId="20" r:id="rId2"/>
    <sheet name="Add Factors" sheetId="24" r:id="rId3"/>
    <sheet name="MPC" sheetId="23" r:id="rId4"/>
    <sheet name="cbo_budget_nipas_proj_annual_co" sheetId="22" state="hidden" r:id="rId5"/>
    <sheet name="Automatic Stabilizers" sheetId="13" state="hidden" r:id="rId6"/>
    <sheet name="All Budg Add-Ons - Annual" sheetId="2" r:id="rId7"/>
    <sheet name="UI" sheetId="7" r:id="rId8"/>
    <sheet name="SNAP" sheetId="8" r:id="rId9"/>
    <sheet name="Stimulus Checks" sheetId="15" r:id="rId10"/>
    <sheet name="PPP" sheetId="12" r:id="rId11"/>
    <sheet name="All other subsidies" sheetId="19" r:id="rId12"/>
    <sheet name="Jan Econ Baseline" sheetId="4" state="hidden" r:id="rId13"/>
    <sheet name="May Econ Baseline" sheetId="5" state="hidden" r:id="rId14"/>
    <sheet name="New Outlook" sheetId="3" state="hidden" r:id="rId15"/>
    <sheet name="Sheet6" sheetId="6" state="hidden" r:id="rId16"/>
    <sheet name="Corp Taxes" sheetId="10"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9" i="24" l="1"/>
  <c r="I38" i="24"/>
  <c r="I46" i="24"/>
  <c r="I36" i="24"/>
  <c r="K13" i="23" l="1"/>
  <c r="J13" i="23"/>
  <c r="I13" i="23"/>
  <c r="H13" i="23"/>
  <c r="G13" i="23"/>
  <c r="F13" i="23"/>
  <c r="E13" i="23"/>
  <c r="D13" i="23"/>
  <c r="M18" i="23"/>
  <c r="Q10" i="23"/>
  <c r="C22" i="23"/>
  <c r="E22" i="23"/>
  <c r="F22" i="23"/>
  <c r="G22" i="23"/>
  <c r="D22" i="23"/>
  <c r="D24" i="23" s="1"/>
  <c r="C46" i="24"/>
  <c r="D46" i="24"/>
  <c r="E46" i="24"/>
  <c r="F46" i="24"/>
  <c r="G46" i="24"/>
  <c r="H46" i="24"/>
  <c r="B46" i="24"/>
  <c r="F24" i="23" l="1"/>
  <c r="E24" i="23"/>
  <c r="G24" i="23"/>
  <c r="F61" i="20"/>
  <c r="E61" i="20"/>
  <c r="D61" i="20"/>
  <c r="C61" i="20"/>
  <c r="W5" i="24"/>
  <c r="C13" i="24"/>
  <c r="D13" i="24"/>
  <c r="E13" i="24"/>
  <c r="F13" i="24"/>
  <c r="G13" i="24"/>
  <c r="H13" i="24"/>
  <c r="B13" i="24"/>
  <c r="C4" i="24"/>
  <c r="D4" i="24"/>
  <c r="E4" i="24"/>
  <c r="F4" i="24"/>
  <c r="G4" i="24"/>
  <c r="H4" i="24"/>
  <c r="B4" i="24"/>
  <c r="X5" i="24"/>
  <c r="W3" i="24"/>
  <c r="V3" i="24" s="1"/>
  <c r="H21" i="24"/>
  <c r="C34" i="24"/>
  <c r="D34" i="24"/>
  <c r="E34" i="24"/>
  <c r="F34" i="24"/>
  <c r="G34" i="24"/>
  <c r="H34" i="24"/>
  <c r="B34" i="24"/>
  <c r="B48" i="13"/>
  <c r="E5" i="23"/>
  <c r="F5" i="23"/>
  <c r="G5" i="23"/>
  <c r="H5" i="23"/>
  <c r="I5" i="23"/>
  <c r="J5" i="23"/>
  <c r="K5" i="23"/>
  <c r="L5" i="23"/>
  <c r="M5" i="23"/>
  <c r="N5" i="23"/>
  <c r="O5" i="23"/>
  <c r="D5" i="23"/>
  <c r="C6" i="23"/>
  <c r="D9" i="20"/>
  <c r="E9" i="20"/>
  <c r="F9" i="20"/>
  <c r="G9" i="20"/>
  <c r="H9" i="20"/>
  <c r="I9" i="20"/>
  <c r="C9" i="20"/>
  <c r="N13" i="23" s="1"/>
  <c r="C14" i="23" s="1"/>
  <c r="C13" i="23" s="1"/>
  <c r="K15" i="23" s="1"/>
  <c r="E7" i="23" l="1"/>
  <c r="D25" i="23"/>
  <c r="D26" i="23" s="1"/>
  <c r="G15" i="23"/>
  <c r="I15" i="23"/>
  <c r="H15" i="23"/>
  <c r="D15" i="23"/>
  <c r="J15" i="23"/>
  <c r="E15" i="23"/>
  <c r="F15" i="23"/>
  <c r="D7" i="23"/>
  <c r="F7" i="23"/>
  <c r="G7" i="23"/>
  <c r="I7" i="23"/>
  <c r="H7" i="23"/>
  <c r="E26" i="23" l="1"/>
  <c r="F26" i="23"/>
  <c r="G26" i="23"/>
  <c r="D16" i="23"/>
  <c r="E17" i="23" s="1"/>
  <c r="J7" i="23"/>
  <c r="G17" i="23" l="1"/>
  <c r="K17" i="23"/>
  <c r="I17" i="23"/>
  <c r="J17" i="23"/>
  <c r="H17" i="23"/>
  <c r="D17" i="23"/>
  <c r="F17" i="23"/>
  <c r="K7" i="23"/>
  <c r="L7" i="23" l="1"/>
  <c r="M7" i="23" l="1"/>
  <c r="O7" i="23" l="1"/>
  <c r="N7" i="23"/>
  <c r="D8" i="23" l="1"/>
  <c r="G27" i="2"/>
  <c r="H27" i="2"/>
  <c r="I27" i="2"/>
  <c r="J27" i="2"/>
  <c r="K27" i="2"/>
  <c r="L27" i="2"/>
  <c r="M27" i="2"/>
  <c r="E9" i="23" l="1"/>
  <c r="H9" i="23"/>
  <c r="D9" i="23"/>
  <c r="I9" i="23"/>
  <c r="F9" i="23"/>
  <c r="G9" i="23"/>
  <c r="J9" i="23"/>
  <c r="K9" i="23"/>
  <c r="L9" i="23"/>
  <c r="M9" i="23"/>
  <c r="O9" i="23"/>
  <c r="N9" i="23"/>
  <c r="I36" i="20"/>
  <c r="H36" i="20"/>
  <c r="G36" i="20"/>
  <c r="F36" i="20"/>
  <c r="E36" i="20"/>
  <c r="D36" i="20"/>
  <c r="C36" i="20"/>
  <c r="I60" i="20"/>
  <c r="H60" i="20"/>
  <c r="G60" i="20"/>
  <c r="F60" i="20"/>
  <c r="E60" i="20"/>
  <c r="D60" i="20"/>
  <c r="C60" i="20"/>
  <c r="I48" i="20"/>
  <c r="H48" i="20"/>
  <c r="G48" i="20"/>
  <c r="F48" i="20"/>
  <c r="E48" i="20"/>
  <c r="D48" i="20"/>
  <c r="C48" i="20"/>
  <c r="F27" i="2"/>
  <c r="E20" i="13"/>
  <c r="F20" i="13"/>
  <c r="I20" i="13"/>
  <c r="J20" i="13"/>
  <c r="F18" i="13"/>
  <c r="F21" i="13" s="1"/>
  <c r="J18" i="13"/>
  <c r="J21" i="13" s="1"/>
  <c r="B31" i="13"/>
  <c r="B25" i="13"/>
  <c r="D20" i="13" s="1"/>
  <c r="B24" i="13"/>
  <c r="D18" i="13" s="1"/>
  <c r="D21" i="13" s="1"/>
  <c r="F44" i="20"/>
  <c r="E44" i="20"/>
  <c r="D44" i="20"/>
  <c r="C44" i="20"/>
  <c r="I18" i="13" l="1"/>
  <c r="I21" i="13" s="1"/>
  <c r="B26" i="13"/>
  <c r="G18" i="13"/>
  <c r="G21" i="13" s="1"/>
  <c r="C18" i="13"/>
  <c r="C21" i="13" s="1"/>
  <c r="G20" i="13"/>
  <c r="C20" i="13"/>
  <c r="B18" i="13"/>
  <c r="B21" i="13" s="1"/>
  <c r="E18" i="13"/>
  <c r="E21" i="13" s="1"/>
  <c r="B20" i="13"/>
  <c r="H18" i="13"/>
  <c r="H20" i="13"/>
  <c r="E14" i="19"/>
  <c r="C11" i="13"/>
  <c r="B11" i="13"/>
  <c r="C40" i="13"/>
  <c r="H21" i="13" l="1"/>
  <c r="M3" i="13"/>
  <c r="C13" i="13"/>
  <c r="B13" i="13"/>
  <c r="C14" i="13" l="1"/>
  <c r="C27" i="13" s="1"/>
  <c r="F14" i="19"/>
  <c r="C33" i="13" l="1"/>
  <c r="W8" i="20"/>
  <c r="V8" i="20" s="1"/>
  <c r="M4" i="13"/>
  <c r="B43" i="20" l="1"/>
  <c r="B42" i="20" s="1"/>
  <c r="B38" i="20"/>
  <c r="C25" i="20"/>
  <c r="B31" i="20"/>
  <c r="B28" i="20"/>
  <c r="B26" i="20"/>
  <c r="B25" i="20"/>
  <c r="B20" i="20"/>
  <c r="B21" i="20"/>
  <c r="B19" i="20"/>
  <c r="B16" i="20"/>
  <c r="B13" i="20"/>
  <c r="B9" i="20"/>
  <c r="I2" i="20"/>
  <c r="C2" i="20"/>
  <c r="D2" i="20"/>
  <c r="E2" i="20"/>
  <c r="F2" i="20"/>
  <c r="G2" i="20"/>
  <c r="H2" i="20"/>
  <c r="B2" i="20"/>
  <c r="F66" i="12"/>
  <c r="O50" i="12" s="1"/>
  <c r="B53" i="13"/>
  <c r="B55" i="13"/>
  <c r="B54" i="13"/>
  <c r="G66" i="12"/>
  <c r="P50" i="12" s="1"/>
  <c r="D11" i="13"/>
  <c r="E11" i="13"/>
  <c r="F11" i="13"/>
  <c r="G11" i="13"/>
  <c r="H11" i="13"/>
  <c r="I11" i="13"/>
  <c r="C49" i="13"/>
  <c r="C42" i="20" s="1"/>
  <c r="B40" i="20"/>
  <c r="C41" i="13"/>
  <c r="C42" i="13"/>
  <c r="C43" i="13"/>
  <c r="C45" i="13"/>
  <c r="D45" i="13"/>
  <c r="D40" i="13"/>
  <c r="B44" i="13"/>
  <c r="B34" i="20" s="1"/>
  <c r="B59" i="20" l="1"/>
  <c r="B58" i="20" s="1"/>
  <c r="B57" i="20"/>
  <c r="D43" i="13"/>
  <c r="P53" i="12"/>
  <c r="B52" i="13"/>
  <c r="E40" i="13"/>
  <c r="P48" i="12"/>
  <c r="P56" i="12"/>
  <c r="P52" i="12"/>
  <c r="E45" i="13"/>
  <c r="E38" i="20" s="1"/>
  <c r="D41" i="13"/>
  <c r="P59" i="12"/>
  <c r="P55" i="12"/>
  <c r="P51" i="12"/>
  <c r="C38" i="20"/>
  <c r="C44" i="13"/>
  <c r="C34" i="20" s="1"/>
  <c r="D49" i="13"/>
  <c r="P57" i="12"/>
  <c r="P49" i="12"/>
  <c r="D42" i="13"/>
  <c r="C48" i="13"/>
  <c r="P58" i="12"/>
  <c r="P54" i="12"/>
  <c r="D25" i="20"/>
  <c r="C26" i="20"/>
  <c r="C53" i="13"/>
  <c r="C52" i="13" s="1"/>
  <c r="D38" i="20"/>
  <c r="O59" i="12"/>
  <c r="O58" i="12"/>
  <c r="O53" i="12"/>
  <c r="O56" i="12"/>
  <c r="O57" i="12"/>
  <c r="O55" i="12"/>
  <c r="O52" i="12"/>
  <c r="O54" i="12"/>
  <c r="O51" i="12"/>
  <c r="O49" i="12"/>
  <c r="O48" i="12"/>
  <c r="D13" i="13"/>
  <c r="D14" i="13" s="1"/>
  <c r="D27" i="13" s="1"/>
  <c r="M5" i="13"/>
  <c r="M6" i="13"/>
  <c r="Q3" i="13"/>
  <c r="C35" i="13" l="1"/>
  <c r="C29" i="13"/>
  <c r="B62" i="20"/>
  <c r="E49" i="13"/>
  <c r="D42" i="20"/>
  <c r="D35" i="13"/>
  <c r="D48" i="13"/>
  <c r="C40" i="20"/>
  <c r="D44" i="13"/>
  <c r="F45" i="13"/>
  <c r="E42" i="13"/>
  <c r="E41" i="13"/>
  <c r="D53" i="13"/>
  <c r="C30" i="13"/>
  <c r="D30" i="13" s="1"/>
  <c r="C36" i="13"/>
  <c r="C34" i="13"/>
  <c r="D26" i="20"/>
  <c r="F40" i="13"/>
  <c r="E25" i="20"/>
  <c r="E43" i="13"/>
  <c r="C28" i="13"/>
  <c r="D29" i="13"/>
  <c r="D19" i="19"/>
  <c r="E19" i="19" s="1"/>
  <c r="D21" i="19"/>
  <c r="L6" i="19"/>
  <c r="K6" i="19"/>
  <c r="J6" i="19"/>
  <c r="I6" i="19"/>
  <c r="H6" i="19"/>
  <c r="G6" i="19"/>
  <c r="F6" i="19"/>
  <c r="E6" i="19"/>
  <c r="H4" i="8"/>
  <c r="I4" i="8"/>
  <c r="J4" i="8"/>
  <c r="G4" i="8"/>
  <c r="J5" i="7"/>
  <c r="I5" i="7"/>
  <c r="H5" i="7"/>
  <c r="G5" i="7"/>
  <c r="D52" i="13" l="1"/>
  <c r="C59" i="20"/>
  <c r="C58" i="20" s="1"/>
  <c r="F42" i="13"/>
  <c r="D34" i="13"/>
  <c r="E44" i="13"/>
  <c r="D34" i="20"/>
  <c r="D33" i="13"/>
  <c r="C54" i="13"/>
  <c r="D36" i="13"/>
  <c r="F41" i="13"/>
  <c r="E26" i="20"/>
  <c r="E24" i="19"/>
  <c r="E22" i="19"/>
  <c r="E25" i="19"/>
  <c r="E21" i="19"/>
  <c r="E23" i="19"/>
  <c r="G40" i="13"/>
  <c r="F25" i="20"/>
  <c r="G45" i="13"/>
  <c r="F38" i="20"/>
  <c r="E48" i="13"/>
  <c r="D40" i="20"/>
  <c r="C6" i="22"/>
  <c r="F49" i="13"/>
  <c r="E42" i="20"/>
  <c r="E53" i="13"/>
  <c r="F43" i="13"/>
  <c r="D28" i="13"/>
  <c r="C55" i="13"/>
  <c r="L11" i="15"/>
  <c r="K11" i="15"/>
  <c r="J11" i="15"/>
  <c r="I11" i="15"/>
  <c r="H11" i="15"/>
  <c r="G11" i="15"/>
  <c r="F11" i="15"/>
  <c r="E11" i="15"/>
  <c r="J5" i="15"/>
  <c r="I5" i="15"/>
  <c r="H5" i="15"/>
  <c r="G5" i="15"/>
  <c r="N6" i="12"/>
  <c r="M6" i="12"/>
  <c r="L6" i="12"/>
  <c r="K6" i="12"/>
  <c r="D59" i="20" l="1"/>
  <c r="D58" i="20" s="1"/>
  <c r="G41" i="13"/>
  <c r="F26" i="20"/>
  <c r="G43" i="13"/>
  <c r="G49" i="13"/>
  <c r="F42" i="20"/>
  <c r="F53" i="13"/>
  <c r="H45" i="13"/>
  <c r="G38" i="20"/>
  <c r="F44" i="13"/>
  <c r="E34" i="20"/>
  <c r="G42" i="13"/>
  <c r="E52" i="13"/>
  <c r="F48" i="13"/>
  <c r="E40" i="20"/>
  <c r="H40" i="13"/>
  <c r="G25" i="20"/>
  <c r="C57" i="20"/>
  <c r="C62" i="20" s="1"/>
  <c r="F19" i="19"/>
  <c r="D54" i="13"/>
  <c r="D55" i="13"/>
  <c r="D20" i="19"/>
  <c r="E20" i="19" s="1"/>
  <c r="B40" i="24" s="1" a="1"/>
  <c r="B40" i="24" s="1"/>
  <c r="F12" i="15"/>
  <c r="F13" i="15" s="1"/>
  <c r="E12" i="15"/>
  <c r="E13" i="15" s="1"/>
  <c r="D21" i="12"/>
  <c r="E10" i="10"/>
  <c r="Q5" i="13"/>
  <c r="Q6" i="13"/>
  <c r="Q4" i="13"/>
  <c r="B5" i="13"/>
  <c r="C5" i="13"/>
  <c r="D5" i="13"/>
  <c r="E5" i="13"/>
  <c r="F5" i="13"/>
  <c r="G5" i="13"/>
  <c r="H5" i="13"/>
  <c r="I5" i="13"/>
  <c r="E59" i="20" l="1"/>
  <c r="E58" i="20" s="1"/>
  <c r="F20" i="19"/>
  <c r="B47" i="20" a="1"/>
  <c r="D57" i="20"/>
  <c r="D62" i="20" s="1"/>
  <c r="I45" i="13"/>
  <c r="H38" i="20"/>
  <c r="F21" i="19"/>
  <c r="F23" i="19"/>
  <c r="F52" i="13"/>
  <c r="I40" i="13"/>
  <c r="H25" i="20"/>
  <c r="F24" i="19"/>
  <c r="H49" i="13"/>
  <c r="G42" i="20"/>
  <c r="G53" i="13"/>
  <c r="F22" i="19"/>
  <c r="F25" i="19"/>
  <c r="H41" i="13"/>
  <c r="G26" i="20"/>
  <c r="G48" i="13"/>
  <c r="F40" i="20"/>
  <c r="H42" i="13"/>
  <c r="G44" i="13"/>
  <c r="F34" i="20"/>
  <c r="H43" i="13"/>
  <c r="D19" i="15"/>
  <c r="E19" i="15" s="1"/>
  <c r="E18" i="15"/>
  <c r="E24" i="15"/>
  <c r="E22" i="15"/>
  <c r="E20" i="15"/>
  <c r="E23" i="15"/>
  <c r="E21" i="15"/>
  <c r="F13" i="13"/>
  <c r="E13" i="13"/>
  <c r="E14" i="13" s="1"/>
  <c r="J6" i="12"/>
  <c r="I6" i="12"/>
  <c r="H6" i="12"/>
  <c r="G6" i="12"/>
  <c r="F47" i="2"/>
  <c r="L12" i="12"/>
  <c r="K12" i="12"/>
  <c r="J12" i="12"/>
  <c r="I12" i="12"/>
  <c r="H12" i="12"/>
  <c r="G12" i="12"/>
  <c r="F12" i="12"/>
  <c r="E12" i="12"/>
  <c r="E20" i="10"/>
  <c r="D17" i="10"/>
  <c r="E17" i="10" s="1"/>
  <c r="D18" i="10"/>
  <c r="D19" i="10"/>
  <c r="D20" i="10"/>
  <c r="D21" i="10"/>
  <c r="D22" i="10"/>
  <c r="D16" i="10"/>
  <c r="E16" i="10" s="1"/>
  <c r="L10" i="10"/>
  <c r="K10" i="10"/>
  <c r="L4" i="10"/>
  <c r="K4" i="10"/>
  <c r="J4" i="10"/>
  <c r="I4" i="10"/>
  <c r="H4" i="10"/>
  <c r="G4" i="10"/>
  <c r="F4" i="10"/>
  <c r="E4" i="10"/>
  <c r="J10" i="10"/>
  <c r="I10" i="10"/>
  <c r="H10" i="10"/>
  <c r="G10" i="10"/>
  <c r="F10" i="10"/>
  <c r="E21" i="10" s="1"/>
  <c r="F42" i="2"/>
  <c r="J10" i="8"/>
  <c r="J11" i="8" s="1"/>
  <c r="I10" i="8"/>
  <c r="I11" i="8" s="1"/>
  <c r="H10" i="8"/>
  <c r="H11" i="8" s="1"/>
  <c r="G10" i="8"/>
  <c r="G11" i="8" s="1"/>
  <c r="F10" i="8"/>
  <c r="F11" i="8" s="1"/>
  <c r="E10" i="8"/>
  <c r="B30" i="24" l="1" a="1"/>
  <c r="F59" i="20"/>
  <c r="F58" i="20" s="1"/>
  <c r="B47" i="20"/>
  <c r="F16" i="10"/>
  <c r="F17" i="10"/>
  <c r="E11" i="8"/>
  <c r="E21" i="8" s="1"/>
  <c r="E22" i="10"/>
  <c r="F13" i="12"/>
  <c r="F14" i="12" s="1"/>
  <c r="E13" i="12"/>
  <c r="E14" i="12" s="1"/>
  <c r="D19" i="12" s="1"/>
  <c r="D20" i="12" s="1"/>
  <c r="E20" i="12" s="1"/>
  <c r="F22" i="15"/>
  <c r="H44" i="13"/>
  <c r="G34" i="20"/>
  <c r="I49" i="13"/>
  <c r="H42" i="20"/>
  <c r="H53" i="13"/>
  <c r="I25" i="20"/>
  <c r="F18" i="15"/>
  <c r="B35" i="20" a="1"/>
  <c r="F33" i="20" s="1"/>
  <c r="H48" i="13"/>
  <c r="G40" i="20"/>
  <c r="I41" i="13"/>
  <c r="H26" i="20"/>
  <c r="E18" i="10"/>
  <c r="F18" i="10" s="1"/>
  <c r="E19" i="10"/>
  <c r="E35" i="13"/>
  <c r="E33" i="13"/>
  <c r="E36" i="13"/>
  <c r="E34" i="13"/>
  <c r="I42" i="13"/>
  <c r="I43" i="13"/>
  <c r="G52" i="13"/>
  <c r="I38" i="20"/>
  <c r="E28" i="13"/>
  <c r="E30" i="13"/>
  <c r="E27" i="13"/>
  <c r="E29" i="13"/>
  <c r="F14" i="13"/>
  <c r="F21" i="15"/>
  <c r="F24" i="15"/>
  <c r="F23" i="15"/>
  <c r="F20" i="15"/>
  <c r="F19" i="15"/>
  <c r="G13" i="13"/>
  <c r="E22" i="8"/>
  <c r="F12" i="7"/>
  <c r="F13" i="7" s="1"/>
  <c r="G12" i="7"/>
  <c r="G13" i="7" s="1"/>
  <c r="H12" i="7"/>
  <c r="H13" i="7" s="1"/>
  <c r="I12" i="7"/>
  <c r="I13" i="7" s="1"/>
  <c r="J12" i="7"/>
  <c r="J13" i="7" s="1"/>
  <c r="K12" i="7"/>
  <c r="K13" i="7" s="1"/>
  <c r="L12" i="7"/>
  <c r="L13" i="7" s="1"/>
  <c r="E12" i="7"/>
  <c r="E20" i="8" l="1"/>
  <c r="F22" i="8" s="1"/>
  <c r="E15" i="8"/>
  <c r="F15" i="8" s="1"/>
  <c r="B30" i="24"/>
  <c r="C27" i="24"/>
  <c r="E27" i="24"/>
  <c r="H27" i="24"/>
  <c r="D27" i="24"/>
  <c r="G27" i="24"/>
  <c r="F27" i="24"/>
  <c r="E19" i="8"/>
  <c r="B11" i="24" a="1"/>
  <c r="G59" i="20"/>
  <c r="G58" i="20" s="1"/>
  <c r="I44" i="13"/>
  <c r="H34" i="20"/>
  <c r="H33" i="20" s="1"/>
  <c r="E20" i="7"/>
  <c r="E23" i="7"/>
  <c r="E21" i="7"/>
  <c r="E22" i="7"/>
  <c r="F34" i="13"/>
  <c r="F19" i="10"/>
  <c r="I26" i="20"/>
  <c r="F20" i="10"/>
  <c r="E19" i="12"/>
  <c r="E18" i="8"/>
  <c r="F36" i="13"/>
  <c r="B35" i="20"/>
  <c r="C33" i="20"/>
  <c r="D33" i="20"/>
  <c r="E33" i="20"/>
  <c r="B14" i="20" a="1"/>
  <c r="F27" i="13"/>
  <c r="I27" i="20"/>
  <c r="F33" i="13"/>
  <c r="I42" i="20"/>
  <c r="I53" i="13"/>
  <c r="E23" i="12"/>
  <c r="E24" i="12"/>
  <c r="E22" i="12"/>
  <c r="E25" i="12"/>
  <c r="E21" i="12"/>
  <c r="E5" i="7"/>
  <c r="E13" i="7"/>
  <c r="F35" i="13"/>
  <c r="I48" i="13"/>
  <c r="H40" i="20"/>
  <c r="H52" i="13"/>
  <c r="G33" i="20"/>
  <c r="F22" i="10"/>
  <c r="F21" i="10"/>
  <c r="E55" i="13"/>
  <c r="E54" i="13"/>
  <c r="G14" i="13"/>
  <c r="F30" i="13"/>
  <c r="F28" i="13"/>
  <c r="F29" i="13"/>
  <c r="H13" i="13"/>
  <c r="I13" i="13"/>
  <c r="E17" i="8"/>
  <c r="E16" i="8"/>
  <c r="E45" i="2"/>
  <c r="F43" i="2"/>
  <c r="G43" i="2"/>
  <c r="H43" i="2"/>
  <c r="I43" i="2"/>
  <c r="J43" i="2"/>
  <c r="K43" i="2"/>
  <c r="L43" i="2"/>
  <c r="M43" i="2"/>
  <c r="E43" i="2"/>
  <c r="F44" i="2"/>
  <c r="F39" i="2"/>
  <c r="G39" i="2"/>
  <c r="H39" i="2"/>
  <c r="I39" i="2"/>
  <c r="J39" i="2"/>
  <c r="K39" i="2"/>
  <c r="L39" i="2"/>
  <c r="M39" i="2"/>
  <c r="F40" i="2"/>
  <c r="G40" i="2"/>
  <c r="H40" i="2"/>
  <c r="I40" i="2"/>
  <c r="J40" i="2"/>
  <c r="K40" i="2"/>
  <c r="L40" i="2"/>
  <c r="M40" i="2"/>
  <c r="F41" i="2"/>
  <c r="G41" i="2"/>
  <c r="H41" i="2"/>
  <c r="I41" i="2"/>
  <c r="J41" i="2"/>
  <c r="K41" i="2"/>
  <c r="L41" i="2"/>
  <c r="M41" i="2"/>
  <c r="G42" i="2"/>
  <c r="H42" i="2"/>
  <c r="I42" i="2"/>
  <c r="J42" i="2"/>
  <c r="K42" i="2"/>
  <c r="L42" i="2"/>
  <c r="M42" i="2"/>
  <c r="G44" i="2"/>
  <c r="H44" i="2"/>
  <c r="I44" i="2"/>
  <c r="J44" i="2"/>
  <c r="K44" i="2"/>
  <c r="L44" i="2"/>
  <c r="M44" i="2"/>
  <c r="F45" i="2"/>
  <c r="G45" i="2"/>
  <c r="H45" i="2"/>
  <c r="I45" i="2"/>
  <c r="J45" i="2"/>
  <c r="K45" i="2"/>
  <c r="L45" i="2"/>
  <c r="M45" i="2"/>
  <c r="F46" i="2"/>
  <c r="G46" i="2"/>
  <c r="H46" i="2"/>
  <c r="I46" i="2"/>
  <c r="J46" i="2"/>
  <c r="K46" i="2"/>
  <c r="L46" i="2"/>
  <c r="M46" i="2"/>
  <c r="G47" i="2"/>
  <c r="H47" i="2"/>
  <c r="I47" i="2"/>
  <c r="J47" i="2"/>
  <c r="K47" i="2"/>
  <c r="L47" i="2"/>
  <c r="M47" i="2"/>
  <c r="E46" i="2"/>
  <c r="E44" i="2"/>
  <c r="E42" i="2"/>
  <c r="E40" i="2"/>
  <c r="E39" i="2"/>
  <c r="E47" i="2"/>
  <c r="E41" i="2"/>
  <c r="B27" i="24" l="1"/>
  <c r="I30" i="24"/>
  <c r="B39" i="24" a="1"/>
  <c r="B46" i="20" a="1"/>
  <c r="B46" i="20" s="1"/>
  <c r="B11" i="24"/>
  <c r="B9" i="24" s="1"/>
  <c r="D9" i="24"/>
  <c r="C9" i="24"/>
  <c r="E9" i="24"/>
  <c r="H9" i="24"/>
  <c r="F9" i="24"/>
  <c r="G9" i="24"/>
  <c r="F16" i="8"/>
  <c r="B26" i="24" a="1"/>
  <c r="F21" i="12"/>
  <c r="H59" i="20"/>
  <c r="H58" i="20" s="1"/>
  <c r="E12" i="20"/>
  <c r="C12" i="20"/>
  <c r="D12" i="20"/>
  <c r="F20" i="8"/>
  <c r="G27" i="13"/>
  <c r="H27" i="13" s="1"/>
  <c r="E57" i="20"/>
  <c r="E62" i="20" s="1"/>
  <c r="G33" i="13"/>
  <c r="I52" i="13"/>
  <c r="C7" i="22"/>
  <c r="G36" i="13"/>
  <c r="F19" i="8"/>
  <c r="F22" i="12"/>
  <c r="B14" i="20"/>
  <c r="B12" i="20" s="1"/>
  <c r="X9" i="20"/>
  <c r="B33" i="20"/>
  <c r="F18" i="8"/>
  <c r="G34" i="13"/>
  <c r="B32" i="20" a="1"/>
  <c r="F23" i="7"/>
  <c r="I34" i="20"/>
  <c r="I33" i="20" s="1"/>
  <c r="G35" i="13"/>
  <c r="F23" i="12"/>
  <c r="F19" i="12"/>
  <c r="F20" i="12"/>
  <c r="F17" i="8"/>
  <c r="I40" i="20"/>
  <c r="F25" i="12"/>
  <c r="F24" i="12"/>
  <c r="F21" i="8"/>
  <c r="F54" i="13"/>
  <c r="F12" i="20"/>
  <c r="F55" i="13"/>
  <c r="G30" i="13"/>
  <c r="G29" i="13"/>
  <c r="H14" i="13"/>
  <c r="H30" i="13" s="1"/>
  <c r="I14" i="13"/>
  <c r="G28" i="13"/>
  <c r="B26" i="24" l="1"/>
  <c r="F24" i="24"/>
  <c r="D24" i="24"/>
  <c r="G24" i="24"/>
  <c r="C24" i="24"/>
  <c r="H24" i="24"/>
  <c r="H20" i="24" s="1"/>
  <c r="E24" i="24"/>
  <c r="B39" i="24"/>
  <c r="E38" i="24"/>
  <c r="C38" i="24"/>
  <c r="H38" i="24"/>
  <c r="D38" i="24"/>
  <c r="F38" i="24"/>
  <c r="G38" i="24"/>
  <c r="I59" i="20"/>
  <c r="I58" i="20" s="1"/>
  <c r="F57" i="20"/>
  <c r="F62" i="20" s="1"/>
  <c r="B32" i="20"/>
  <c r="B30" i="20" s="1"/>
  <c r="D30" i="20"/>
  <c r="C30" i="20"/>
  <c r="E30" i="20"/>
  <c r="F30" i="20"/>
  <c r="G30" i="20"/>
  <c r="H30" i="20"/>
  <c r="I30" i="20"/>
  <c r="I24" i="20" s="1"/>
  <c r="H34" i="13"/>
  <c r="H36" i="13"/>
  <c r="H35" i="13"/>
  <c r="D19" i="7"/>
  <c r="E19" i="7" s="1"/>
  <c r="E18" i="7"/>
  <c r="H33" i="13"/>
  <c r="G54" i="13"/>
  <c r="H29" i="13"/>
  <c r="H28" i="13"/>
  <c r="G12" i="20"/>
  <c r="G55" i="13"/>
  <c r="I30" i="13"/>
  <c r="I27" i="13"/>
  <c r="B38" i="24" l="1"/>
  <c r="B24" i="24"/>
  <c r="Y5" i="24" s="1"/>
  <c r="V5" i="24" s="1"/>
  <c r="I26" i="24"/>
  <c r="B23" i="24" a="1"/>
  <c r="I52" i="20"/>
  <c r="I28" i="13"/>
  <c r="F18" i="7"/>
  <c r="B29" i="20" a="1"/>
  <c r="C52" i="20" s="1"/>
  <c r="F20" i="7"/>
  <c r="F19" i="7"/>
  <c r="F22" i="7"/>
  <c r="F21" i="7"/>
  <c r="G57" i="20"/>
  <c r="G62" i="20" s="1"/>
  <c r="I29" i="13"/>
  <c r="I35" i="13"/>
  <c r="I34" i="13"/>
  <c r="I33" i="13"/>
  <c r="W9" i="20"/>
  <c r="I36" i="13"/>
  <c r="I12" i="20"/>
  <c r="H12" i="20"/>
  <c r="H55" i="13"/>
  <c r="H54" i="13"/>
  <c r="I55" i="13" l="1"/>
  <c r="B23" i="24"/>
  <c r="D21" i="24"/>
  <c r="D20" i="24" s="1"/>
  <c r="E21" i="24"/>
  <c r="E20" i="24" s="1"/>
  <c r="G21" i="24"/>
  <c r="G20" i="24" s="1"/>
  <c r="F21" i="24"/>
  <c r="F20" i="24" s="1"/>
  <c r="C21" i="24"/>
  <c r="C20" i="24" s="1"/>
  <c r="D52" i="20"/>
  <c r="F52" i="20"/>
  <c r="G52" i="20"/>
  <c r="E52" i="20"/>
  <c r="H52" i="20"/>
  <c r="H57" i="20"/>
  <c r="H62" i="20" s="1"/>
  <c r="B29" i="20"/>
  <c r="B52" i="20" s="1"/>
  <c r="C27" i="20"/>
  <c r="C24" i="20" s="1"/>
  <c r="D27" i="20"/>
  <c r="D24" i="20" s="1"/>
  <c r="E27" i="20"/>
  <c r="E24" i="20" s="1"/>
  <c r="F27" i="20"/>
  <c r="G27" i="20"/>
  <c r="G24" i="20" s="1"/>
  <c r="H27" i="20"/>
  <c r="H24" i="20" s="1"/>
  <c r="I54" i="13"/>
  <c r="B21" i="24" l="1"/>
  <c r="B20" i="24" s="1"/>
  <c r="I23" i="24"/>
  <c r="F7" i="22"/>
  <c r="F24" i="20"/>
  <c r="B7" i="22" s="1"/>
  <c r="G51" i="20"/>
  <c r="G53" i="20" s="1"/>
  <c r="E51" i="20"/>
  <c r="E53" i="20" s="1"/>
  <c r="H51" i="20"/>
  <c r="H53" i="20" s="1"/>
  <c r="F6" i="22"/>
  <c r="F51" i="20"/>
  <c r="F53" i="20" s="1"/>
  <c r="I51" i="20"/>
  <c r="I53" i="20" s="1"/>
  <c r="B6" i="22"/>
  <c r="C51" i="20"/>
  <c r="C53" i="20" s="1"/>
  <c r="B27" i="20"/>
  <c r="B24" i="20" s="1"/>
  <c r="I57" i="20"/>
  <c r="I62" i="20" s="1"/>
  <c r="B51" i="20" l="1"/>
  <c r="B53" i="20" s="1"/>
  <c r="D51" i="20"/>
  <c r="D53" i="20" s="1"/>
  <c r="Y9" i="20"/>
  <c r="V9" i="20" s="1"/>
  <c r="M54" i="20"/>
  <c r="M55" i="20" s="1"/>
  <c r="L54" i="20" l="1"/>
  <c r="L55"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tc={90D3FAAC-4C71-454D-889D-BA0AE2208815}</author>
  </authors>
  <commentList>
    <comment ref="C51" authorId="0" shapeId="0" xr:uid="{90D3FAAC-4C71-454D-889D-BA0AE2208815}">
      <text>
        <t>[Threaded comment]
Your version of Excel allows you to read this threaded comment; however, any edits to it will get removed if the file is opened in a newer version of Excel. Learn more: https://go.microsoft.com/fwlink/?linkid=870924
Comment:
    This estimate is consistet with CBO’s monthly budget review for May 2020, which says receipts were 175 billion for the month. On an annual basis, that’s about 2.1 trillion.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tc={DF0F8DD3-E9DD-3346-9397-8195690F7BE8}</author>
  </authors>
  <commentList>
    <comment ref="A37" authorId="0" shapeId="0" xr:uid="{DF0F8DD3-E9DD-3346-9397-8195690F7BE8}">
      <text>
        <t>[Threaded comment]
Your version of Excel allows you to read this threaded comment; however, any edits to it will get removed if the file is opened in a newer version of Excel. Learn more: https://go.microsoft.com/fwlink/?linkid=870924
Comment:
    all federal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tc={7F062FAF-0B27-DE44-8E9C-E2575990EB01}</author>
  </authors>
  <commentList>
    <comment ref="F2" authorId="0" shapeId="0" xr:uid="{EB427223-9848-EA45-8DE0-98F4EE4EA6CC}">
      <text>
        <r>
          <rPr>
            <b/>
            <sz val="10"/>
            <color rgb="FF000000"/>
            <rFont val="Tahoma"/>
            <family val="2"/>
          </rPr>
          <t>Microsoft Office User:</t>
        </r>
        <r>
          <rPr>
            <sz val="10"/>
            <color rgb="FF000000"/>
            <rFont val="Tahoma"/>
            <family val="2"/>
          </rPr>
          <t xml:space="preserve">
</t>
        </r>
        <r>
          <rPr>
            <sz val="10"/>
            <color rgb="FF000000"/>
            <rFont val="Calibri"/>
            <family val="2"/>
            <scheme val="minor"/>
          </rPr>
          <t>Social Security taxes, Medicare taxes and premiums, and unemployment insurance taxes.</t>
        </r>
      </text>
    </comment>
    <comment ref="H6" authorId="1" shapeId="0" xr:uid="{7F062FAF-0B27-DE44-8E9C-E2575990EB01}">
      <text>
        <t xml:space="preserve">[Threaded comment]
Your version of Excel allows you to read this threaded comment; however, any edits to it will get removed if the file is opened in a newer version of Excel. Learn more: https://go.microsoft.com/fwlink/?linkid=870924
Comment:
    where were these coming from anyway?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tc={3297EB01-8ACA-6D45-AD2C-4BF180E4184B}</author>
    <author>tc={5AED715A-DA7D-0044-9818-62D0A52D7693}</author>
    <author>tc={8872309E-FD66-8240-8AE4-9C41C37ECE5F}</author>
    <author>tc={75FBA215-12C7-A146-931C-3CFCDCDD180E}</author>
    <author>tc={AC91D6F8-948A-774C-B3A3-772606721104}</author>
    <author>tc={1E167687-808E-3C4C-B427-03888BAECF11}</author>
  </authors>
  <commentList>
    <comment ref="G4" authorId="0" shapeId="0" xr:uid="{3297EB01-8ACA-6D45-AD2C-4BF180E4184B}">
      <text>
        <t>[Threaded comment]
Your version of Excel allows you to read this threaded comment; however, any edits to it will get removed if the file is opened in a newer version of Excel. Learn more: https://go.microsoft.com/fwlink/?linkid=870924
Comment:
    changed to match the new timing proposal</t>
      </text>
    </comment>
    <comment ref="A13" authorId="1" shapeId="0" xr:uid="{5AED715A-DA7D-0044-9818-62D0A52D7693}">
      <text>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text>
    </comment>
    <comment ref="A16" authorId="2" shapeId="0" xr:uid="{8872309E-FD66-8240-8AE4-9C41C37ECE5F}">
      <text>
        <t>[Threaded comment]
Your version of Excel allows you to read this threaded comment; however, any edits to it will get removed if the file is opened in a newer version of Excel. Learn more: https://go.microsoft.com/fwlink/?linkid=870924
Comment:
    Remember we have to adjust the FY from CBO score into calendar years by leading by 1 quarter
Reply:
    @Sage Belz ah yes forgot about that. if they only give us scores up until FY 2021, then why do we need 2022 listed here. Should the % of outlays in that quarter be 0?
Reply:
    also since we already have figures from the first quarter of 2020, shouldn’t we move the numbers down by 1 row? or am i missing something?</t>
      </text>
    </comment>
    <comment ref="D18" authorId="3" shapeId="0" xr:uid="{75FBA215-12C7-A146-931C-3CFCDCDD180E}">
      <text>
        <t>[Threaded comment]
Your version of Excel allows you to read this threaded comment; however, any edits to it will get removed if the file is opened in a newer version of Excel. Learn more: https://go.microsoft.com/fwlink/?linkid=870924
Comment:
    Jay’s piece says 48 billion went out in april. Since there are 3 months in a quarter, i multiplied this by 3 and calculated what share of the total that is. (They might even spend more of it in May and June, but this seemed like a good starting point).</t>
      </text>
    </comment>
    <comment ref="D19" authorId="4" shapeId="0" xr:uid="{AC91D6F8-948A-774C-B3A3-772606721104}">
      <text>
        <t>[Threaded comment]
Your version of Excel allows you to read this threaded comment; however, any edits to it will get removed if the file is opened in a newer version of Excel. Learn more: https://go.microsoft.com/fwlink/?linkid=870924
Comment:
    Arbitrarily guessed that they spend 3/4 of the remaining funds in quarter 3</t>
      </text>
    </comment>
    <comment ref="D20" authorId="5" shapeId="0" xr:uid="{1E167687-808E-3C4C-B427-03888BAECF11}">
      <text>
        <t xml:space="preserve">[Threaded comment]
Your version of Excel allows you to read this threaded comment; however, any edits to it will get removed if the file is opened in a newer version of Excel. Learn more: https://go.microsoft.com/fwlink/?linkid=870924
Comment:
    Assume they spend it evenly in 2021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tc={5B744F39-B9F4-7841-87B4-B0FB94FEF4AD}</author>
  </authors>
  <commentList>
    <comment ref="A11" authorId="0" shapeId="0" xr:uid="{5B744F39-B9F4-7841-87B4-B0FB94FEF4AD}">
      <text>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tc={C16328F1-A3BA-884C-9122-E1D48E42D1B6}</author>
  </authors>
  <commentList>
    <comment ref="D19" authorId="0" shapeId="0" xr:uid="{C16328F1-A3BA-884C-9122-E1D48E42D1B6}">
      <text>
        <t>[Threaded comment]
Your version of Excel allows you to read this threaded comment; however, any edits to it will get removed if the file is opened in a newer version of Excel. Learn more: https://go.microsoft.com/fwlink/?linkid=870924
Comment:
    same assumptions as timing of mpc
Reply:
    *doubled the assumption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tc={32C04EF0-90CF-AF41-9801-1306953EDE81}</author>
  </authors>
  <commentList>
    <comment ref="E16" authorId="0" shapeId="0" xr:uid="{32C04EF0-90CF-AF41-9801-1306953EDE81}">
      <text>
        <t>[Threaded comment]
Your version of Excel allows you to read this threaded comment; however, any edits to it will get removed if the file is opened in a newer version of Excel. Learn more: https://go.microsoft.com/fwlink/?linkid=870924
Comment:
    these negatives are really confusing to me lol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<sst xmlns="http://schemas.openxmlformats.org/spreadsheetml/2006/main" count="805" uniqueCount="323">
  <si>
    <t>fy</t>
  </si>
  <si>
    <t xml:space="preserve">gftfp* </t>
  </si>
  <si>
    <t>gfrpt</t>
  </si>
  <si>
    <t>gfrpri**</t>
  </si>
  <si>
    <t>gfrcp</t>
  </si>
  <si>
    <t>gfrs</t>
  </si>
  <si>
    <t>yptmr</t>
  </si>
  <si>
    <t>yptmd</t>
  </si>
  <si>
    <t>yptu</t>
  </si>
  <si>
    <t>* Mandatory Spending Net of Offsetting Receipts and Other Programs from March 6 Baseline</t>
  </si>
  <si>
    <t>** Other taxes from March 6 baseline</t>
  </si>
  <si>
    <t>Purchases</t>
  </si>
  <si>
    <t>Federal Discretionary Spending</t>
  </si>
  <si>
    <t>State and Local Purchases</t>
  </si>
  <si>
    <t xml:space="preserve">Taxes and Transfers </t>
  </si>
  <si>
    <t>Sum of PPP, Stimulus Checks, UI</t>
  </si>
  <si>
    <t>pp</t>
  </si>
  <si>
    <t>stimulus</t>
  </si>
  <si>
    <t>ui</t>
  </si>
  <si>
    <t>Taxes</t>
  </si>
  <si>
    <t xml:space="preserve">Federal Taxes </t>
  </si>
  <si>
    <t>tedeschi total as of 6/1/20</t>
  </si>
  <si>
    <t xml:space="preserve">Personal Income Taxes </t>
  </si>
  <si>
    <t>Our total as of 6/1/20</t>
  </si>
  <si>
    <t>Post-Covid (with automatic changes)</t>
  </si>
  <si>
    <t>Legislative Changes</t>
  </si>
  <si>
    <t>-</t>
  </si>
  <si>
    <t>Corporate Taxes</t>
  </si>
  <si>
    <t>Legislative Changes (Loss Provisions)</t>
  </si>
  <si>
    <t>Payroll Taxes</t>
  </si>
  <si>
    <t>Pr&amp;I Taxes</t>
  </si>
  <si>
    <t>State and Local Taxes</t>
  </si>
  <si>
    <t>Transfers</t>
  </si>
  <si>
    <t>Federal Transfers to Persons</t>
  </si>
  <si>
    <t>Total</t>
  </si>
  <si>
    <t>Social Security</t>
  </si>
  <si>
    <t>Medicare</t>
  </si>
  <si>
    <t>UI</t>
  </si>
  <si>
    <t xml:space="preserve">Baseline Automatic </t>
  </si>
  <si>
    <t>Legislative Changes (EUC)</t>
  </si>
  <si>
    <t>SNAP</t>
  </si>
  <si>
    <t>Other (VA, Retirement, Tax Credits)</t>
  </si>
  <si>
    <t>Legislative Changes (Stimulus Checks)</t>
  </si>
  <si>
    <t>Support for hospitals</t>
  </si>
  <si>
    <t>Ref tax credit</t>
  </si>
  <si>
    <t>SSI</t>
  </si>
  <si>
    <t>State and Local Transfers to Persons</t>
  </si>
  <si>
    <t>Total Ex Medicaid</t>
  </si>
  <si>
    <t>Medicaid</t>
  </si>
  <si>
    <t>Legislative Changes (FMAP)</t>
  </si>
  <si>
    <t>Subsidies</t>
  </si>
  <si>
    <t>hospitals</t>
  </si>
  <si>
    <t>PPP</t>
  </si>
  <si>
    <t>non-profit</t>
  </si>
  <si>
    <t>All other subsidies (aviation, employee retention, paid sick)</t>
  </si>
  <si>
    <t>gov't owned</t>
  </si>
  <si>
    <t>for-profit</t>
  </si>
  <si>
    <t>Federal Current Receipts</t>
  </si>
  <si>
    <t>Federal Current Expenditures</t>
  </si>
  <si>
    <t>FY 2020</t>
  </si>
  <si>
    <t>FY 2021</t>
  </si>
  <si>
    <t>Federal Deficit</t>
  </si>
  <si>
    <t>CBO's estimate for federal deficit</t>
  </si>
  <si>
    <t>Our estimate</t>
  </si>
  <si>
    <t>Difference</t>
  </si>
  <si>
    <t>State and Local Current Receipts</t>
  </si>
  <si>
    <t>State and Local Current Expenditures</t>
  </si>
  <si>
    <t>Sum of expenditures</t>
  </si>
  <si>
    <t>Grants to S&amp;L Gov't</t>
  </si>
  <si>
    <t>State and Local Deficit</t>
  </si>
  <si>
    <t>2020Q2</t>
  </si>
  <si>
    <t>2020Q3</t>
  </si>
  <si>
    <t>2020Q4</t>
  </si>
  <si>
    <t>2021Q1</t>
  </si>
  <si>
    <t>2021Q2</t>
  </si>
  <si>
    <t>2021Q3</t>
  </si>
  <si>
    <t>2021Q4</t>
  </si>
  <si>
    <t>Questions for Louise</t>
  </si>
  <si>
    <r>
      <t xml:space="preserve">Non-corporate taxes </t>
    </r>
    <r>
      <rPr>
        <i/>
        <sz val="12"/>
        <color theme="1"/>
        <rFont val="Calibri"/>
        <family val="2"/>
        <scheme val="minor"/>
      </rPr>
      <t>(total add-on)</t>
    </r>
  </si>
  <si>
    <t xml:space="preserve">where do I put the add factors for state spending? </t>
  </si>
  <si>
    <r>
      <t xml:space="preserve">Corporate Taxes </t>
    </r>
    <r>
      <rPr>
        <i/>
        <sz val="12"/>
        <color theme="1"/>
        <rFont val="Calibri"/>
        <family val="2"/>
        <scheme val="minor"/>
      </rPr>
      <t>(total add-on)</t>
    </r>
  </si>
  <si>
    <t>Automatic changes</t>
  </si>
  <si>
    <t>Social benefits</t>
  </si>
  <si>
    <r>
      <t xml:space="preserve">UI </t>
    </r>
    <r>
      <rPr>
        <i/>
        <sz val="12"/>
        <color theme="1"/>
        <rFont val="Calibri"/>
        <family val="2"/>
        <scheme val="minor"/>
      </rPr>
      <t>(Total add-on)</t>
    </r>
  </si>
  <si>
    <r>
      <t xml:space="preserve">SNAP </t>
    </r>
    <r>
      <rPr>
        <i/>
        <sz val="12"/>
        <color theme="1"/>
        <rFont val="Calibri"/>
        <family val="2"/>
        <scheme val="minor"/>
      </rPr>
      <t>(Total add-on)</t>
    </r>
  </si>
  <si>
    <r>
      <t xml:space="preserve">Other </t>
    </r>
    <r>
      <rPr>
        <i/>
        <sz val="12"/>
        <color theme="1"/>
        <rFont val="Calibri"/>
        <family val="2"/>
        <scheme val="minor"/>
      </rPr>
      <t>(Total add-on)</t>
    </r>
  </si>
  <si>
    <r>
      <t xml:space="preserve">Medicaid </t>
    </r>
    <r>
      <rPr>
        <i/>
        <sz val="12"/>
        <color theme="1"/>
        <rFont val="Calibri"/>
        <family val="2"/>
        <scheme val="minor"/>
      </rPr>
      <t>(Total add-on)</t>
    </r>
  </si>
  <si>
    <t>social benefits</t>
  </si>
  <si>
    <r>
      <rPr>
        <sz val="12"/>
        <color theme="1"/>
        <rFont val="Calibri"/>
        <family val="2"/>
        <scheme val="minor"/>
      </rPr>
      <t xml:space="preserve">Medicaid </t>
    </r>
    <r>
      <rPr>
        <i/>
        <sz val="12"/>
        <color theme="1"/>
        <rFont val="Calibri"/>
        <family val="2"/>
        <scheme val="minor"/>
      </rPr>
      <t>(Total add-on)</t>
    </r>
  </si>
  <si>
    <t>health outlays</t>
  </si>
  <si>
    <t>Total add-on</t>
  </si>
  <si>
    <t>Spending</t>
  </si>
  <si>
    <t>Federal Grants</t>
  </si>
  <si>
    <t>subsidies mpc (majority PPP)</t>
  </si>
  <si>
    <t>weight</t>
  </si>
  <si>
    <t>corp</t>
  </si>
  <si>
    <t xml:space="preserve">weighted average </t>
  </si>
  <si>
    <t>new mpc</t>
  </si>
  <si>
    <t>new consumption timing</t>
  </si>
  <si>
    <t>noncorp mpc</t>
  </si>
  <si>
    <t>rebates</t>
  </si>
  <si>
    <t>noncorptaxes</t>
  </si>
  <si>
    <t>noncorp ex. Stimulus</t>
  </si>
  <si>
    <t>stimulus check</t>
  </si>
  <si>
    <t>social benefits mpc</t>
  </si>
  <si>
    <t>total ex. UI</t>
  </si>
  <si>
    <t>total mpc</t>
  </si>
  <si>
    <t>corp mpc</t>
  </si>
  <si>
    <t>unchanged</t>
  </si>
  <si>
    <t>health</t>
  </si>
  <si>
    <t>max of a quarter? -&gt;</t>
  </si>
  <si>
    <t>average of the four quarters</t>
  </si>
  <si>
    <t>1.13 * max of payroll taxes</t>
  </si>
  <si>
    <t>*calendar year*</t>
  </si>
  <si>
    <t>Federal Government Social Benefit Payments to Persons</t>
  </si>
  <si>
    <t>Federal Government Personal Current Tax Receipts</t>
  </si>
  <si>
    <t>Federal Government Tax Receipts on Production &amp; Imports</t>
  </si>
  <si>
    <t>Federal Government Tax Receipts on Corporate Income</t>
  </si>
  <si>
    <t>Contributions for Federal Government Social Insurance</t>
  </si>
  <si>
    <t>Government Social Benefit Payments to Persons: Medicare</t>
  </si>
  <si>
    <t>Government Social Benefit Payments to Persons: Medicaid</t>
  </si>
  <si>
    <t>Govt Transf to Persons: Unemployment Insurance Benefits</t>
  </si>
  <si>
    <t>gftfp</t>
  </si>
  <si>
    <t>gfrpri</t>
  </si>
  <si>
    <t>2020Q1</t>
  </si>
  <si>
    <t>Average Elasiticites for the Revenue Components of Automatic Stabilizers</t>
  </si>
  <si>
    <t>Economic Variables</t>
  </si>
  <si>
    <t>Taxes and GDP Gap</t>
  </si>
  <si>
    <t>Taxes &amp; Tax Base</t>
  </si>
  <si>
    <t>Tax Base &amp; NIPA Income</t>
  </si>
  <si>
    <t>NIPA Income and GDP Gap</t>
  </si>
  <si>
    <t>Taxes &amp; NIPA Income</t>
  </si>
  <si>
    <t>Real GDP</t>
  </si>
  <si>
    <t>Personal Income/Personal Income Taxes</t>
  </si>
  <si>
    <t>Potential Real GDP</t>
  </si>
  <si>
    <t>Corporate Profits/Corporate Taxes</t>
  </si>
  <si>
    <t>GDP Gap</t>
  </si>
  <si>
    <t>FICA/Payroll Taxes</t>
  </si>
  <si>
    <t>Unemployment Rate, Civilian, 16 Years or Older</t>
  </si>
  <si>
    <t>SECA/Payroll Taxes</t>
  </si>
  <si>
    <t>Personal Income ($b, nominal)</t>
  </si>
  <si>
    <t>Profits, Corporate, With IVA and CCAdj</t>
  </si>
  <si>
    <t>Compensation of Employees, Paid</t>
  </si>
  <si>
    <t>use benefits_elasticities.R for these calculations</t>
  </si>
  <si>
    <t>GDP</t>
  </si>
  <si>
    <t>Average Elasiticites for the Outlay Components of Automatic Stabilizers</t>
  </si>
  <si>
    <t>Outlays &amp; Change in Unemployment Rate</t>
  </si>
  <si>
    <t>Potential GDP</t>
  </si>
  <si>
    <t>Federal</t>
  </si>
  <si>
    <t>GDP Price Index Inflation</t>
  </si>
  <si>
    <t>Nominal GDP Gap, as % of Potential</t>
  </si>
  <si>
    <t>Change in GDP Gap</t>
  </si>
  <si>
    <t>UI (excluding EUC)</t>
  </si>
  <si>
    <t>Forecast of noncorp taxes from FIM</t>
  </si>
  <si>
    <t>Pre-COVID Federal Taxes</t>
  </si>
  <si>
    <t>Other (VA, Retirement)</t>
  </si>
  <si>
    <t>noncorporate</t>
  </si>
  <si>
    <t>&lt;- payroll</t>
  </si>
  <si>
    <t>State and local</t>
  </si>
  <si>
    <t>Federal Taxes</t>
  </si>
  <si>
    <t>&lt;- Pr&amp;I</t>
  </si>
  <si>
    <t>State &amp; Local Taxes</t>
  </si>
  <si>
    <t>** these seem off by a year</t>
  </si>
  <si>
    <t>Transfers (I put these under "Federal" and "State and Local" the way they appear in the NIPA tables)</t>
  </si>
  <si>
    <t>Total Social Benefits</t>
  </si>
  <si>
    <t>Total Health Outlays</t>
  </si>
  <si>
    <t>Total Noncorporate Taxes</t>
  </si>
  <si>
    <t>Total Corporate Taxes</t>
  </si>
  <si>
    <t>Bill</t>
  </si>
  <si>
    <t>What CBO Called It in Score</t>
  </si>
  <si>
    <t>What BEA Called It</t>
  </si>
  <si>
    <t>What variable it affects</t>
  </si>
  <si>
    <t>Direct Spending Increases (+)</t>
  </si>
  <si>
    <t>CARES</t>
  </si>
  <si>
    <t>Title I - Keeping American Workers Paid and Employed Act (PPP)</t>
  </si>
  <si>
    <t xml:space="preserve">Paycheck Protection Program (PPP) - $350 Billion </t>
  </si>
  <si>
    <r>
      <rPr>
        <b/>
        <sz val="11"/>
        <color theme="1"/>
        <rFont val="Calibri"/>
        <family val="2"/>
      </rPr>
      <t>gfrcp</t>
    </r>
    <r>
      <rPr>
        <sz val="11"/>
        <color theme="1"/>
        <rFont val="Calibri"/>
        <family val="2"/>
      </rPr>
      <t xml:space="preserve"> Federal Government Tax Receipts on Corporate Income; BUT in the BEA data it will be Table 3.13U.1 Federal Subsidies</t>
    </r>
  </si>
  <si>
    <t>Paycheck Protection Program and Health Care Enhancement Act</t>
  </si>
  <si>
    <t>Paycheck Protection Program</t>
  </si>
  <si>
    <t xml:space="preserve">Paycheck Protection Program (PPP) - $320 Billion </t>
  </si>
  <si>
    <t>Pandemic Unemployment Assistance</t>
  </si>
  <si>
    <t xml:space="preserve">Expanded Unemployment Insurance (UI) - $268 Billion </t>
  </si>
  <si>
    <r>
      <rPr>
        <b/>
        <sz val="12"/>
        <color theme="1"/>
        <rFont val="Calibri"/>
        <family val="2"/>
      </rPr>
      <t>gftfp</t>
    </r>
    <r>
      <rPr>
        <sz val="12"/>
        <color theme="1"/>
        <rFont val="Calibri"/>
        <family val="2"/>
      </rPr>
      <t xml:space="preserve"> Federal Government Social Benefit Payments to Persons </t>
    </r>
  </si>
  <si>
    <t>Emergency Increase in Unemployment Compensation Benefits</t>
  </si>
  <si>
    <t>Pandemic Emergency Unemployment Compensation</t>
  </si>
  <si>
    <t xml:space="preserve">Recovery Rebates for Individuals (a) </t>
  </si>
  <si>
    <t xml:space="preserve">Economic Impact Payments to Individuals (Stimulus checks) - $300 Billion </t>
  </si>
  <si>
    <t>Federal Reserve Emergency Lending Authorities</t>
  </si>
  <si>
    <t>NA</t>
  </si>
  <si>
    <t>Pandemic Relief for Aviation Workers</t>
  </si>
  <si>
    <t xml:space="preserve">Pandemic Relief for Aviation Workers - $32 Billion </t>
  </si>
  <si>
    <r>
      <rPr>
        <b/>
        <sz val="12"/>
        <color theme="1"/>
        <rFont val="Calibri"/>
        <family val="2"/>
      </rPr>
      <t>gfrs</t>
    </r>
    <r>
      <rPr>
        <sz val="12"/>
        <color theme="1"/>
        <rFont val="Calibri"/>
        <family val="2"/>
      </rPr>
      <t xml:space="preserve"> Contributions for Federal Government Social Insurance; BUT in the BEA data it will be Table 3.13U.1 Federal Subsidies</t>
    </r>
  </si>
  <si>
    <t>Coronavirus Relief Funds (grants to S&amp;L)</t>
  </si>
  <si>
    <t>Grants to State and Local Governments - $340 Billion  (??? Where did they get 340?)</t>
  </si>
  <si>
    <r>
      <rPr>
        <b/>
        <sz val="11"/>
        <color theme="1"/>
        <rFont val="Calibri"/>
        <family val="2"/>
      </rPr>
      <t>gf</t>
    </r>
    <r>
      <rPr>
        <sz val="11"/>
        <color theme="1"/>
        <rFont val="Calibri"/>
        <family val="2"/>
      </rPr>
      <t xml:space="preserve"> Federal Government Consumption &amp; Gross Investment; </t>
    </r>
    <r>
      <rPr>
        <b/>
        <sz val="11"/>
        <color theme="1"/>
        <rFont val="Calibri"/>
        <family val="2"/>
      </rPr>
      <t xml:space="preserve">gfeg </t>
    </r>
    <r>
      <rPr>
        <sz val="11"/>
        <color theme="1"/>
        <rFont val="Calibri"/>
        <family val="2"/>
      </rPr>
      <t xml:space="preserve">Federal Grants-in-Aid to State &amp; Local Governments </t>
    </r>
  </si>
  <si>
    <t>Department of Health and Human Services</t>
  </si>
  <si>
    <t xml:space="preserve">Support for Hospitals and Community Health Centers and other Health Support - $140 Billion </t>
  </si>
  <si>
    <r>
      <rPr>
        <b/>
        <sz val="11"/>
        <color theme="1"/>
        <rFont val="Calibri"/>
        <family val="2"/>
      </rPr>
      <t>I THINK WE ACTUALLY NEED TO COUNT THIS AS PURCHASES. FOR TESTS AND HOSPITAL REVENUES. yptmd</t>
    </r>
    <r>
      <rPr>
        <sz val="11"/>
        <color theme="1"/>
        <rFont val="Calibri"/>
        <family val="2"/>
      </rPr>
      <t xml:space="preserve"> Government Social Benefit Payments to Persons: Medicaid and </t>
    </r>
    <r>
      <rPr>
        <b/>
        <sz val="11"/>
        <color theme="1"/>
        <rFont val="Calibri"/>
        <family val="2"/>
      </rPr>
      <t>yptmr</t>
    </r>
    <r>
      <rPr>
        <sz val="11"/>
        <color theme="1"/>
        <rFont val="Calibri"/>
        <family val="2"/>
      </rPr>
      <t xml:space="preserve"> Government Social Benefit Payments to Persons: Medicare</t>
    </r>
  </si>
  <si>
    <t>FFCR</t>
  </si>
  <si>
    <t>Title III - Supplemental SNAP Benefits</t>
  </si>
  <si>
    <t xml:space="preserve">Supplemental Nutrition Assistance Program – $21.2 Billion </t>
  </si>
  <si>
    <t>Title III - SNAP Waivers for Work Requirements</t>
  </si>
  <si>
    <t>Federal Matching Assistance Percentage</t>
  </si>
  <si>
    <t xml:space="preserve">Federal Matching Assistance Percentage (FMAP increase) - $50 Billion </t>
  </si>
  <si>
    <r>
      <rPr>
        <b/>
        <sz val="12"/>
        <color theme="1"/>
        <rFont val="Calibri"/>
        <family val="2"/>
      </rPr>
      <t>yptmd</t>
    </r>
    <r>
      <rPr>
        <sz val="12"/>
        <color theme="1"/>
        <rFont val="Calibri"/>
        <family val="2"/>
      </rPr>
      <t xml:space="preserve"> Government Social Benefit Payments to Persons: Medicaid (SAAR, Bil.$) </t>
    </r>
  </si>
  <si>
    <t>TAX CREDITS FOR PAID SICK LEAVE AND PAID FAMILY AND MEDICAL LEAVE</t>
  </si>
  <si>
    <t xml:space="preserve">Tax credits for Paid Sick Leave and Paid Family and Medical Leave - $105 Billion </t>
  </si>
  <si>
    <t>Revenue Reductions (-)</t>
  </si>
  <si>
    <t>Employee Retention Credit for Employers</t>
  </si>
  <si>
    <t xml:space="preserve">Employee Retention Credit under the CARES Act - $55 Billion </t>
  </si>
  <si>
    <t>Delay of Payment of Employer Payroll Taxes</t>
  </si>
  <si>
    <t xml:space="preserve">Deferral of Employer Payroll Taxes - $12 Billion </t>
  </si>
  <si>
    <r>
      <rPr>
        <b/>
        <sz val="12"/>
        <color theme="1"/>
        <rFont val="Calibri"/>
        <family val="2"/>
      </rPr>
      <t xml:space="preserve">gfrs </t>
    </r>
    <r>
      <rPr>
        <sz val="12"/>
        <color theme="1"/>
        <rFont val="Calibri"/>
        <family val="2"/>
      </rPr>
      <t>Contributions for Federal Government Social Insurance</t>
    </r>
  </si>
  <si>
    <t>Modifications for Net Operating Losses</t>
  </si>
  <si>
    <t xml:space="preserve">Various Other Tax Changes - $220 Billion </t>
  </si>
  <si>
    <r>
      <rPr>
        <b/>
        <sz val="11"/>
        <color theme="1"/>
        <rFont val="Calibri"/>
        <family val="2"/>
      </rPr>
      <t>gfrcp</t>
    </r>
    <r>
      <rPr>
        <sz val="11"/>
        <color theme="1"/>
        <rFont val="Calibri"/>
        <family val="2"/>
      </rPr>
      <t xml:space="preserve"> Federal Government Tax Receipts on Corporate Income and </t>
    </r>
    <r>
      <rPr>
        <b/>
        <sz val="11"/>
        <color theme="1"/>
        <rFont val="Calibri"/>
        <family val="2"/>
      </rPr>
      <t>gfrpt</t>
    </r>
    <r>
      <rPr>
        <sz val="11"/>
        <color theme="1"/>
        <rFont val="Calibri"/>
        <family val="2"/>
      </rPr>
      <t xml:space="preserve"> Federal Government Personal Current Tax Receipts </t>
    </r>
  </si>
  <si>
    <t>Modification of Limitation on Losses for Taxpayers Other Than Corporations</t>
  </si>
  <si>
    <r>
      <rPr>
        <b/>
        <sz val="12"/>
        <color theme="1"/>
        <rFont val="Calibri"/>
        <family val="2"/>
      </rPr>
      <t>gftfp</t>
    </r>
    <r>
      <rPr>
        <sz val="12"/>
        <color theme="1"/>
        <rFont val="Calibri"/>
        <family val="2"/>
      </rPr>
      <t xml:space="preserve"> Federal Government Social Benefit Payments to Persons OR GFTFP Income taxes??</t>
    </r>
  </si>
  <si>
    <t>TOTAL</t>
  </si>
  <si>
    <t>Baseline</t>
  </si>
  <si>
    <t>gfsub</t>
  </si>
  <si>
    <t>New Outlook</t>
  </si>
  <si>
    <t>gfrpt (b)</t>
  </si>
  <si>
    <t>(b) should we count the recovery rebates in here instead of gftfp?</t>
  </si>
  <si>
    <t>May Treasury Statement -&gt;</t>
  </si>
  <si>
    <t>https://www.fiscal.treasury.gov/files/reports-statements/mts/mts0520.pdf</t>
  </si>
  <si>
    <t>Look at Roundup paper about stimulus checks; UI benefits will go to more lower income households.</t>
  </si>
  <si>
    <t>Ryan / Jay Blog -&gt;</t>
  </si>
  <si>
    <t>https://www.brookings.edu/blog/up-front/2020/05/13/incomes-have-crashed-how-much-has-unemployment-insurance-helped/</t>
  </si>
  <si>
    <t>MPC Timing Assumptions:</t>
  </si>
  <si>
    <t>t</t>
  </si>
  <si>
    <t>t-1</t>
  </si>
  <si>
    <t>t-2</t>
  </si>
  <si>
    <t>t-3</t>
  </si>
  <si>
    <t>Assumptions</t>
  </si>
  <si>
    <t>MPC</t>
  </si>
  <si>
    <t>$ Spent Already in May</t>
  </si>
  <si>
    <t>$ to be spent in remainder of Q2 2020</t>
  </si>
  <si>
    <t>(Billions)</t>
  </si>
  <si>
    <t>Total new assumption of peak in unemployment (CBO assumed 12% peak)</t>
  </si>
  <si>
    <t>percent peak in unemployment</t>
  </si>
  <si>
    <t>QUARTERLY SPENDING</t>
  </si>
  <si>
    <t>Fiscal Year</t>
  </si>
  <si>
    <t>Calendar Quarter</t>
  </si>
  <si>
    <t>Calendar Year</t>
  </si>
  <si>
    <t>Percent of Outlays spent in each quarter</t>
  </si>
  <si>
    <t>Quarterly outlays</t>
  </si>
  <si>
    <t>Household spending (Outlays * MPC)</t>
  </si>
  <si>
    <t>Q1</t>
  </si>
  <si>
    <t>Q2</t>
  </si>
  <si>
    <t>Q3</t>
  </si>
  <si>
    <t>Q4</t>
  </si>
  <si>
    <t xml:space="preserve">This score assumes a low unemployment rate; we need to scale it up. One way to do it is to measure correlation between score and unemployment, and then scale the score up by the new unemployment rate. </t>
  </si>
  <si>
    <t>$ Spent Already in April</t>
  </si>
  <si>
    <t>who spent the money already</t>
  </si>
  <si>
    <t>https://www.businessinsider.com/americans-are-spending-their-stimulus-checks-on-food-video-games-2020-4#savings-3</t>
  </si>
  <si>
    <t>how much released so far</t>
  </si>
  <si>
    <t>https://www.irs.gov/newsroom/159-million-economic-impact-payments-processed-low-income-people-and-others-who-arent-required-to-file-tax-returns-can-quickly-register-for-payment-with-irs-non-filers-tool</t>
  </si>
  <si>
    <t>$ Spent as of June 3rd</t>
  </si>
  <si>
    <t>Total as of now</t>
  </si>
  <si>
    <t>With an expansion of the program</t>
  </si>
  <si>
    <t>increase</t>
  </si>
  <si>
    <t>New Total</t>
  </si>
  <si>
    <t>Business spending (Outlays * MPC)</t>
  </si>
  <si>
    <t>Approved $ as of June 10</t>
  </si>
  <si>
    <t>https://www.sba.gov/funding-programs/loans/coronavirus-relief-options/paycheck-protection-program</t>
  </si>
  <si>
    <t>Blog on PPP Program</t>
  </si>
  <si>
    <t>https://www.sbalenders.com/conclusions-drawn-349-billion-sba-loan-program/</t>
  </si>
  <si>
    <t>t-4</t>
  </si>
  <si>
    <t>t-5</t>
  </si>
  <si>
    <t>t-6</t>
  </si>
  <si>
    <t>t-7</t>
  </si>
  <si>
    <t>$ Spent as of June 10</t>
  </si>
  <si>
    <t>Current Total</t>
  </si>
  <si>
    <t>With an expansion</t>
  </si>
  <si>
    <t>Code</t>
  </si>
  <si>
    <t>NAICS Description</t>
  </si>
  <si>
    <t>Avg Loan</t>
  </si>
  <si>
    <t>Approved $$$</t>
  </si>
  <si>
    <t># of Loans</t>
  </si>
  <si>
    <t>Firms</t>
  </si>
  <si>
    <t>% Firms w/loans</t>
  </si>
  <si>
    <t>Employment</t>
  </si>
  <si>
    <t>Unemployment March</t>
  </si>
  <si>
    <t>Unemployment April</t>
  </si>
  <si>
    <t>Unemployment May</t>
  </si>
  <si>
    <t>Percent of Total Loans</t>
  </si>
  <si>
    <t>Agriculture, Forestry, Fishing and Hunting</t>
  </si>
  <si>
    <t>Mining, Quarrying, and Oil and Gas Extraction</t>
  </si>
  <si>
    <t>Utilities</t>
  </si>
  <si>
    <t>31-33</t>
  </si>
  <si>
    <t>Manufacturing</t>
  </si>
  <si>
    <t>Arts, Entertainment, and Recreation</t>
  </si>
  <si>
    <t>Accommodation and Food Services</t>
  </si>
  <si>
    <t>Information</t>
  </si>
  <si>
    <t>44-45</t>
  </si>
  <si>
    <t>Retail Trade</t>
  </si>
  <si>
    <t>Health Care and Social Assistance</t>
  </si>
  <si>
    <t>Educational Services</t>
  </si>
  <si>
    <t>Real Estate and Rental and Leasing</t>
  </si>
  <si>
    <t>Professional, Scientific, and Technical Services</t>
  </si>
  <si>
    <t>Management of Companies and Enterprises</t>
  </si>
  <si>
    <t>Administrative &amp; Support and Waste Management &amp; Remediation</t>
  </si>
  <si>
    <t>Other Services (except Public Administration)</t>
  </si>
  <si>
    <t>Public Administration</t>
  </si>
  <si>
    <t>Construction</t>
  </si>
  <si>
    <t>Wholesale Trade</t>
  </si>
  <si>
    <t>Approved $ as of May 22</t>
  </si>
  <si>
    <t>FY</t>
  </si>
  <si>
    <t>gdp</t>
  </si>
  <si>
    <t>gf</t>
  </si>
  <si>
    <t>gs</t>
  </si>
  <si>
    <t>Social Benefits to Persons</t>
  </si>
  <si>
    <t>March Outlook</t>
  </si>
  <si>
    <t>Income Taxes</t>
  </si>
  <si>
    <t>Production &amp; Import Taxes</t>
  </si>
  <si>
    <t>Federal Consumption &amp; Expenditures</t>
  </si>
  <si>
    <t>State and Local Consumption and Expenditures</t>
  </si>
  <si>
    <t>May Outlook</t>
  </si>
  <si>
    <t>..</t>
  </si>
  <si>
    <t>t-12</t>
  </si>
  <si>
    <t>March 6 Baseline</t>
  </si>
  <si>
    <t>Corporate spending (Outlays * MPC)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</si>
</sst>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3" formatCode="_(* #,##0.00_);_(* \(#,##0.00\);_(* &quot;-&quot;??_);_(@_)"/>
    <numFmt numFmtId="164" formatCode="0.0"/>
    <numFmt numFmtId="165" formatCode="#,##0.0"/>
    <numFmt numFmtId="166" formatCode="_(* #,##0_);_(* \(#,##0\);_(* &quot;-&quot;??_);_(@_)"/>
    <numFmt numFmtId="167" formatCode="0.0%"/>
    <numFmt numFmtId="168" formatCode="0.000"/>
  </numFmts>
  <fonts count="20">
    <font>
      <sz val="12"/>
      <color theme="1"/>
      <name val="Calibri"/>
      <family val="2"/>
      <scheme val="minor"/>
    </font>
    <font>
      <b/>
      <sz val="12"/>
      <color theme="1"/>
      <name val="Calibri"/>
      <family val="2"/>
      <scheme val="minor"/>
    </font>
    <font>
      <sz val="12"/>
      <color theme="1"/>
      <name val="Calibri"/>
      <family val="2"/>
    </font>
    <font>
      <b/>
      <sz val="12"/>
      <color theme="1"/>
      <name val="Calibri"/>
      <family val="2"/>
    </font>
    <font>
      <b/>
      <sz val="11"/>
      <color theme="1"/>
      <name val="Calibri"/>
      <family val="2"/>
    </font>
    <font>
      <sz val="11"/>
      <color theme="1"/>
      <name val="Calibri"/>
      <family val="2"/>
    </font>
    <font>
      <sz val="12"/>
      <name val="Arial"/>
      <family val="2"/>
    </font>
    <font>
      <sz val="11"/>
      <name val="Arial"/>
      <family val="2"/>
    </font>
    <font>
      <sz val="11"/>
      <color indexed="8"/>
      <name val="Arial"/>
      <family val="2"/>
    </font>
    <font>
      <sz val="12"/>
      <color theme="1"/>
      <name val="Calibri"/>
      <family val="2"/>
      <scheme val="minor"/>
    </font>
    <font>
      <u/>
      <sz val="12"/>
      <color theme="10"/>
      <name val="Calibri"/>
      <family val="2"/>
      <scheme val="minor"/>
    </font>
    <font>
      <sz val="11"/>
      <color rgb="FF000000"/>
      <name val="Lucida Grande"/>
      <family val="2"/>
    </font>
    <font>
      <b/>
      <sz val="12"/>
      <color rgb="FF444444"/>
      <name val="Arial"/>
      <family val="2"/>
    </font>
    <font>
      <sz val="12"/>
      <color rgb="FF444444"/>
      <name val="Arial"/>
      <family val="2"/>
    </font>
    <font>
      <sz val="10"/>
      <color rgb="FF000000"/>
      <name val="Tahoma"/>
      <family val="2"/>
    </font>
    <font>
      <b/>
      <sz val="10"/>
      <color rgb="FF000000"/>
      <name val="Tahoma"/>
      <family val="2"/>
    </font>
    <font>
      <sz val="10"/>
      <color rgb="FF000000"/>
      <name val="Calibri"/>
      <family val="2"/>
      <scheme val="minor"/>
    </font>
    <font>
      <i/>
      <sz val="12"/>
      <color theme="1"/>
      <name val="Calibri"/>
      <family val="2"/>
      <scheme val="minor"/>
    </font>
    <font>
      <u/>
      <sz val="12"/>
      <color theme="1"/>
      <name val="Calibri"/>
      <family val="2"/>
      <scheme val="minor"/>
    </font>
    <font>
      <sz val="12"/>
      <color rgb="FF000000"/>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5"/>
        <bgColor indexed="64"/>
      </patternFill>
    </fill>
    <fill>
      <patternFill patternType="solid">
        <fgColor theme="8" tint="0.59999389629810485"/>
        <bgColor indexed="64"/>
      </patternFill>
    </fill>
    <fill>
      <patternFill patternType="solid">
        <fgColor theme="7"/>
        <bgColor indexed="64"/>
      </patternFill>
    </fill>
    <fill>
      <patternFill patternType="solid">
        <fgColor rgb="FFFFFF00"/>
        <bgColor indexed="64"/>
      </patternFill>
    </fill>
    <fill>
      <patternFill patternType="solid">
        <fgColor rgb="FFFFC000"/>
        <bgColor indexed="64"/>
      </patternFill>
    </fill>
  </fills>
  <borders count="1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ashDot">
        <color indexed="64"/>
      </bottom>
      <diagonal/>
    </border>
    <border>
      <left/>
      <right style="thin">
        <color indexed="64"/>
      </right>
      <top style="thin">
        <color indexed="64"/>
      </top>
      <bottom style="dashDot">
        <color indexed="64"/>
      </bottom>
      <diagonal/>
    </border>
    <border>
      <left/>
      <right/>
      <top style="dashDot">
        <color indexed="64"/>
      </top>
      <bottom style="double">
        <color indexed="64"/>
      </bottom>
      <diagonal/>
    </border>
    <border>
      <left style="thin">
        <color indexed="64"/>
      </left>
      <right style="thin">
        <color indexed="64"/>
      </right>
      <top/>
      <bottom/>
      <diagonal/>
    </border>
    <border>
      <left/>
      <right style="thin">
        <color indexed="64"/>
      </right>
      <top style="dashDot">
        <color indexed="64"/>
      </top>
      <bottom style="double">
        <color indexed="64"/>
      </bottom>
      <diagonal/>
    </border>
  </borders>
  <cellStyleXfs count="5">
    <xf numFmtId="0" fontId="0" fillId="0" borderId="0"/>
    <xf numFmtId="0" fontId="6" fillId="0" borderId="0"/>
    <xf numFmtId="9" fontId="9" fillId="0" borderId="0" applyFont="0" applyFill="0" applyBorder="0" applyAlignment="0" applyProtection="0"/>
    <xf numFmtId="0" fontId="10" fillId="0" borderId="0" applyNumberFormat="0" applyFill="0" applyBorder="0" applyAlignment="0" applyProtection="0"/>
    <xf numFmtId="43" fontId="9" fillId="0" borderId="0" applyFont="0" applyFill="0" applyBorder="0" applyAlignment="0" applyProtection="0"/>
  </cellStyleXfs>
  <cellXfs count="123">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xf numFmtId="0" fontId="0" fillId="0" borderId="0" xfId="0" applyAlignment="1">
      <alignment wrapText="1"/>
    </xf>
    <xf numFmtId="0" fontId="5" fillId="2" borderId="0" xfId="0" applyFont="1" applyFill="1" applyAlignment="1">
      <alignment wrapText="1"/>
    </xf>
    <xf numFmtId="3" fontId="7" fillId="0" borderId="0" xfId="1" applyNumberFormat="1" applyFont="1"/>
    <xf numFmtId="3" fontId="8" fillId="0" borderId="0" xfId="0" applyNumberFormat="1" applyFont="1"/>
    <xf numFmtId="3" fontId="0" fillId="0" borderId="0" xfId="0" applyNumberFormat="1"/>
    <xf numFmtId="0" fontId="10" fillId="0" borderId="0" xfId="3"/>
    <xf numFmtId="9" fontId="0" fillId="0" borderId="0" xfId="0" applyNumberFormat="1"/>
    <xf numFmtId="0" fontId="1" fillId="0" borderId="0" xfId="0" applyFont="1" applyAlignment="1">
      <alignment horizontal="center" wrapText="1"/>
    </xf>
    <xf numFmtId="0" fontId="0" fillId="0" borderId="0" xfId="0" applyFill="1" applyAlignment="1">
      <alignment horizontal="right"/>
    </xf>
    <xf numFmtId="10" fontId="0" fillId="0" borderId="0" xfId="2" applyNumberFormat="1" applyFont="1"/>
    <xf numFmtId="10" fontId="0" fillId="0" borderId="0" xfId="0" applyNumberFormat="1"/>
    <xf numFmtId="0" fontId="1" fillId="0" borderId="0" xfId="0" applyFont="1" applyAlignment="1">
      <alignment horizontal="center"/>
    </xf>
    <xf numFmtId="0" fontId="1" fillId="0" borderId="0" xfId="0" applyFont="1" applyFill="1" applyAlignment="1">
      <alignment horizontal="center"/>
    </xf>
    <xf numFmtId="0" fontId="0" fillId="0" borderId="0" xfId="0" applyFont="1" applyAlignment="1">
      <alignment horizontal="center"/>
    </xf>
    <xf numFmtId="2" fontId="0" fillId="0" borderId="0" xfId="0" applyNumberFormat="1" applyAlignment="1">
      <alignment horizontal="center"/>
    </xf>
    <xf numFmtId="0" fontId="1" fillId="0" borderId="0" xfId="0" applyFont="1" applyFill="1" applyAlignment="1">
      <alignment horizontal="center" wrapText="1"/>
    </xf>
    <xf numFmtId="0" fontId="0" fillId="0" borderId="0" xfId="0" applyFill="1"/>
    <xf numFmtId="0" fontId="1" fillId="0" borderId="0" xfId="0" applyFont="1" applyFill="1"/>
    <xf numFmtId="0" fontId="0" fillId="0" borderId="0" xfId="0" quotePrefix="1" applyFill="1" applyAlignment="1">
      <alignment horizontal="right"/>
    </xf>
    <xf numFmtId="9" fontId="0" fillId="0" borderId="0" xfId="0" applyNumberFormat="1" applyFill="1"/>
    <xf numFmtId="0" fontId="0" fillId="0" borderId="0" xfId="0" quotePrefix="1" applyFill="1"/>
    <xf numFmtId="0" fontId="0" fillId="4" borderId="1" xfId="0" applyFill="1" applyBorder="1"/>
    <xf numFmtId="0" fontId="0" fillId="4" borderId="1" xfId="0" applyFill="1" applyBorder="1" applyAlignment="1">
      <alignment horizontal="center"/>
    </xf>
    <xf numFmtId="0" fontId="0" fillId="4" borderId="2" xfId="0" applyFill="1" applyBorder="1" applyAlignment="1">
      <alignment horizontal="center"/>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5" xfId="0" applyFill="1" applyBorder="1" applyAlignment="1">
      <alignment horizontal="center"/>
    </xf>
    <xf numFmtId="0" fontId="0" fillId="4" borderId="4"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9" fontId="0" fillId="4" borderId="11" xfId="2" applyFont="1" applyFill="1" applyBorder="1"/>
    <xf numFmtId="164" fontId="7" fillId="0" borderId="0" xfId="1" applyNumberFormat="1" applyFont="1"/>
    <xf numFmtId="0" fontId="7" fillId="0" borderId="1" xfId="0" applyFont="1" applyBorder="1" applyAlignment="1">
      <alignment horizontal="right"/>
    </xf>
    <xf numFmtId="164" fontId="0" fillId="0" borderId="0" xfId="0" applyNumberFormat="1"/>
    <xf numFmtId="0" fontId="7" fillId="0" borderId="0" xfId="0" applyFont="1" applyFill="1" applyBorder="1" applyAlignment="1">
      <alignment horizontal="right"/>
    </xf>
    <xf numFmtId="0" fontId="7" fillId="0" borderId="0" xfId="0" applyFont="1" applyFill="1" applyBorder="1" applyAlignment="1">
      <alignment horizontal="left"/>
    </xf>
    <xf numFmtId="1" fontId="7" fillId="0" borderId="0" xfId="0" applyNumberFormat="1" applyFont="1"/>
    <xf numFmtId="1" fontId="7" fillId="0" borderId="0" xfId="1" applyNumberFormat="1" applyFont="1"/>
    <xf numFmtId="0" fontId="0" fillId="0" borderId="0" xfId="0" applyAlignment="1">
      <alignment horizontal="left" indent="1"/>
    </xf>
    <xf numFmtId="1" fontId="7" fillId="0" borderId="0" xfId="1" applyNumberFormat="1" applyFont="1" applyFill="1"/>
    <xf numFmtId="0" fontId="0" fillId="0" borderId="0" xfId="0" applyFill="1" applyBorder="1"/>
    <xf numFmtId="0" fontId="0" fillId="0" borderId="0" xfId="0" applyFill="1" applyBorder="1" applyAlignment="1">
      <alignment horizontal="center" vertical="center"/>
    </xf>
    <xf numFmtId="9" fontId="0" fillId="0" borderId="0" xfId="2" applyFont="1" applyFill="1" applyBorder="1"/>
    <xf numFmtId="9" fontId="0" fillId="4" borderId="13" xfId="2" applyFont="1" applyFill="1" applyBorder="1"/>
    <xf numFmtId="0" fontId="0" fillId="4" borderId="2" xfId="0" applyFill="1" applyBorder="1"/>
    <xf numFmtId="0" fontId="7" fillId="0" borderId="0" xfId="0" applyFont="1" applyAlignment="1">
      <alignment horizontal="left"/>
    </xf>
    <xf numFmtId="2" fontId="11" fillId="0" borderId="0" xfId="0" applyNumberFormat="1" applyFont="1"/>
    <xf numFmtId="2" fontId="0" fillId="0" borderId="0" xfId="0" applyNumberFormat="1"/>
    <xf numFmtId="3" fontId="7" fillId="5" borderId="0" xfId="1" applyNumberFormat="1" applyFont="1" applyFill="1"/>
    <xf numFmtId="0" fontId="12" fillId="0" borderId="0" xfId="0" applyFont="1"/>
    <xf numFmtId="0" fontId="13" fillId="0" borderId="0" xfId="0" applyFont="1"/>
    <xf numFmtId="6" fontId="0" fillId="0" borderId="0" xfId="0" applyNumberFormat="1"/>
    <xf numFmtId="6" fontId="13" fillId="0" borderId="0" xfId="0" applyNumberFormat="1" applyFont="1"/>
    <xf numFmtId="3" fontId="13" fillId="0" borderId="0" xfId="0" applyNumberFormat="1" applyFont="1"/>
    <xf numFmtId="9" fontId="13" fillId="0" borderId="0" xfId="0" applyNumberFormat="1" applyFont="1"/>
    <xf numFmtId="0" fontId="12" fillId="0" borderId="0" xfId="0" applyFont="1" applyAlignment="1">
      <alignment wrapText="1"/>
    </xf>
    <xf numFmtId="165" fontId="13" fillId="0" borderId="0" xfId="0" applyNumberFormat="1" applyFont="1"/>
    <xf numFmtId="165" fontId="0" fillId="0" borderId="0" xfId="0" applyNumberFormat="1"/>
    <xf numFmtId="0" fontId="13" fillId="0" borderId="0" xfId="0" applyFont="1" applyAlignment="1">
      <alignment wrapText="1"/>
    </xf>
    <xf numFmtId="0" fontId="13" fillId="6" borderId="0" xfId="0" applyFont="1" applyFill="1" applyAlignment="1">
      <alignment wrapText="1"/>
    </xf>
    <xf numFmtId="166" fontId="0" fillId="0" borderId="0" xfId="4" applyNumberFormat="1" applyFont="1"/>
    <xf numFmtId="0" fontId="0" fillId="0" borderId="0" xfId="0" applyAlignment="1">
      <alignment horizontal="left" indent="2"/>
    </xf>
    <xf numFmtId="0" fontId="0" fillId="0" borderId="0" xfId="0" applyAlignment="1">
      <alignment horizontal="left" indent="4"/>
    </xf>
    <xf numFmtId="3" fontId="0" fillId="0" borderId="0" xfId="0" applyNumberFormat="1" applyAlignment="1">
      <alignment horizontal="left" indent="1"/>
    </xf>
    <xf numFmtId="0" fontId="0" fillId="0" borderId="0" xfId="0" applyFont="1" applyAlignment="1">
      <alignment horizontal="left" indent="2"/>
    </xf>
    <xf numFmtId="3" fontId="0" fillId="7" borderId="0" xfId="0" applyNumberFormat="1" applyFill="1"/>
    <xf numFmtId="0" fontId="0" fillId="8" borderId="0" xfId="0" applyFill="1"/>
    <xf numFmtId="0" fontId="0" fillId="7" borderId="0" xfId="0" applyFill="1"/>
    <xf numFmtId="0" fontId="1" fillId="0" borderId="0" xfId="0" applyFont="1" applyAlignment="1">
      <alignment horizontal="left" indent="2"/>
    </xf>
    <xf numFmtId="3" fontId="0" fillId="0" borderId="0" xfId="0" applyNumberFormat="1" applyAlignment="1">
      <alignment horizontal="left" indent="2"/>
    </xf>
    <xf numFmtId="0" fontId="0" fillId="0" borderId="0" xfId="0" applyAlignment="1">
      <alignment horizontal="left" indent="3"/>
    </xf>
    <xf numFmtId="0" fontId="0" fillId="0" borderId="0" xfId="0" applyAlignment="1">
      <alignment horizontal="left" indent="5"/>
    </xf>
    <xf numFmtId="0" fontId="17" fillId="0" borderId="0" xfId="0" applyFont="1" applyAlignment="1">
      <alignment horizontal="left" indent="2"/>
    </xf>
    <xf numFmtId="0" fontId="0" fillId="0" borderId="0" xfId="0" applyFont="1" applyAlignment="1">
      <alignment horizontal="left" indent="3"/>
    </xf>
    <xf numFmtId="3" fontId="18" fillId="0" borderId="0" xfId="0" applyNumberFormat="1" applyFont="1" applyAlignment="1">
      <alignment horizontal="left" indent="2"/>
    </xf>
    <xf numFmtId="0" fontId="18" fillId="0" borderId="0" xfId="0" applyFont="1" applyAlignment="1">
      <alignment horizontal="left" indent="1"/>
    </xf>
    <xf numFmtId="9" fontId="0" fillId="0" borderId="0" xfId="2" applyFont="1"/>
    <xf numFmtId="167" fontId="7" fillId="0" borderId="0" xfId="2" applyNumberFormat="1" applyFont="1" applyFill="1"/>
    <xf numFmtId="167" fontId="0" fillId="0" borderId="0" xfId="2" applyNumberFormat="1" applyFont="1"/>
    <xf numFmtId="0" fontId="1" fillId="0" borderId="0" xfId="0" applyFont="1" applyAlignment="1">
      <alignment horizontal="left"/>
    </xf>
    <xf numFmtId="3" fontId="0" fillId="0" borderId="0" xfId="0" quotePrefix="1" applyNumberFormat="1" applyAlignment="1">
      <alignment horizontal="left" indent="2"/>
    </xf>
    <xf numFmtId="3" fontId="0" fillId="7" borderId="0" xfId="0" applyNumberFormat="1" applyFill="1" applyAlignment="1">
      <alignment horizontal="left" indent="2"/>
    </xf>
    <xf numFmtId="2" fontId="0" fillId="0" borderId="0" xfId="0" applyNumberFormat="1" applyAlignment="1">
      <alignment horizontal="left" indent="1"/>
    </xf>
    <xf numFmtId="3" fontId="0" fillId="0" borderId="0" xfId="0" applyNumberFormat="1" applyFill="1" applyAlignment="1">
      <alignment horizontal="left" indent="2"/>
    </xf>
    <xf numFmtId="165" fontId="0" fillId="0" borderId="0" xfId="0" applyNumberFormat="1" applyAlignment="1">
      <alignment horizontal="center"/>
    </xf>
    <xf numFmtId="0" fontId="17" fillId="0" borderId="0" xfId="0" applyFont="1" applyAlignment="1">
      <alignment horizontal="left" indent="3"/>
    </xf>
    <xf numFmtId="0" fontId="17" fillId="0" borderId="0" xfId="0" applyFont="1"/>
    <xf numFmtId="164" fontId="17" fillId="0" borderId="0" xfId="0" applyNumberFormat="1" applyFont="1"/>
    <xf numFmtId="164" fontId="17" fillId="0" borderId="0" xfId="0" applyNumberFormat="1" applyFont="1" applyAlignment="1">
      <alignment horizontal="center"/>
    </xf>
    <xf numFmtId="164" fontId="0" fillId="0" borderId="0" xfId="0" applyNumberFormat="1" applyAlignment="1">
      <alignment horizontal="center"/>
    </xf>
    <xf numFmtId="0" fontId="0" fillId="0" borderId="0" xfId="0" applyFont="1" applyAlignment="1">
      <alignment horizontal="left" indent="5"/>
    </xf>
    <xf numFmtId="3" fontId="0" fillId="0" borderId="0" xfId="0" applyNumberFormat="1" applyFont="1" applyAlignment="1">
      <alignment horizontal="left" indent="3"/>
    </xf>
    <xf numFmtId="0" fontId="0" fillId="0" borderId="0" xfId="0" applyFont="1" applyAlignment="1">
      <alignment horizontal="left" indent="1"/>
    </xf>
    <xf numFmtId="3" fontId="0" fillId="0" borderId="0" xfId="0" applyNumberFormat="1" applyAlignment="1">
      <alignment horizontal="left" indent="4"/>
    </xf>
    <xf numFmtId="165" fontId="0" fillId="0" borderId="0" xfId="0" applyNumberFormat="1" applyFont="1" applyAlignment="1">
      <alignment horizontal="center"/>
    </xf>
    <xf numFmtId="165" fontId="17" fillId="0" borderId="0" xfId="0" applyNumberFormat="1" applyFont="1" applyAlignment="1">
      <alignment horizontal="center"/>
    </xf>
    <xf numFmtId="165" fontId="17" fillId="0" borderId="0" xfId="0" applyNumberFormat="1" applyFont="1" applyAlignment="1">
      <alignment horizontal="left" indent="2"/>
    </xf>
    <xf numFmtId="165" fontId="0" fillId="0" borderId="0" xfId="0" applyNumberFormat="1" applyFont="1" applyAlignment="1">
      <alignment horizontal="left" indent="2"/>
    </xf>
    <xf numFmtId="0" fontId="0" fillId="0" borderId="0" xfId="0" applyAlignment="1">
      <alignment horizontal="left" indent="6"/>
    </xf>
    <xf numFmtId="164" fontId="0" fillId="0" borderId="0" xfId="0" applyNumberFormat="1" applyFont="1" applyAlignment="1">
      <alignment horizontal="center"/>
    </xf>
    <xf numFmtId="3" fontId="17" fillId="0" borderId="0" xfId="0" applyNumberFormat="1" applyFont="1" applyAlignment="1">
      <alignment horizontal="left"/>
    </xf>
    <xf numFmtId="0" fontId="19" fillId="0" borderId="0" xfId="0" applyFont="1"/>
    <xf numFmtId="2" fontId="19" fillId="0" borderId="0" xfId="0" applyNumberFormat="1" applyFont="1"/>
    <xf numFmtId="168" fontId="0" fillId="0" borderId="0" xfId="0" applyNumberFormat="1"/>
    <xf numFmtId="9" fontId="0" fillId="8" borderId="0" xfId="2" applyFont="1" applyFill="1"/>
    <xf numFmtId="168" fontId="0" fillId="8" borderId="0" xfId="0" applyNumberFormat="1" applyFill="1"/>
    <xf numFmtId="10" fontId="0" fillId="8" borderId="0" xfId="2" applyNumberFormat="1" applyFont="1" applyFill="1"/>
    <xf numFmtId="0" fontId="2" fillId="0" borderId="0" xfId="0" applyFont="1" applyFill="1" applyAlignment="1">
      <alignment horizontal="center" wrapText="1"/>
    </xf>
    <xf numFmtId="0" fontId="0" fillId="0" borderId="0" xfId="0" applyFill="1" applyAlignment="1">
      <alignment horizontal="center"/>
    </xf>
    <xf numFmtId="0" fontId="0" fillId="4" borderId="3" xfId="0" applyFill="1" applyBorder="1" applyAlignment="1">
      <alignment horizontal="center" vertical="center" wrapText="1"/>
    </xf>
    <xf numFmtId="0" fontId="2" fillId="0" borderId="0" xfId="0" applyFont="1" applyFill="1" applyAlignment="1">
      <alignment horizontal="center" wrapText="1"/>
    </xf>
    <xf numFmtId="0" fontId="0" fillId="0" borderId="0" xfId="0" applyFill="1" applyAlignment="1">
      <alignment horizont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5" xfId="0" applyFill="1" applyBorder="1" applyAlignment="1">
      <alignment horizontal="center" vertical="center" wrapText="1"/>
    </xf>
    <xf numFmtId="0" fontId="0" fillId="0" borderId="0" xfId="0" applyAlignment="1">
      <alignment horizontal="center" wrapText="1"/>
    </xf>
  </cellXfs>
  <cellStyles count="5">
    <cellStyle name="Comma" xfId="4" builtinId="3"/>
    <cellStyle name="Hyperlink" xfId="3" builtinId="8"/>
    <cellStyle name="Normal" xfId="0" builtinId="0"/>
    <cellStyle name="Normal 2 3" xfId="1" xr:uid="{280F414E-E8CA-4543-80E4-EFBDE8E2F1E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Emergency Unemployment Compensation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UI!$E$16</c:f>
              <c:strCache>
                <c:ptCount val="1"/>
                <c:pt idx="0">
                  <c:v>Quarterly outlays</c:v>
                </c:pt>
              </c:strCache>
            </c:strRef>
          </c:tx>
          <c:spPr>
            <a:solidFill>
              <a:schemeClr val="accent1"/>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UI!$E$18:$E$23</c:f>
              <c:numCache>
                <c:formatCode>0.00</c:formatCode>
                <c:ptCount val="6"/>
                <c:pt idx="0">
                  <c:v>162.75</c:v>
                </c:pt>
                <c:pt idx="1">
                  <c:v>54.25</c:v>
                </c:pt>
                <c:pt idx="2">
                  <c:v>56.25</c:v>
                </c:pt>
                <c:pt idx="3">
                  <c:v>0</c:v>
                </c:pt>
                <c:pt idx="4">
                  <c:v>0</c:v>
                </c:pt>
                <c:pt idx="5">
                  <c:v>0</c:v>
                </c:pt>
              </c:numCache>
            </c:numRef>
          </c:val>
          <c:extLst>
            <c:ext xmlns:c16="http://schemas.microsoft.com/office/drawing/2014/chart" uri="{C3380CC4-5D6E-409C-BE32-E72D297353CC}">
              <c16:uniqueId val="{00000000-6916-F243-A993-29CBB6B7045A}"/>
            </c:ext>
          </c:extLst>
        </c:ser>
        <c:ser>
          <c:idx val="1"/>
          <c:order val="1"/>
          <c:tx>
            <c:strRef>
              <c:f>UI!$F$16</c:f>
              <c:strCache>
                <c:ptCount val="1"/>
                <c:pt idx="0">
                  <c:v>Household spending (Outlays * MPC)</c:v>
                </c:pt>
              </c:strCache>
            </c:strRef>
          </c:tx>
          <c:spPr>
            <a:solidFill>
              <a:schemeClr val="accent2"/>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UI!$F$18:$F$23</c:f>
              <c:numCache>
                <c:formatCode>0.00</c:formatCode>
                <c:ptCount val="6"/>
                <c:pt idx="0">
                  <c:v>65.913750000000007</c:v>
                </c:pt>
                <c:pt idx="1">
                  <c:v>58.59</c:v>
                </c:pt>
                <c:pt idx="2">
                  <c:v>56.958749999999995</c:v>
                </c:pt>
                <c:pt idx="3">
                  <c:v>41.951250000000002</c:v>
                </c:pt>
                <c:pt idx="4">
                  <c:v>14.9175</c:v>
                </c:pt>
                <c:pt idx="5">
                  <c:v>7.5937500000000009</c:v>
                </c:pt>
              </c:numCache>
            </c:numRef>
          </c:val>
          <c:extLst>
            <c:ext xmlns:c16="http://schemas.microsoft.com/office/drawing/2014/chart" uri="{C3380CC4-5D6E-409C-BE32-E72D297353CC}">
              <c16:uniqueId val="{00000001-6916-F243-A993-29CBB6B7045A}"/>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SNAP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SNAP!$E$14</c:f>
              <c:strCache>
                <c:ptCount val="1"/>
                <c:pt idx="0">
                  <c:v>Quarterly outlays</c:v>
                </c:pt>
              </c:strCache>
            </c:strRef>
          </c:tx>
          <c:spPr>
            <a:solidFill>
              <a:schemeClr val="accent1"/>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SNAP!$E$16:$E$22</c:f>
              <c:numCache>
                <c:formatCode>0.00</c:formatCode>
                <c:ptCount val="7"/>
                <c:pt idx="0">
                  <c:v>5.2150000000000007</c:v>
                </c:pt>
                <c:pt idx="1">
                  <c:v>5.2150000000000007</c:v>
                </c:pt>
                <c:pt idx="2">
                  <c:v>5.2150000000000007</c:v>
                </c:pt>
                <c:pt idx="3">
                  <c:v>5.2150000000000007</c:v>
                </c:pt>
                <c:pt idx="4">
                  <c:v>0</c:v>
                </c:pt>
                <c:pt idx="5">
                  <c:v>0</c:v>
                </c:pt>
                <c:pt idx="6">
                  <c:v>0</c:v>
                </c:pt>
              </c:numCache>
            </c:numRef>
          </c:val>
          <c:extLst>
            <c:ext xmlns:c16="http://schemas.microsoft.com/office/drawing/2014/chart" uri="{C3380CC4-5D6E-409C-BE32-E72D297353CC}">
              <c16:uniqueId val="{00000000-75DB-3E4B-9809-1558B7D86290}"/>
            </c:ext>
          </c:extLst>
        </c:ser>
        <c:ser>
          <c:idx val="1"/>
          <c:order val="1"/>
          <c:tx>
            <c:strRef>
              <c:f>SNAP!$F$14</c:f>
              <c:strCache>
                <c:ptCount val="1"/>
                <c:pt idx="0">
                  <c:v>Household spending (Outlays * MPC)</c:v>
                </c:pt>
              </c:strCache>
            </c:strRef>
          </c:tx>
          <c:spPr>
            <a:solidFill>
              <a:schemeClr val="accent2"/>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SNAP!$F$16:$F$22</c:f>
              <c:numCache>
                <c:formatCode>0.00</c:formatCode>
                <c:ptCount val="7"/>
                <c:pt idx="0">
                  <c:v>2.1120750000000004</c:v>
                </c:pt>
                <c:pt idx="1">
                  <c:v>3.2854500000000009</c:v>
                </c:pt>
                <c:pt idx="2">
                  <c:v>3.989475000000001</c:v>
                </c:pt>
                <c:pt idx="3">
                  <c:v>4.6935000000000011</c:v>
                </c:pt>
                <c:pt idx="4">
                  <c:v>2.5814250000000003</c:v>
                </c:pt>
                <c:pt idx="5">
                  <c:v>1.4080500000000002</c:v>
                </c:pt>
                <c:pt idx="6">
                  <c:v>0.70402500000000012</c:v>
                </c:pt>
              </c:numCache>
            </c:numRef>
          </c:val>
          <c:extLst>
            <c:ext xmlns:c16="http://schemas.microsoft.com/office/drawing/2014/chart" uri="{C3380CC4-5D6E-409C-BE32-E72D297353CC}">
              <c16:uniqueId val="{00000001-75DB-3E4B-9809-1558B7D86290}"/>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'Stimulus Checks'!$E$16</c:f>
              <c:strCache>
                <c:ptCount val="1"/>
                <c:pt idx="0">
                  <c:v>Quarterly outlays</c:v>
                </c:pt>
              </c:strCache>
            </c:strRef>
          </c:tx>
          <c:spPr>
            <a:solidFill>
              <a:schemeClr val="accent1"/>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Checks'!$E$18:$E$24</c:f>
              <c:numCache>
                <c:formatCode>0.00</c:formatCode>
                <c:ptCount val="7"/>
                <c:pt idx="0">
                  <c:v>256.5</c:v>
                </c:pt>
                <c:pt idx="1">
                  <c:v>13.500000000000012</c:v>
                </c:pt>
                <c:pt idx="2">
                  <c:v>0</c:v>
                </c:pt>
                <c:pt idx="3">
                  <c:v>11.5</c:v>
                </c:pt>
                <c:pt idx="4">
                  <c:v>11.5</c:v>
                </c:pt>
                <c:pt idx="5">
                  <c:v>0</c:v>
                </c:pt>
                <c:pt idx="6">
                  <c:v>0</c:v>
                </c:pt>
              </c:numCache>
            </c:numRef>
          </c:val>
          <c:extLst>
            <c:ext xmlns:c16="http://schemas.microsoft.com/office/drawing/2014/chart" uri="{C3380CC4-5D6E-409C-BE32-E72D297353CC}">
              <c16:uniqueId val="{00000000-36E7-B441-8D30-C11EEF38E2A1}"/>
            </c:ext>
          </c:extLst>
        </c:ser>
        <c:ser>
          <c:idx val="1"/>
          <c:order val="1"/>
          <c:tx>
            <c:strRef>
              <c:f>'Stimulus Checks'!$F$16</c:f>
              <c:strCache>
                <c:ptCount val="1"/>
                <c:pt idx="0">
                  <c:v>Business spending (Outlays * MPC)</c:v>
                </c:pt>
              </c:strCache>
            </c:strRef>
          </c:tx>
          <c:spPr>
            <a:solidFill>
              <a:schemeClr val="accent2"/>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Checks'!$F$18:$F$24</c:f>
              <c:numCache>
                <c:formatCode>0.00</c:formatCode>
                <c:ptCount val="7"/>
                <c:pt idx="0">
                  <c:v>103.88250000000001</c:v>
                </c:pt>
                <c:pt idx="1">
                  <c:v>63.180000000000007</c:v>
                </c:pt>
                <c:pt idx="2">
                  <c:v>37.665000000000006</c:v>
                </c:pt>
                <c:pt idx="3">
                  <c:v>41.107500000000009</c:v>
                </c:pt>
                <c:pt idx="4">
                  <c:v>9.0675000000000026</c:v>
                </c:pt>
                <c:pt idx="5">
                  <c:v>4.1400000000000006</c:v>
                </c:pt>
                <c:pt idx="6">
                  <c:v>3.1050000000000004</c:v>
                </c:pt>
              </c:numCache>
            </c:numRef>
          </c:val>
          <c:extLst>
            <c:ext xmlns:c16="http://schemas.microsoft.com/office/drawing/2014/chart" uri="{C3380CC4-5D6E-409C-BE32-E72D297353CC}">
              <c16:uniqueId val="{00000001-36E7-B441-8D30-C11EEF38E2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PPP!$E$17</c:f>
              <c:strCache>
                <c:ptCount val="1"/>
                <c:pt idx="0">
                  <c:v>Quarterly outlays</c:v>
                </c:pt>
              </c:strCache>
            </c:strRef>
          </c:tx>
          <c:spPr>
            <a:solidFill>
              <a:schemeClr val="accent1"/>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PPP!$E$18:$E$25</c:f>
              <c:numCache>
                <c:formatCode>0.00</c:formatCode>
                <c:ptCount val="8"/>
                <c:pt idx="1">
                  <c:v>570</c:v>
                </c:pt>
                <c:pt idx="2">
                  <c:v>128.29999999999995</c:v>
                </c:pt>
                <c:pt idx="3">
                  <c:v>0</c:v>
                </c:pt>
                <c:pt idx="4">
                  <c:v>0</c:v>
                </c:pt>
                <c:pt idx="5">
                  <c:v>0</c:v>
                </c:pt>
                <c:pt idx="6">
                  <c:v>0</c:v>
                </c:pt>
                <c:pt idx="7">
                  <c:v>0</c:v>
                </c:pt>
              </c:numCache>
            </c:numRef>
          </c:val>
          <c:extLst>
            <c:ext xmlns:c16="http://schemas.microsoft.com/office/drawing/2014/chart" uri="{C3380CC4-5D6E-409C-BE32-E72D297353CC}">
              <c16:uniqueId val="{00000000-FFA0-7E41-971B-DDDCF1ECB6E4}"/>
            </c:ext>
          </c:extLst>
        </c:ser>
        <c:ser>
          <c:idx val="1"/>
          <c:order val="1"/>
          <c:tx>
            <c:strRef>
              <c:f>PPP!$F$17</c:f>
              <c:strCache>
                <c:ptCount val="1"/>
                <c:pt idx="0">
                  <c:v>Business spending (Outlays * MPC)</c:v>
                </c:pt>
              </c:strCache>
            </c:strRef>
          </c:tx>
          <c:spPr>
            <a:solidFill>
              <a:schemeClr val="accent2"/>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PPP!$F$18:$F$25</c:f>
              <c:numCache>
                <c:formatCode>0.00</c:formatCode>
                <c:ptCount val="8"/>
                <c:pt idx="1">
                  <c:v>43.32</c:v>
                </c:pt>
                <c:pt idx="2">
                  <c:v>53.070799999999998</c:v>
                </c:pt>
                <c:pt idx="3">
                  <c:v>34.118299999999991</c:v>
                </c:pt>
                <c:pt idx="4">
                  <c:v>29.852324999999993</c:v>
                </c:pt>
                <c:pt idx="5">
                  <c:v>29.852324999999993</c:v>
                </c:pt>
                <c:pt idx="6">
                  <c:v>29.852324999999993</c:v>
                </c:pt>
                <c:pt idx="7">
                  <c:v>29.852324999999993</c:v>
                </c:pt>
              </c:numCache>
            </c:numRef>
          </c:val>
          <c:extLst>
            <c:ext xmlns:c16="http://schemas.microsoft.com/office/drawing/2014/chart" uri="{C3380CC4-5D6E-409C-BE32-E72D297353CC}">
              <c16:uniqueId val="{00000001-FFA0-7E41-971B-DDDCF1ECB6E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'All other subsidies'!$E$17</c:f>
              <c:strCache>
                <c:ptCount val="1"/>
                <c:pt idx="0">
                  <c:v>Quarterly outlays</c:v>
                </c:pt>
              </c:strCache>
            </c:strRef>
          </c:tx>
          <c:spPr>
            <a:solidFill>
              <a:schemeClr val="accent1"/>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subsidies'!$E$18:$E$25</c:f>
              <c:numCache>
                <c:formatCode>0.00</c:formatCode>
                <c:ptCount val="8"/>
                <c:pt idx="1">
                  <c:v>94.86</c:v>
                </c:pt>
                <c:pt idx="2">
                  <c:v>63.24</c:v>
                </c:pt>
                <c:pt idx="3">
                  <c:v>5.6749999999999998</c:v>
                </c:pt>
                <c:pt idx="4">
                  <c:v>5.6749999999999998</c:v>
                </c:pt>
                <c:pt idx="5">
                  <c:v>5.6749999999999998</c:v>
                </c:pt>
                <c:pt idx="6">
                  <c:v>5.6749999999999998</c:v>
                </c:pt>
                <c:pt idx="7">
                  <c:v>5.6749999999999998</c:v>
                </c:pt>
              </c:numCache>
            </c:numRef>
          </c:val>
          <c:extLst>
            <c:ext xmlns:c16="http://schemas.microsoft.com/office/drawing/2014/chart" uri="{C3380CC4-5D6E-409C-BE32-E72D297353CC}">
              <c16:uniqueId val="{00000000-7C4D-BF4D-BD6B-D5319DC82F94}"/>
            </c:ext>
          </c:extLst>
        </c:ser>
        <c:ser>
          <c:idx val="1"/>
          <c:order val="1"/>
          <c:tx>
            <c:strRef>
              <c:f>'All other subsidies'!$F$17</c:f>
              <c:strCache>
                <c:ptCount val="1"/>
                <c:pt idx="0">
                  <c:v>Business spending (Outlays * MPC)</c:v>
                </c:pt>
              </c:strCache>
            </c:strRef>
          </c:tx>
          <c:spPr>
            <a:solidFill>
              <a:schemeClr val="accent2"/>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subsidies'!$F$18:$F$25</c:f>
              <c:numCache>
                <c:formatCode>0.00</c:formatCode>
                <c:ptCount val="8"/>
                <c:pt idx="1">
                  <c:v>14.228999999999999</c:v>
                </c:pt>
                <c:pt idx="2">
                  <c:v>23.715</c:v>
                </c:pt>
                <c:pt idx="3">
                  <c:v>19.823250000000002</c:v>
                </c:pt>
                <c:pt idx="4">
                  <c:v>17.512500000000003</c:v>
                </c:pt>
                <c:pt idx="5">
                  <c:v>8.5940000000000012</c:v>
                </c:pt>
                <c:pt idx="6">
                  <c:v>2.8374999999999999</c:v>
                </c:pt>
                <c:pt idx="7">
                  <c:v>2.8374999999999999</c:v>
                </c:pt>
              </c:numCache>
            </c:numRef>
          </c:val>
          <c:extLst>
            <c:ext xmlns:c16="http://schemas.microsoft.com/office/drawing/2014/chart" uri="{C3380CC4-5D6E-409C-BE32-E72D297353CC}">
              <c16:uniqueId val="{00000001-7C4D-BF4D-BD6B-D5319DC82F9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Spending in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'New Outlook'!$B$3</c:f>
              <c:strCache>
                <c:ptCount val="1"/>
                <c:pt idx="0">
                  <c:v>Social Benefits to Persons</c:v>
                </c:pt>
              </c:strCache>
            </c:strRef>
          </c:tx>
          <c:spPr>
            <a:solidFill>
              <a:schemeClr val="accent1"/>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Outlook'!$D$3:$L$3</c:f>
              <c:numCache>
                <c:formatCode>#,##0</c:formatCode>
                <c:ptCount val="9"/>
                <c:pt idx="0">
                  <c:v>2608.8469999999998</c:v>
                </c:pt>
                <c:pt idx="1">
                  <c:v>2734.0140000000001</c:v>
                </c:pt>
                <c:pt idx="2">
                  <c:v>2867.57</c:v>
                </c:pt>
                <c:pt idx="3">
                  <c:v>3087.7400000000002</c:v>
                </c:pt>
                <c:pt idx="4">
                  <c:v>3217.16</c:v>
                </c:pt>
                <c:pt idx="5">
                  <c:v>3342.3100000000004</c:v>
                </c:pt>
                <c:pt idx="6">
                  <c:v>3595.72</c:v>
                </c:pt>
                <c:pt idx="7">
                  <c:v>3818.7599999999998</c:v>
                </c:pt>
                <c:pt idx="8">
                  <c:v>4017.3500000000004</c:v>
                </c:pt>
              </c:numCache>
            </c:numRef>
          </c:val>
          <c:extLst>
            <c:ext xmlns:c16="http://schemas.microsoft.com/office/drawing/2014/chart" uri="{C3380CC4-5D6E-409C-BE32-E72D297353CC}">
              <c16:uniqueId val="{00000000-D9B4-5940-A3F5-069236941855}"/>
            </c:ext>
          </c:extLst>
        </c:ser>
        <c:ser>
          <c:idx val="1"/>
          <c:order val="1"/>
          <c:tx>
            <c:strRef>
              <c:f>'New Outlook'!$B$4</c:f>
              <c:strCache>
                <c:ptCount val="1"/>
                <c:pt idx="0">
                  <c:v>Income Taxes</c:v>
                </c:pt>
              </c:strCache>
            </c:strRef>
          </c:tx>
          <c:spPr>
            <a:solidFill>
              <a:schemeClr val="accent2"/>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Outlook'!$D$4:$L$4</c:f>
              <c:numCache>
                <c:formatCode>#,##0</c:formatCode>
                <c:ptCount val="9"/>
                <c:pt idx="0">
                  <c:v>1717.857</c:v>
                </c:pt>
                <c:pt idx="1">
                  <c:v>1791.395</c:v>
                </c:pt>
                <c:pt idx="2">
                  <c:v>1904.3630000000001</c:v>
                </c:pt>
                <c:pt idx="3">
                  <c:v>1995.787</c:v>
                </c:pt>
                <c:pt idx="4">
                  <c:v>2095.6280000000002</c:v>
                </c:pt>
                <c:pt idx="5">
                  <c:v>2178.39</c:v>
                </c:pt>
                <c:pt idx="6">
                  <c:v>2266.451</c:v>
                </c:pt>
                <c:pt idx="7">
                  <c:v>2483.5729999999999</c:v>
                </c:pt>
                <c:pt idx="8">
                  <c:v>2708.7040000000002</c:v>
                </c:pt>
              </c:numCache>
            </c:numRef>
          </c:val>
          <c:extLst>
            <c:ext xmlns:c16="http://schemas.microsoft.com/office/drawing/2014/chart" uri="{C3380CC4-5D6E-409C-BE32-E72D297353CC}">
              <c16:uniqueId val="{00000001-D9B4-5940-A3F5-069236941855}"/>
            </c:ext>
          </c:extLst>
        </c:ser>
        <c:ser>
          <c:idx val="2"/>
          <c:order val="2"/>
          <c:tx>
            <c:strRef>
              <c:f>'New Outlook'!$B$5</c:f>
              <c:strCache>
                <c:ptCount val="1"/>
                <c:pt idx="0">
                  <c:v>Production &amp; Import Taxes</c:v>
                </c:pt>
              </c:strCache>
            </c:strRef>
          </c:tx>
          <c:spPr>
            <a:solidFill>
              <a:schemeClr val="accent3"/>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Outlook'!$D$5:$L$5</c:f>
              <c:numCache>
                <c:formatCode>#,##0</c:formatCode>
                <c:ptCount val="9"/>
                <c:pt idx="0">
                  <c:v>271.327</c:v>
                </c:pt>
                <c:pt idx="1">
                  <c:v>304.77100000000002</c:v>
                </c:pt>
                <c:pt idx="2">
                  <c:v>298.04599999999999</c:v>
                </c:pt>
                <c:pt idx="3">
                  <c:v>304.31299999999999</c:v>
                </c:pt>
                <c:pt idx="4">
                  <c:v>311.62700000000001</c:v>
                </c:pt>
                <c:pt idx="5">
                  <c:v>317.41899999999998</c:v>
                </c:pt>
                <c:pt idx="6">
                  <c:v>325.99900000000002</c:v>
                </c:pt>
                <c:pt idx="7">
                  <c:v>339.74299999999999</c:v>
                </c:pt>
                <c:pt idx="8">
                  <c:v>359.16500000000002</c:v>
                </c:pt>
              </c:numCache>
            </c:numRef>
          </c:val>
          <c:extLst>
            <c:ext xmlns:c16="http://schemas.microsoft.com/office/drawing/2014/chart" uri="{C3380CC4-5D6E-409C-BE32-E72D297353CC}">
              <c16:uniqueId val="{00000002-D9B4-5940-A3F5-069236941855}"/>
            </c:ext>
          </c:extLst>
        </c:ser>
        <c:ser>
          <c:idx val="3"/>
          <c:order val="3"/>
          <c:tx>
            <c:strRef>
              <c:f>'New Outlook'!$B$6</c:f>
              <c:strCache>
                <c:ptCount val="1"/>
                <c:pt idx="0">
                  <c:v>Corporate Taxes</c:v>
                </c:pt>
              </c:strCache>
            </c:strRef>
          </c:tx>
          <c:spPr>
            <a:solidFill>
              <a:schemeClr val="accent4"/>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Outlook'!$D$6:$L$6</c:f>
              <c:numCache>
                <c:formatCode>#,##0</c:formatCode>
                <c:ptCount val="9"/>
                <c:pt idx="0">
                  <c:v>230.245</c:v>
                </c:pt>
                <c:pt idx="1">
                  <c:v>233.78800000000001</c:v>
                </c:pt>
                <c:pt idx="2">
                  <c:v>256.71199999999999</c:v>
                </c:pt>
                <c:pt idx="3">
                  <c:v>291.74700000000001</c:v>
                </c:pt>
                <c:pt idx="4">
                  <c:v>333.89499999999998</c:v>
                </c:pt>
                <c:pt idx="5">
                  <c:v>362.428</c:v>
                </c:pt>
                <c:pt idx="6">
                  <c:v>386.15199999999999</c:v>
                </c:pt>
                <c:pt idx="7">
                  <c:v>384.91300000000001</c:v>
                </c:pt>
                <c:pt idx="8">
                  <c:v>382.13799999999998</c:v>
                </c:pt>
              </c:numCache>
            </c:numRef>
          </c:val>
          <c:extLst>
            <c:ext xmlns:c16="http://schemas.microsoft.com/office/drawing/2014/chart" uri="{C3380CC4-5D6E-409C-BE32-E72D297353CC}">
              <c16:uniqueId val="{00000003-D9B4-5940-A3F5-069236941855}"/>
            </c:ext>
          </c:extLst>
        </c:ser>
        <c:ser>
          <c:idx val="4"/>
          <c:order val="4"/>
          <c:tx>
            <c:strRef>
              <c:f>'New Outlook'!$B$7</c:f>
              <c:strCache>
                <c:ptCount val="1"/>
                <c:pt idx="0">
                  <c:v>Payroll Taxes</c:v>
                </c:pt>
              </c:strCache>
            </c:strRef>
          </c:tx>
          <c:spPr>
            <a:solidFill>
              <a:schemeClr val="accent5"/>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4-D9B4-5940-A3F5-069236941855}"/>
            </c:ext>
          </c:extLst>
        </c:ser>
        <c:ser>
          <c:idx val="5"/>
          <c:order val="5"/>
          <c:tx>
            <c:strRef>
              <c:f>'New Outlook'!$B$8</c:f>
              <c:strCache>
                <c:ptCount val="1"/>
                <c:pt idx="0">
                  <c:v>Medicare</c:v>
                </c:pt>
              </c:strCache>
            </c:strRef>
          </c:tx>
          <c:spPr>
            <a:solidFill>
              <a:schemeClr val="accent6"/>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Outlook'!$D$8:$L$8</c:f>
              <c:numCache>
                <c:formatCode>#,##0</c:formatCode>
                <c:ptCount val="9"/>
                <c:pt idx="0">
                  <c:v>775.40599999999995</c:v>
                </c:pt>
                <c:pt idx="1">
                  <c:v>828.22199999999998</c:v>
                </c:pt>
                <c:pt idx="2">
                  <c:v>885.96</c:v>
                </c:pt>
                <c:pt idx="3">
                  <c:v>992.62699999999995</c:v>
                </c:pt>
                <c:pt idx="4">
                  <c:v>1027.2270000000001</c:v>
                </c:pt>
                <c:pt idx="5">
                  <c:v>1055.278</c:v>
                </c:pt>
                <c:pt idx="6">
                  <c:v>1182.252</c:v>
                </c:pt>
                <c:pt idx="7">
                  <c:v>1269.2719999999999</c:v>
                </c:pt>
                <c:pt idx="8">
                  <c:v>1362.9860000000001</c:v>
                </c:pt>
              </c:numCache>
            </c:numRef>
          </c:val>
          <c:extLst>
            <c:ext xmlns:c16="http://schemas.microsoft.com/office/drawing/2014/chart" uri="{C3380CC4-5D6E-409C-BE32-E72D297353CC}">
              <c16:uniqueId val="{00000005-D9B4-5940-A3F5-069236941855}"/>
            </c:ext>
          </c:extLst>
        </c:ser>
        <c:ser>
          <c:idx val="6"/>
          <c:order val="6"/>
          <c:tx>
            <c:strRef>
              <c:f>'New Outlook'!$B$9</c:f>
              <c:strCache>
                <c:ptCount val="1"/>
                <c:pt idx="0">
                  <c:v>Medicaid</c:v>
                </c:pt>
              </c:strCache>
            </c:strRef>
          </c:tx>
          <c:spPr>
            <a:solidFill>
              <a:schemeClr val="accent1">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Outlook'!$D$9:$L$9</c:f>
              <c:numCache>
                <c:formatCode>#,##0</c:formatCode>
                <c:ptCount val="9"/>
                <c:pt idx="0">
                  <c:v>409.42099999999999</c:v>
                </c:pt>
                <c:pt idx="1">
                  <c:v>423.15</c:v>
                </c:pt>
                <c:pt idx="2">
                  <c:v>442.846</c:v>
                </c:pt>
                <c:pt idx="3">
                  <c:v>465.267</c:v>
                </c:pt>
                <c:pt idx="4">
                  <c:v>492.887</c:v>
                </c:pt>
                <c:pt idx="5">
                  <c:v>522.05100000000004</c:v>
                </c:pt>
                <c:pt idx="6">
                  <c:v>552.42999999999995</c:v>
                </c:pt>
                <c:pt idx="7">
                  <c:v>584.70500000000004</c:v>
                </c:pt>
                <c:pt idx="8">
                  <c:v>618.66200000000003</c:v>
                </c:pt>
              </c:numCache>
            </c:numRef>
          </c:val>
          <c:extLst>
            <c:ext xmlns:c16="http://schemas.microsoft.com/office/drawing/2014/chart" uri="{C3380CC4-5D6E-409C-BE32-E72D297353CC}">
              <c16:uniqueId val="{00000006-D9B4-5940-A3F5-069236941855}"/>
            </c:ext>
          </c:extLst>
        </c:ser>
        <c:ser>
          <c:idx val="7"/>
          <c:order val="7"/>
          <c:tx>
            <c:strRef>
              <c:f>'New Outlook'!$B$10</c:f>
              <c:strCache>
                <c:ptCount val="1"/>
                <c:pt idx="0">
                  <c:v>UI</c:v>
                </c:pt>
              </c:strCache>
            </c:strRef>
          </c:tx>
          <c:spPr>
            <a:solidFill>
              <a:schemeClr val="accent2">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Outlook'!$D$10:$L$10</c:f>
              <c:numCache>
                <c:formatCode>#,##0</c:formatCode>
                <c:ptCount val="9"/>
                <c:pt idx="0">
                  <c:v>27.626999999999999</c:v>
                </c:pt>
                <c:pt idx="1">
                  <c:v>28.533000000000001</c:v>
                </c:pt>
                <c:pt idx="2">
                  <c:v>30.507000000000001</c:v>
                </c:pt>
                <c:pt idx="3">
                  <c:v>34.828000000000003</c:v>
                </c:pt>
                <c:pt idx="4">
                  <c:v>41.956000000000003</c:v>
                </c:pt>
                <c:pt idx="5">
                  <c:v>46.265999999999998</c:v>
                </c:pt>
                <c:pt idx="6">
                  <c:v>47.701000000000001</c:v>
                </c:pt>
                <c:pt idx="7">
                  <c:v>50.38</c:v>
                </c:pt>
                <c:pt idx="8">
                  <c:v>52.034999999999997</c:v>
                </c:pt>
              </c:numCache>
            </c:numRef>
          </c:val>
          <c:extLst>
            <c:ext xmlns:c16="http://schemas.microsoft.com/office/drawing/2014/chart" uri="{C3380CC4-5D6E-409C-BE32-E72D297353CC}">
              <c16:uniqueId val="{00000007-D9B4-5940-A3F5-069236941855}"/>
            </c:ext>
          </c:extLst>
        </c:ser>
        <c:ser>
          <c:idx val="8"/>
          <c:order val="8"/>
          <c:tx>
            <c:strRef>
              <c:f>'New Outlook'!$B$11</c:f>
              <c:strCache>
                <c:ptCount val="1"/>
                <c:pt idx="0">
                  <c:v>Subsidies</c:v>
                </c:pt>
              </c:strCache>
            </c:strRef>
          </c:tx>
          <c:spPr>
            <a:solidFill>
              <a:schemeClr val="accent3">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Outlook'!$D$11:$L$11</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9B4-5940-A3F5-069236941855}"/>
            </c:ext>
          </c:extLst>
        </c:ser>
        <c:ser>
          <c:idx val="9"/>
          <c:order val="9"/>
          <c:tx>
            <c:strRef>
              <c:f>'New Outlook'!$B$12</c:f>
              <c:strCache>
                <c:ptCount val="1"/>
                <c:pt idx="0">
                  <c:v>Federal Consumption &amp; Expenditures</c:v>
                </c:pt>
              </c:strCache>
            </c:strRef>
          </c:tx>
          <c:spPr>
            <a:solidFill>
              <a:schemeClr val="accent4">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Outlook'!$D$12:$L$12</c:f>
              <c:numCache>
                <c:formatCode>General</c:formatCode>
                <c:ptCount val="9"/>
                <c:pt idx="0">
                  <c:v>1403.5</c:v>
                </c:pt>
                <c:pt idx="1">
                  <c:v>1459.6</c:v>
                </c:pt>
                <c:pt idx="2">
                  <c:v>1501.9</c:v>
                </c:pt>
                <c:pt idx="3">
                  <c:v>1540.9</c:v>
                </c:pt>
                <c:pt idx="4">
                  <c:v>1580.5</c:v>
                </c:pt>
                <c:pt idx="5">
                  <c:v>1621.8</c:v>
                </c:pt>
                <c:pt idx="6">
                  <c:v>1663</c:v>
                </c:pt>
                <c:pt idx="7">
                  <c:v>1704.6</c:v>
                </c:pt>
                <c:pt idx="8">
                  <c:v>1747.5</c:v>
                </c:pt>
              </c:numCache>
            </c:numRef>
          </c:val>
          <c:extLst>
            <c:ext xmlns:c16="http://schemas.microsoft.com/office/drawing/2014/chart" uri="{C3380CC4-5D6E-409C-BE32-E72D297353CC}">
              <c16:uniqueId val="{00000009-D9B4-5940-A3F5-069236941855}"/>
            </c:ext>
          </c:extLst>
        </c:ser>
        <c:ser>
          <c:idx val="10"/>
          <c:order val="10"/>
          <c:tx>
            <c:strRef>
              <c:f>'New Outlook'!$B$13</c:f>
              <c:strCache>
                <c:ptCount val="1"/>
                <c:pt idx="0">
                  <c:v>State and Local Consumption and Expenditures</c:v>
                </c:pt>
              </c:strCache>
            </c:strRef>
          </c:tx>
          <c:spPr>
            <a:solidFill>
              <a:schemeClr val="accent5">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Outlook'!$D$13:$L$13</c:f>
              <c:numCache>
                <c:formatCode>General</c:formatCode>
                <c:ptCount val="9"/>
                <c:pt idx="0">
                  <c:v>2307.3000000000002</c:v>
                </c:pt>
                <c:pt idx="1">
                  <c:v>2400.3000000000002</c:v>
                </c:pt>
                <c:pt idx="2">
                  <c:v>2488.9</c:v>
                </c:pt>
                <c:pt idx="3">
                  <c:v>2583.1999999999998</c:v>
                </c:pt>
                <c:pt idx="4">
                  <c:v>2685.4</c:v>
                </c:pt>
                <c:pt idx="5">
                  <c:v>2792</c:v>
                </c:pt>
                <c:pt idx="6">
                  <c:v>2901.2</c:v>
                </c:pt>
                <c:pt idx="7">
                  <c:v>3012.1</c:v>
                </c:pt>
                <c:pt idx="8">
                  <c:v>3126.2</c:v>
                </c:pt>
              </c:numCache>
            </c:numRef>
          </c:val>
          <c:extLst>
            <c:ext xmlns:c16="http://schemas.microsoft.com/office/drawing/2014/chart" uri="{C3380CC4-5D6E-409C-BE32-E72D297353CC}">
              <c16:uniqueId val="{0000000A-D9B4-5940-A3F5-069236941855}"/>
            </c:ext>
          </c:extLst>
        </c:ser>
        <c:dLbls>
          <c:showLegendKey val="0"/>
          <c:showVal val="0"/>
          <c:showCatName val="0"/>
          <c:showSerName val="0"/>
          <c:showPercent val="0"/>
          <c:showBubbleSize val="0"/>
        </c:dLbls>
        <c:axId val="16582831"/>
        <c:axId val="19047967"/>
      </c:areaChart>
      <c:catAx>
        <c:axId val="16582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7967"/>
        <c:crosses val="autoZero"/>
        <c:auto val="1"/>
        <c:lblAlgn val="ctr"/>
        <c:lblOffset val="100"/>
        <c:noMultiLvlLbl val="0"/>
      </c:catAx>
      <c:valAx>
        <c:axId val="19047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8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Payroll Taxes,</a:t>
            </a:r>
            <a:r>
              <a:rPr lang="en-US" baseline="0"/>
              <a:t> March v. May Baseline</a:t>
            </a:r>
          </a:p>
        </c:rich>
      </c:tx>
      <c:layout>
        <c:manualLayout>
          <c:xMode val="edge"/>
          <c:yMode val="edge"/>
          <c:x val="0.31106395064007442"/>
          <c:y val="1.70940170940170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'New Outlook'!$B$7</c:f>
              <c:strCache>
                <c:ptCount val="1"/>
                <c:pt idx="0">
                  <c:v>Payroll Taxes</c:v>
                </c:pt>
              </c:strCache>
            </c:strRef>
          </c:tx>
          <c:spPr>
            <a:solidFill>
              <a:schemeClr val="accent6">
                <a:lumMod val="40000"/>
                <a:lumOff val="60000"/>
              </a:schemeClr>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5F50-094B-BD2B-0763B1BBE335}"/>
              </c:ext>
            </c:extLst>
          </c:dPt>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3-5F50-094B-BD2B-0763B1BBE335}"/>
            </c:ext>
          </c:extLst>
        </c:ser>
        <c:ser>
          <c:idx val="7"/>
          <c:order val="1"/>
          <c:tx>
            <c:strRef>
              <c:f>'New Outlook'!$B$20</c:f>
              <c:strCache>
                <c:ptCount val="1"/>
                <c:pt idx="0">
                  <c:v>Payroll Taxes</c:v>
                </c:pt>
              </c:strCache>
            </c:strRef>
          </c:tx>
          <c:spPr>
            <a:solidFill>
              <a:schemeClr val="accent6">
                <a:lumMod val="75000"/>
              </a:schemeClr>
            </a:solidFill>
            <a:ln>
              <a:noFill/>
            </a:ln>
            <a:effectLst/>
          </c:spPr>
          <c:invertIfNegative val="0"/>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Outlook'!$D$20:$L$20</c:f>
              <c:numCache>
                <c:formatCode>#,##0</c:formatCode>
                <c:ptCount val="9"/>
                <c:pt idx="0">
                  <c:v>1243.3720000000001</c:v>
                </c:pt>
                <c:pt idx="1">
                  <c:v>1091.3309999999999</c:v>
                </c:pt>
                <c:pt idx="2">
                  <c:v>1215.3520000000001</c:v>
                </c:pt>
                <c:pt idx="3">
                  <c:v>1579.539</c:v>
                </c:pt>
                <c:pt idx="4">
                  <c:v>1632.7149999999999</c:v>
                </c:pt>
                <c:pt idx="5">
                  <c:v>1523.1579999999999</c:v>
                </c:pt>
                <c:pt idx="6">
                  <c:v>1583.605</c:v>
                </c:pt>
                <c:pt idx="7">
                  <c:v>1642.366</c:v>
                </c:pt>
                <c:pt idx="8">
                  <c:v>1703.42</c:v>
                </c:pt>
              </c:numCache>
            </c:numRef>
          </c:val>
          <c:extLst>
            <c:ext xmlns:c16="http://schemas.microsoft.com/office/drawing/2014/chart" uri="{C3380CC4-5D6E-409C-BE32-E72D297353CC}">
              <c16:uniqueId val="{00000007-5F50-094B-BD2B-0763B1BBE335}"/>
            </c:ext>
          </c:extLst>
        </c:ser>
        <c:dLbls>
          <c:showLegendKey val="0"/>
          <c:showVal val="0"/>
          <c:showCatName val="0"/>
          <c:showSerName val="0"/>
          <c:showPercent val="0"/>
          <c:showBubbleSize val="0"/>
        </c:dLbls>
        <c:gapWidth val="150"/>
        <c:axId val="16736959"/>
        <c:axId val="19246751"/>
      </c:barChart>
      <c:catAx>
        <c:axId val="1673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6751"/>
        <c:crosses val="autoZero"/>
        <c:auto val="1"/>
        <c:lblAlgn val="ctr"/>
        <c:lblOffset val="100"/>
        <c:noMultiLvlLbl val="0"/>
      </c:catAx>
      <c:valAx>
        <c:axId val="192467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'New Outlook'!$B$3:$C$3</c:f>
              <c:strCache>
                <c:ptCount val="2"/>
                <c:pt idx="0">
                  <c:v>Social Benefits to Persons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00-4CD2-9A43-8817-39A9CEFBC7BB}"/>
            </c:ext>
          </c:extLst>
        </c:ser>
        <c:ser>
          <c:idx val="12"/>
          <c:order val="1"/>
          <c:tx>
            <c:strRef>
              <c:f>'New Outlook'!$B$16:$C$16</c:f>
              <c:strCache>
                <c:ptCount val="2"/>
                <c:pt idx="0">
                  <c:v>Social Benefits to Persons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0C-4CD2-9A43-8817-39A9CEFBC7BB}"/>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'New Outlook'!$B$3:$C$3</c:f>
              <c:strCache>
                <c:ptCount val="2"/>
                <c:pt idx="0">
                  <c:v>Social Benefits to Persons</c:v>
                </c:pt>
                <c:pt idx="1">
                  <c:v>March Outlook</c:v>
                </c:pt>
              </c:strCache>
            </c:strRef>
          </c:tx>
          <c:spPr>
            <a:solidFill>
              <a:schemeClr val="accent5">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12-7195-A84A-854E-94B6C4653BD0}"/>
            </c:ext>
          </c:extLst>
        </c:ser>
        <c:ser>
          <c:idx val="2"/>
          <c:order val="1"/>
          <c:tx>
            <c:strRef>
              <c:f>'New Outlook'!$B$16:$C$16</c:f>
              <c:strCache>
                <c:ptCount val="2"/>
                <c:pt idx="0">
                  <c:v>Social Benefits to Persons</c:v>
                </c:pt>
                <c:pt idx="1">
                  <c:v>May Outlook</c:v>
                </c:pt>
              </c:strCache>
            </c:strRef>
          </c:tx>
          <c:spPr>
            <a:solidFill>
              <a:schemeClr val="accent5">
                <a:lumMod val="50000"/>
              </a:schemeClr>
            </a:solidFill>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13-7195-A84A-854E-94B6C4653BD0}"/>
            </c:ext>
          </c:extLst>
        </c:ser>
        <c:ser>
          <c:idx val="3"/>
          <c:order val="2"/>
          <c:tx>
            <c:strRef>
              <c:f>'New Outlook'!$B$9:$C$9</c:f>
              <c:strCache>
                <c:ptCount val="2"/>
                <c:pt idx="0">
                  <c:v>Medicaid</c:v>
                </c:pt>
                <c:pt idx="1">
                  <c:v>March Outlook</c:v>
                </c:pt>
              </c:strCache>
            </c:strRef>
          </c:tx>
          <c:spPr>
            <a:solidFill>
              <a:schemeClr val="accent4">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Outlook'!$D$9:$F$9</c:f>
              <c:numCache>
                <c:formatCode>#,##0</c:formatCode>
                <c:ptCount val="3"/>
                <c:pt idx="0">
                  <c:v>409.42099999999999</c:v>
                </c:pt>
                <c:pt idx="1">
                  <c:v>423.15</c:v>
                </c:pt>
                <c:pt idx="2">
                  <c:v>442.846</c:v>
                </c:pt>
              </c:numCache>
            </c:numRef>
          </c:val>
          <c:extLst>
            <c:ext xmlns:c16="http://schemas.microsoft.com/office/drawing/2014/chart" uri="{C3380CC4-5D6E-409C-BE32-E72D297353CC}">
              <c16:uniqueId val="{00000014-7195-A84A-854E-94B6C4653BD0}"/>
            </c:ext>
          </c:extLst>
        </c:ser>
        <c:ser>
          <c:idx val="4"/>
          <c:order val="3"/>
          <c:tx>
            <c:strRef>
              <c:f>'New Outlook'!$B$22:$C$22</c:f>
              <c:strCache>
                <c:ptCount val="2"/>
                <c:pt idx="0">
                  <c:v>Medicaid</c:v>
                </c:pt>
                <c:pt idx="1">
                  <c:v>May Outlook</c:v>
                </c:pt>
              </c:strCache>
            </c:strRef>
          </c:tx>
          <c:spPr>
            <a:solidFill>
              <a:schemeClr val="accent4">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Outlook'!$D$22:$F$22</c:f>
              <c:numCache>
                <c:formatCode>#,##0</c:formatCode>
                <c:ptCount val="3"/>
                <c:pt idx="0">
                  <c:v>409.42099999999999</c:v>
                </c:pt>
                <c:pt idx="1">
                  <c:v>503.85</c:v>
                </c:pt>
                <c:pt idx="2">
                  <c:v>505.846</c:v>
                </c:pt>
              </c:numCache>
            </c:numRef>
          </c:val>
          <c:extLst>
            <c:ext xmlns:c16="http://schemas.microsoft.com/office/drawing/2014/chart" uri="{C3380CC4-5D6E-409C-BE32-E72D297353CC}">
              <c16:uniqueId val="{00000015-7195-A84A-854E-94B6C4653BD0}"/>
            </c:ext>
          </c:extLst>
        </c:ser>
        <c:ser>
          <c:idx val="0"/>
          <c:order val="4"/>
          <c:tx>
            <c:strRef>
              <c:f>'New Outlook'!$B$8:$C$8</c:f>
              <c:strCache>
                <c:ptCount val="2"/>
                <c:pt idx="0">
                  <c:v>Medicare</c:v>
                </c:pt>
                <c:pt idx="1">
                  <c:v>March Outlook</c:v>
                </c:pt>
              </c:strCache>
            </c:strRef>
          </c:tx>
          <c:spPr>
            <a:solidFill>
              <a:schemeClr val="accent2">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Outlook'!$D$8:$F$8</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0F-7195-A84A-854E-94B6C4653BD0}"/>
            </c:ext>
          </c:extLst>
        </c:ser>
        <c:ser>
          <c:idx val="12"/>
          <c:order val="5"/>
          <c:tx>
            <c:strRef>
              <c:f>'New Outlook'!$B$21:$C$21</c:f>
              <c:strCache>
                <c:ptCount val="2"/>
                <c:pt idx="0">
                  <c:v>Medicare</c:v>
                </c:pt>
                <c:pt idx="1">
                  <c:v>May Outlook</c:v>
                </c:pt>
              </c:strCache>
            </c:strRef>
          </c:tx>
          <c:spPr>
            <a:solidFill>
              <a:schemeClr val="accent2">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Outlook'!$D$21:$F$21</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11-7195-A84A-854E-94B6C4653BD0}"/>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Outlook'!$B$7:$C$7</c:f>
              <c:strCache>
                <c:ptCount val="2"/>
                <c:pt idx="0">
                  <c:v>Payroll Taxes</c:v>
                </c:pt>
                <c:pt idx="1">
                  <c:v>March Outlook</c:v>
                </c:pt>
              </c:strCache>
            </c:strRef>
          </c:tx>
          <c:spPr>
            <a:solidFill>
              <a:schemeClr val="accent6">
                <a:lumMod val="40000"/>
                <a:lumOff val="60000"/>
              </a:schemeClr>
            </a:solidFill>
          </c:spPr>
          <c:invertIfNegative val="0"/>
          <c:cat>
            <c:numRef>
              <c:f>'New Outlook'!$D$2:$F$2</c:f>
              <c:numCache>
                <c:formatCode>General</c:formatCode>
                <c:ptCount val="3"/>
                <c:pt idx="0">
                  <c:v>2019</c:v>
                </c:pt>
                <c:pt idx="1">
                  <c:v>2020</c:v>
                </c:pt>
                <c:pt idx="2">
                  <c:v>2021</c:v>
                </c:pt>
              </c:numCache>
            </c:numRef>
          </c:cat>
          <c:val>
            <c:numRef>
              <c:f>'New Outlook'!$D$7:$F$7</c:f>
              <c:numCache>
                <c:formatCode>#,##0</c:formatCode>
                <c:ptCount val="3"/>
                <c:pt idx="0">
                  <c:v>1243.3720000000001</c:v>
                </c:pt>
                <c:pt idx="1">
                  <c:v>1302.3309999999999</c:v>
                </c:pt>
                <c:pt idx="2">
                  <c:v>1356.3520000000001</c:v>
                </c:pt>
              </c:numCache>
            </c:numRef>
          </c:val>
          <c:extLst>
            <c:ext xmlns:c16="http://schemas.microsoft.com/office/drawing/2014/chart" uri="{C3380CC4-5D6E-409C-BE32-E72D297353CC}">
              <c16:uniqueId val="{00000010-A08C-3D41-B06F-3D5BFF70D649}"/>
            </c:ext>
          </c:extLst>
        </c:ser>
        <c:ser>
          <c:idx val="4"/>
          <c:order val="1"/>
          <c:tx>
            <c:strRef>
              <c:f>'New Outlook'!$B$20:$C$20</c:f>
              <c:strCache>
                <c:ptCount val="2"/>
                <c:pt idx="0">
                  <c:v>Payroll Taxes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Outlook'!$D$20:$F$20</c:f>
              <c:numCache>
                <c:formatCode>#,##0</c:formatCode>
                <c:ptCount val="3"/>
                <c:pt idx="0">
                  <c:v>1243.3720000000001</c:v>
                </c:pt>
                <c:pt idx="1">
                  <c:v>1091.3309999999999</c:v>
                </c:pt>
                <c:pt idx="2">
                  <c:v>1215.3520000000001</c:v>
                </c:pt>
              </c:numCache>
            </c:numRef>
          </c:val>
          <c:extLst>
            <c:ext xmlns:c16="http://schemas.microsoft.com/office/drawing/2014/chart" uri="{C3380CC4-5D6E-409C-BE32-E72D297353CC}">
              <c16:uniqueId val="{00000011-A08C-3D41-B06F-3D5BFF70D649}"/>
            </c:ext>
          </c:extLst>
        </c:ser>
        <c:ser>
          <c:idx val="5"/>
          <c:order val="2"/>
          <c:tx>
            <c:strRef>
              <c:f>'New Outlook'!$B$6:$C$6</c:f>
              <c:strCache>
                <c:ptCount val="2"/>
                <c:pt idx="0">
                  <c:v>Corporate Taxes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Outlook'!$D$6:$F$6</c:f>
              <c:numCache>
                <c:formatCode>#,##0</c:formatCode>
                <c:ptCount val="3"/>
                <c:pt idx="0">
                  <c:v>230.245</c:v>
                </c:pt>
                <c:pt idx="1">
                  <c:v>233.78800000000001</c:v>
                </c:pt>
                <c:pt idx="2">
                  <c:v>256.71199999999999</c:v>
                </c:pt>
              </c:numCache>
            </c:numRef>
          </c:val>
          <c:extLst>
            <c:ext xmlns:c16="http://schemas.microsoft.com/office/drawing/2014/chart" uri="{C3380CC4-5D6E-409C-BE32-E72D297353CC}">
              <c16:uniqueId val="{00000012-A08C-3D41-B06F-3D5BFF70D649}"/>
            </c:ext>
          </c:extLst>
        </c:ser>
        <c:ser>
          <c:idx val="6"/>
          <c:order val="3"/>
          <c:tx>
            <c:strRef>
              <c:f>'New Outlook'!$B$19:$C$19</c:f>
              <c:strCache>
                <c:ptCount val="2"/>
                <c:pt idx="0">
                  <c:v>Corporate Taxes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Outlook'!$D$19:$F$19</c:f>
              <c:numCache>
                <c:formatCode>#,##0</c:formatCode>
                <c:ptCount val="3"/>
                <c:pt idx="0">
                  <c:v>230.245</c:v>
                </c:pt>
                <c:pt idx="1">
                  <c:v>79.788000000000011</c:v>
                </c:pt>
                <c:pt idx="2">
                  <c:v>173.71199999999999</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Outlook'!$B$12:$C$12</c:f>
              <c:strCache>
                <c:ptCount val="2"/>
                <c:pt idx="0">
                  <c:v>Federal Consumption &amp; Expenditures</c:v>
                </c:pt>
                <c:pt idx="1">
                  <c:v>March Outlook</c:v>
                </c:pt>
              </c:strCache>
            </c:strRef>
          </c:tx>
          <c:spPr>
            <a:solidFill>
              <a:schemeClr val="tx2">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Outlook'!$D$12:$F$12</c:f>
              <c:numCache>
                <c:formatCode>General</c:formatCode>
                <c:ptCount val="3"/>
                <c:pt idx="0">
                  <c:v>1403.5</c:v>
                </c:pt>
                <c:pt idx="1">
                  <c:v>1459.6</c:v>
                </c:pt>
                <c:pt idx="2">
                  <c:v>1501.9</c:v>
                </c:pt>
              </c:numCache>
            </c:numRef>
          </c:val>
          <c:extLst>
            <c:ext xmlns:c16="http://schemas.microsoft.com/office/drawing/2014/chart" uri="{C3380CC4-5D6E-409C-BE32-E72D297353CC}">
              <c16:uniqueId val="{00000010-A08C-3D41-B06F-3D5BFF70D649}"/>
            </c:ext>
          </c:extLst>
        </c:ser>
        <c:ser>
          <c:idx val="4"/>
          <c:order val="1"/>
          <c:tx>
            <c:strRef>
              <c:f>'New Outlook'!$B$25:$C$25</c:f>
              <c:strCache>
                <c:ptCount val="2"/>
                <c:pt idx="0">
                  <c:v>Federal Consumption &amp; Expenditures</c:v>
                </c:pt>
                <c:pt idx="1">
                  <c:v>May Outlook</c:v>
                </c:pt>
              </c:strCache>
            </c:strRef>
          </c:tx>
          <c:spPr>
            <a:solidFill>
              <a:schemeClr val="tx2">
                <a:lumMod val="75000"/>
              </a:schemeClr>
            </a:solidFill>
          </c:spPr>
          <c:invertIfNegative val="0"/>
          <c:cat>
            <c:numRef>
              <c:f>'New Outlook'!$D$2:$F$2</c:f>
              <c:numCache>
                <c:formatCode>General</c:formatCode>
                <c:ptCount val="3"/>
                <c:pt idx="0">
                  <c:v>2019</c:v>
                </c:pt>
                <c:pt idx="1">
                  <c:v>2020</c:v>
                </c:pt>
                <c:pt idx="2">
                  <c:v>2021</c:v>
                </c:pt>
              </c:numCache>
            </c:numRef>
          </c:cat>
          <c:val>
            <c:numRef>
              <c:f>'New Outlook'!$D$25:$F$25</c:f>
              <c:numCache>
                <c:formatCode>General</c:formatCode>
                <c:ptCount val="3"/>
                <c:pt idx="0">
                  <c:v>1404</c:v>
                </c:pt>
                <c:pt idx="1">
                  <c:v>1478</c:v>
                </c:pt>
                <c:pt idx="2">
                  <c:v>1533</c:v>
                </c:pt>
              </c:numCache>
            </c:numRef>
          </c:val>
          <c:extLst>
            <c:ext xmlns:c16="http://schemas.microsoft.com/office/drawing/2014/chart" uri="{C3380CC4-5D6E-409C-BE32-E72D297353CC}">
              <c16:uniqueId val="{00000011-A08C-3D41-B06F-3D5BFF70D649}"/>
            </c:ext>
          </c:extLst>
        </c:ser>
        <c:ser>
          <c:idx val="5"/>
          <c:order val="2"/>
          <c:tx>
            <c:strRef>
              <c:f>'New Outlook'!$B$13:$C$13</c:f>
              <c:strCache>
                <c:ptCount val="2"/>
                <c:pt idx="0">
                  <c:v>State and Local Consumption and Expenditures</c:v>
                </c:pt>
                <c:pt idx="1">
                  <c:v>March Outlook</c:v>
                </c:pt>
              </c:strCache>
            </c:strRef>
          </c:tx>
          <c:spPr>
            <a:solidFill>
              <a:schemeClr val="accent6">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Outlook'!$D$13:$F$13</c:f>
              <c:numCache>
                <c:formatCode>General</c:formatCode>
                <c:ptCount val="3"/>
                <c:pt idx="0">
                  <c:v>2307.3000000000002</c:v>
                </c:pt>
                <c:pt idx="1">
                  <c:v>2400.3000000000002</c:v>
                </c:pt>
                <c:pt idx="2">
                  <c:v>2488.9</c:v>
                </c:pt>
              </c:numCache>
            </c:numRef>
          </c:val>
          <c:extLst>
            <c:ext xmlns:c16="http://schemas.microsoft.com/office/drawing/2014/chart" uri="{C3380CC4-5D6E-409C-BE32-E72D297353CC}">
              <c16:uniqueId val="{00000012-A08C-3D41-B06F-3D5BFF70D649}"/>
            </c:ext>
          </c:extLst>
        </c:ser>
        <c:ser>
          <c:idx val="6"/>
          <c:order val="3"/>
          <c:tx>
            <c:strRef>
              <c:f>'New Outlook'!$B$26:$C$26</c:f>
              <c:strCache>
                <c:ptCount val="2"/>
                <c:pt idx="0">
                  <c:v>State and Local Consumption and Expenditures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Outlook'!$D$26:$F$26</c:f>
              <c:numCache>
                <c:formatCode>General</c:formatCode>
                <c:ptCount val="3"/>
                <c:pt idx="0">
                  <c:v>2307</c:v>
                </c:pt>
                <c:pt idx="1">
                  <c:v>2305</c:v>
                </c:pt>
                <c:pt idx="2">
                  <c:v>2286</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033259895767472E-2"/>
          <c:y val="2.307781380268643E-2"/>
          <c:w val="0.91696674010423251"/>
          <c:h val="0.8114490835704361"/>
        </c:manualLayout>
      </c:layout>
      <c:barChart>
        <c:barDir val="col"/>
        <c:grouping val="clustered"/>
        <c:varyColors val="0"/>
        <c:ser>
          <c:idx val="0"/>
          <c:order val="0"/>
          <c:tx>
            <c:strRef>
              <c:f>'Corp Taxes'!$E$14</c:f>
              <c:strCache>
                <c:ptCount val="1"/>
                <c:pt idx="0">
                  <c:v>Quarterly outlays</c:v>
                </c:pt>
              </c:strCache>
            </c:strRef>
          </c:tx>
          <c:spPr>
            <a:solidFill>
              <a:schemeClr val="accent1"/>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Taxes'!$E$16:$E$22</c:f>
              <c:numCache>
                <c:formatCode>0.00</c:formatCode>
                <c:ptCount val="7"/>
                <c:pt idx="0">
                  <c:v>-12.833333333333332</c:v>
                </c:pt>
                <c:pt idx="1">
                  <c:v>-12.833333333333332</c:v>
                </c:pt>
                <c:pt idx="2">
                  <c:v>-6.9166666666666661</c:v>
                </c:pt>
                <c:pt idx="3">
                  <c:v>-6.9166666666666661</c:v>
                </c:pt>
                <c:pt idx="4">
                  <c:v>-6.9166666666666661</c:v>
                </c:pt>
                <c:pt idx="5">
                  <c:v>-6.9166666666666661</c:v>
                </c:pt>
                <c:pt idx="6">
                  <c:v>-6.9166666666666661</c:v>
                </c:pt>
              </c:numCache>
            </c:numRef>
          </c:val>
          <c:extLst>
            <c:ext xmlns:c16="http://schemas.microsoft.com/office/drawing/2014/chart" uri="{C3380CC4-5D6E-409C-BE32-E72D297353CC}">
              <c16:uniqueId val="{00000000-01D7-9642-A406-E0ABA3EB01A1}"/>
            </c:ext>
          </c:extLst>
        </c:ser>
        <c:ser>
          <c:idx val="1"/>
          <c:order val="1"/>
          <c:tx>
            <c:strRef>
              <c:f>'Corp Taxes'!$F$14</c:f>
              <c:strCache>
                <c:ptCount val="1"/>
                <c:pt idx="0">
                  <c:v>Corporate spending (Outlays * MPC)</c:v>
                </c:pt>
              </c:strCache>
            </c:strRef>
          </c:tx>
          <c:spPr>
            <a:solidFill>
              <a:schemeClr val="accent2"/>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Taxes'!$F$16:$F$22</c:f>
              <c:numCache>
                <c:formatCode>0.00</c:formatCode>
                <c:ptCount val="7"/>
                <c:pt idx="0">
                  <c:v>0.42777777777777776</c:v>
                </c:pt>
                <c:pt idx="1">
                  <c:v>0.85555555555555551</c:v>
                </c:pt>
                <c:pt idx="2">
                  <c:v>1.086111111111111</c:v>
                </c:pt>
                <c:pt idx="3">
                  <c:v>1.3166666666666667</c:v>
                </c:pt>
                <c:pt idx="4">
                  <c:v>1.5472222222222223</c:v>
                </c:pt>
                <c:pt idx="5">
                  <c:v>1.7777777777777777</c:v>
                </c:pt>
                <c:pt idx="6">
                  <c:v>2.0083333333333333</c:v>
                </c:pt>
              </c:numCache>
            </c:numRef>
          </c:val>
          <c:extLst>
            <c:ext xmlns:c16="http://schemas.microsoft.com/office/drawing/2014/chart" uri="{C3380CC4-5D6E-409C-BE32-E72D297353CC}">
              <c16:uniqueId val="{00000001-01D7-9642-A406-E0ABA3EB01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6</xdr:col>
      <xdr:colOff>781050</xdr:colOff>
      <xdr:row>14</xdr:row>
      <xdr:rowOff>190500</xdr:rowOff>
    </xdr:from>
    <xdr:to>
      <xdr:col>14</xdr:col>
      <xdr:colOff>596900</xdr:colOff>
      <xdr:row>26</xdr:row>
      <xdr:rowOff>114300</xdr:rowOff>
    </xdr:to>
    <xdr:graphicFrame macro="">
      <xdr:nvGraphicFramePr>
        <xdr:cNvPr id="86" name="Chart 1">
          <a:extLst>
            <a:ext uri="{FF2B5EF4-FFF2-40B4-BE49-F238E27FC236}">
              <a16:creationId xmlns:a16="http://schemas.microsoft.com/office/drawing/2014/main" id="{04E636E4-AFB2-C742-BAB5-82926EF0FC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654050</xdr:colOff>
      <xdr:row>13</xdr:row>
      <xdr:rowOff>50800</xdr:rowOff>
    </xdr:from>
    <xdr:to>
      <xdr:col>15</xdr:col>
      <xdr:colOff>0</xdr:colOff>
      <xdr:row>24</xdr:row>
      <xdr:rowOff>177800</xdr:rowOff>
    </xdr:to>
    <xdr:graphicFrame macro="">
      <xdr:nvGraphicFramePr>
        <xdr:cNvPr id="4" name="Chart 1">
          <a:extLst>
            <a:ext uri="{FF2B5EF4-FFF2-40B4-BE49-F238E27FC236}">
              <a16:creationId xmlns:a16="http://schemas.microsoft.com/office/drawing/2014/main" id="{13F9C501-B690-5D4B-BCD9-FF60111F8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6350</xdr:colOff>
      <xdr:row>15</xdr:row>
      <xdr:rowOff>50800</xdr:rowOff>
    </xdr:from>
    <xdr:to>
      <xdr:col>15</xdr:col>
      <xdr:colOff>76200</xdr:colOff>
      <xdr:row>26</xdr:row>
      <xdr:rowOff>177800</xdr:rowOff>
    </xdr:to>
    <xdr:graphicFrame macro="">
      <xdr:nvGraphicFramePr>
        <xdr:cNvPr id="2" name="Chart 1">
          <a:extLst>
            <a:ext uri="{FF2B5EF4-FFF2-40B4-BE49-F238E27FC236}">
              <a16:creationId xmlns:a16="http://schemas.microsoft.com/office/drawing/2014/main" id="{F2D5A745-8BE6-2442-99D1-4AA2FEC3D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FB332F5C-EC9B-FC4B-AF2F-D728AB03B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BD72DAA3-33E1-C249-8148-1B9E2F42E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641350</xdr:colOff>
      <xdr:row>2</xdr:row>
      <xdr:rowOff>31750</xdr:rowOff>
    </xdr:from>
    <xdr:to>
      <xdr:col>19</xdr:col>
      <xdr:colOff>762000</xdr:colOff>
      <xdr:row>15</xdr:row>
      <xdr:rowOff>12700</xdr:rowOff>
    </xdr:to>
    <xdr:graphicFrame macro="">
      <xdr:nvGraphicFramePr>
        <xdr:cNvPr id="5" name="Chart 4">
          <a:extLst>
            <a:ext uri="{FF2B5EF4-FFF2-40B4-BE49-F238E27FC236}">
              <a16:creationId xmlns:a16="http://schemas.microsoft.com/office/drawing/2014/main" id="{7CE1AD58-6937-3C4D-BB0B-7D8638649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374650</xdr:colOff>
      <xdr:row>2</xdr:row>
      <xdr:rowOff>44450</xdr:rowOff>
    </xdr:from>
    <xdr:to>
      <xdr:col>21</xdr:col>
      <xdr:colOff>812800</xdr:colOff>
      <xdr:row>26</xdr:row>
      <xdr:rowOff>165100</xdr:rowOff>
    </xdr:to>
    <xdr:graphicFrame macro="">
      <xdr:nvGraphicFramePr>
        <xdr:cNvPr id="7" name="Chart 6">
          <a:extLst>
            <a:ext uri="{FF2B5EF4-FFF2-40B4-BE49-F238E27FC236}">
              <a16:creationId xmlns:a16="http://schemas.microsoft.com/office/drawing/2014/main" id="{18DAA80A-467D-E64E-AFE5-511F78457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241300</xdr:colOff>
      <xdr:row>4</xdr:row>
      <xdr:rowOff>114300</xdr:rowOff>
    </xdr:from>
    <xdr:to>
      <xdr:col>14</xdr:col>
      <xdr:colOff>774700</xdr:colOff>
      <xdr:row>26</xdr:row>
      <xdr:rowOff>114300</xdr:rowOff>
    </xdr:to>
    <xdr:graphicFrame macro="">
      <xdr:nvGraphicFramePr>
        <xdr:cNvPr id="11" name="Chart 10">
          <a:extLst>
            <a:ext uri="{FF2B5EF4-FFF2-40B4-BE49-F238E27FC236}">
              <a16:creationId xmlns:a16="http://schemas.microsoft.com/office/drawing/2014/main" id="{D943477C-4C2F-2041-B88F-11A38004C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292100</xdr:colOff>
      <xdr:row>3</xdr:row>
      <xdr:rowOff>177800</xdr:rowOff>
    </xdr:from>
    <xdr:to>
      <xdr:col>16</xdr:col>
      <xdr:colOff>400050</xdr:colOff>
      <xdr:row>27</xdr:row>
      <xdr:rowOff>101600</xdr:rowOff>
    </xdr:to>
    <xdr:graphicFrame macro="">
      <xdr:nvGraphicFramePr>
        <xdr:cNvPr id="12" name="Chart 11">
          <a:extLst>
            <a:ext uri="{FF2B5EF4-FFF2-40B4-BE49-F238E27FC236}">
              <a16:creationId xmlns:a16="http://schemas.microsoft.com/office/drawing/2014/main" id="{B5DB7AF2-BCA0-8543-82F1-F8EF65825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28</xdr:row>
      <xdr:rowOff>0</xdr:rowOff>
    </xdr:from>
    <xdr:to>
      <xdr:col>13</xdr:col>
      <xdr:colOff>107950</xdr:colOff>
      <xdr:row>51</xdr:row>
      <xdr:rowOff>127000</xdr:rowOff>
    </xdr:to>
    <xdr:graphicFrame macro="">
      <xdr:nvGraphicFramePr>
        <xdr:cNvPr id="13" name="Chart 12">
          <a:extLst>
            <a:ext uri="{FF2B5EF4-FFF2-40B4-BE49-F238E27FC236}">
              <a16:creationId xmlns:a16="http://schemas.microsoft.com/office/drawing/2014/main" id="{94B9E241-10FE-9845-B9F8-6CC055D29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736600</xdr:colOff>
      <xdr:row>10</xdr:row>
      <xdr:rowOff>12700</xdr:rowOff>
    </xdr:from>
    <xdr:to>
      <xdr:col>14</xdr:col>
      <xdr:colOff>19050</xdr:colOff>
      <xdr:row>33</xdr:row>
      <xdr:rowOff>139700</xdr:rowOff>
    </xdr:to>
    <xdr:graphicFrame macro="">
      <xdr:nvGraphicFramePr>
        <xdr:cNvPr id="14" name="Chart 13">
          <a:extLst>
            <a:ext uri="{FF2B5EF4-FFF2-40B4-BE49-F238E27FC236}">
              <a16:creationId xmlns:a16="http://schemas.microsoft.com/office/drawing/2014/main" id="{BF92BA3D-74A4-3A41-98BC-C2200B964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501650</xdr:colOff>
      <xdr:row>12</xdr:row>
      <xdr:rowOff>50800</xdr:rowOff>
    </xdr:from>
    <xdr:to>
      <xdr:col>15</xdr:col>
      <xdr:colOff>584200</xdr:colOff>
      <xdr:row>23</xdr:row>
      <xdr:rowOff>177800</xdr:rowOff>
    </xdr:to>
    <xdr:graphicFrame macro="">
      <xdr:nvGraphicFramePr>
        <xdr:cNvPr id="2" name="Chart 1">
          <a:extLst>
            <a:ext uri="{FF2B5EF4-FFF2-40B4-BE49-F238E27FC236}">
              <a16:creationId xmlns:a16="http://schemas.microsoft.com/office/drawing/2014/main" id="{34AAF22F-83B4-8E49-BAE2-DF19B7819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age Belz" id="{5B8CA88A-2E77-D04F-8523-52F2C1BE7F91}" userId="SBelz@brookings.edu" providerId="PeoplePicker"/>
  <person displayName="Sage Belz" id="{CBE80529-F4F9-A846-A9A1-8CA08768DE00}" userId="S::sbelz@brookings.edu::67520b67-e296-49d4-8014-a3b92a17c114" providerId="AD"/>
  <person displayName="Kadija Yilla" id="{1AACD462-A48F-D044-8294-6030CBEF28E7}" userId="S::kyilla@brookings.edu::1d0f8558-0594-40f7-8134-e540cb01b2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1" dT="2020-06-11T19:48:42.71" personId="{CBE80529-F4F9-A846-A9A1-8CA08768DE00}" id="{90D3FAAC-4C71-454D-889D-BA0AE2208815}">
    <text>This estimate is consistet with CBO’s monthly budget review for May 2020, which says receipts were 175 billion for the month. On an annual basis, that’s about 2.1 trillion.</text>
  </threadedComment>
</ThreadedComments>
</file>

<file path=xl/threadedComments/threadedComment2.xml><?xml version="1.0" encoding="utf-8"?>
<ThreadedComments xmlns="http://schemas.microsoft.com/office/spreadsheetml/2018/threadedcomments" xmlns:x="http://schemas.openxmlformats.org/spreadsheetml/2006/main">
  <threadedComment ref="A37" dT="2020-06-23T17:48:31.84" personId="{1AACD462-A48F-D044-8294-6030CBEF28E7}" id="{DF0F8DD3-E9DD-3346-9397-8195690F7BE8}">
    <text>all federal</text>
  </threadedComment>
</ThreadedComments>
</file>

<file path=xl/threadedComments/threadedComment3.xml><?xml version="1.0" encoding="utf-8"?>
<ThreadedComments xmlns="http://schemas.microsoft.com/office/spreadsheetml/2018/threadedcomments" xmlns:x="http://schemas.openxmlformats.org/spreadsheetml/2006/main">
  <threadedComment ref="H6" dT="2020-06-17T01:39:23.05" personId="{1AACD462-A48F-D044-8294-6030CBEF28E7}" id="{7F062FAF-0B27-DE44-8E9C-E2575990EB01}">
    <text xml:space="preserve">where were these coming from anyway? </text>
  </threadedComment>
</ThreadedComments>
</file>

<file path=xl/threadedComments/threadedComment4.xml><?xml version="1.0" encoding="utf-8"?>
<ThreadedComments xmlns="http://schemas.microsoft.com/office/spreadsheetml/2018/threadedcomments" xmlns:x="http://schemas.openxmlformats.org/spreadsheetml/2006/main">
  <threadedComment ref="G4" dT="2020-05-22T21:39:43.28" personId="{1AACD462-A48F-D044-8294-6030CBEF28E7}" id="{3297EB01-8ACA-6D45-AD2C-4BF180E4184B}">
    <text>changed to match the new timing proposal</text>
  </threadedComment>
  <threadedComment ref="A13" dT="2020-05-21T20:48:10.89" personId="{CBE80529-F4F9-A846-A9A1-8CA08768DE00}" id="{5AED715A-DA7D-0044-9818-62D0A52D7693}">
    <text>CBO assumed that unemployment peaks at 12 in Q2 and falls gradually to 10 by the end of the year. LEt’s just scale up the spending to get something closer to what would happen if unemployment peaks at 15 and falls gradually from there</text>
  </threadedComment>
  <threadedComment ref="A16" dT="2020-05-21T20:34:21.84" personId="{CBE80529-F4F9-A846-A9A1-8CA08768DE00}" id="{8872309E-FD66-8240-8AE4-9C41C37ECE5F}">
    <text>Remember we have to adjust the FY from CBO score into calendar years by leading by 1 quarter</text>
  </threadedComment>
  <threadedComment ref="A16" dT="2020-05-21T20:53:10.99" personId="{1AACD462-A48F-D044-8294-6030CBEF28E7}" id="{97A0CB86-EECE-CF47-B2E3-2966F90F1CEA}" parentId="{8872309E-FD66-8240-8AE4-9C41C37ECE5F}">
    <text>@Sage Belz ah yes forgot about that. if they only give us scores up until FY 2021, then why do we need 2022 listed here. Should the % of outlays in that quarter be 0?</text>
    <mentions>
      <mention mentionpersonId="{5B8CA88A-2E77-D04F-8523-52F2C1BE7F91}" mentionId="{01C89607-FE84-BC4A-B0DF-083DC4B6D552}" startIndex="0" length="10"/>
    </mentions>
  </threadedComment>
  <threadedComment ref="A16" dT="2020-05-21T21:02:38.74" personId="{1AACD462-A48F-D044-8294-6030CBEF28E7}" id="{E7578764-89F3-BF4B-AE9E-705DA705D9C8}" parentId="{8872309E-FD66-8240-8AE4-9C41C37ECE5F}">
    <text>also since we already have figures from the first quarter of 2020, shouldn’t we move the numbers down by 1 row? or am i missing something?</text>
  </threadedComment>
  <threadedComment ref="D18" dT="2020-05-21T20:31:14.47" personId="{CBE80529-F4F9-A846-A9A1-8CA08768DE00}" id="{75FBA215-12C7-A146-931C-3CFCDCDD180E}">
    <text>Jay’s piece says 48 billion went out in april. Since there are 3 months in a quarter, i multiplied this by 3 and calculated what share of the total that is. (They might even spend more of it in May and June, but this seemed like a good starting point).</text>
  </threadedComment>
  <threadedComment ref="D19" dT="2020-05-21T20:31:43.28" personId="{CBE80529-F4F9-A846-A9A1-8CA08768DE00}" id="{AC91D6F8-948A-774C-B3A3-772606721104}" done="1">
    <text>Arbitrarily guessed that they spend 3/4 of the remaining funds in quarter 3</text>
  </threadedComment>
  <threadedComment ref="D20" dT="2020-05-21T20:33:58.95" personId="{CBE80529-F4F9-A846-A9A1-8CA08768DE00}" id="{1E167687-808E-3C4C-B427-03888BAECF11}" done="1">
    <text xml:space="preserve">Assume they spend it evenly in 2021
</text>
  </threadedComment>
</ThreadedComments>
</file>

<file path=xl/threadedComments/threadedComment5.xml><?xml version="1.0" encoding="utf-8"?>
<ThreadedComments xmlns="http://schemas.microsoft.com/office/spreadsheetml/2018/threadedcomments" xmlns:x="http://schemas.openxmlformats.org/spreadsheetml/2006/main">
  <threadedComment ref="A11" dT="2020-05-21T20:48:10.89" personId="{CBE80529-F4F9-A846-A9A1-8CA08768DE00}" id="{5B744F39-B9F4-7841-87B4-B0FB94FEF4AD}">
    <text>CBO assumed that unemployment peaks at 12 in Q2 and falls gradually to 10 by the end of the year. LEt’s just scale up the spending to get something closer to what would happen if unemployment peaks at 15 and falls gradually from there</text>
  </threadedComment>
</ThreadedComments>
</file>

<file path=xl/threadedComments/threadedComment6.xml><?xml version="1.0" encoding="utf-8"?>
<ThreadedComments xmlns="http://schemas.microsoft.com/office/spreadsheetml/2018/threadedcomments" xmlns:x="http://schemas.openxmlformats.org/spreadsheetml/2006/main">
  <threadedComment ref="D19" dT="2020-05-22T21:56:31.46" personId="{1AACD462-A48F-D044-8294-6030CBEF28E7}" id="{C16328F1-A3BA-884C-9122-E1D48E42D1B6}">
    <text>same assumptions as timing of mpc</text>
  </threadedComment>
  <threadedComment ref="D19" dT="2020-05-22T21:57:07.43" personId="{1AACD462-A48F-D044-8294-6030CBEF28E7}" id="{8FE964B6-573E-7941-ADD6-68228DEFC133}" parentId="{C16328F1-A3BA-884C-9122-E1D48E42D1B6}">
    <text>*doubled the assumption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E16" dT="2020-05-21T22:09:50.97" personId="{1AACD462-A48F-D044-8294-6030CBEF28E7}" id="{32C04EF0-90CF-AF41-9801-1306953EDE81}">
    <text>these negatives are really confusing to me lol</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fiscal.treasury.gov/files/reports-statements/mts/mts0520.pdf" TargetMode="External"/><Relationship Id="rId1" Type="http://schemas.openxmlformats.org/officeDocument/2006/relationships/hyperlink" Target="https://www.brookings.edu/blog/up-front/2020/05/13/incomes-have-crashed-how-much-has-unemployment-insurance-helped/" TargetMode="External"/><Relationship Id="rId6" Type="http://schemas.microsoft.com/office/2017/10/relationships/threadedComment" Target="../threadedComments/threadedComment4.xm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irs.gov/newsroom/159-million-economic-impact-payments-processed-low-income-people-and-others-who-arent-required-to-file-tax-returns-can-quickly-register-for-payment-with-irs-non-filers-tool" TargetMode="External"/><Relationship Id="rId1" Type="http://schemas.openxmlformats.org/officeDocument/2006/relationships/hyperlink" Target="https://www.businessinsider.com/americans-are-spending-their-stimulus-checks-on-food-video-games-2020-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4"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7" Type="http://schemas.microsoft.com/office/2017/10/relationships/threadedComment" Target="../threadedComments/threadedComment6.xm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7.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EC62-53F5-5A49-A4EC-0E0C7FDC96B6}">
  <dimension ref="A1:I16"/>
  <sheetViews>
    <sheetView zoomScale="150" zoomScaleNormal="150" workbookViewId="0">
      <selection activeCell="B13" sqref="B13"/>
    </sheetView>
  </sheetViews>
  <sheetFormatPr defaultColWidth="10.625" defaultRowHeight="15.95"/>
  <sheetData>
    <row r="1" spans="1:9">
      <c r="A1" t="s">
        <v>0</v>
      </c>
      <c r="B1" t="s">
        <v>1</v>
      </c>
      <c r="C1" t="s">
        <v>2</v>
      </c>
      <c r="D1" t="s">
        <v>3</v>
      </c>
      <c r="E1" t="s">
        <v>4</v>
      </c>
      <c r="F1" t="s">
        <v>5</v>
      </c>
      <c r="G1" t="s">
        <v>6</v>
      </c>
      <c r="H1" t="s">
        <v>7</v>
      </c>
      <c r="I1" t="s">
        <v>8</v>
      </c>
    </row>
    <row r="2" spans="1:9">
      <c r="A2">
        <v>2019</v>
      </c>
      <c r="B2" s="7">
        <v>2608.8469999999998</v>
      </c>
      <c r="C2" s="6">
        <v>1717.857</v>
      </c>
      <c r="D2" s="6">
        <v>271.327</v>
      </c>
      <c r="E2" s="6">
        <v>230.245</v>
      </c>
      <c r="F2" s="6">
        <v>1243.3720000000001</v>
      </c>
      <c r="G2" s="7">
        <v>775.40599999999995</v>
      </c>
      <c r="H2" s="7">
        <v>409.42099999999999</v>
      </c>
      <c r="I2" s="7">
        <v>27.626999999999999</v>
      </c>
    </row>
    <row r="3" spans="1:9">
      <c r="A3">
        <v>2020</v>
      </c>
      <c r="B3" s="7">
        <v>2734.0140000000001</v>
      </c>
      <c r="C3" s="6">
        <v>1791.395</v>
      </c>
      <c r="D3" s="6">
        <v>304.77100000000002</v>
      </c>
      <c r="E3" s="6">
        <v>233.78800000000001</v>
      </c>
      <c r="F3" s="6">
        <v>1302.3309999999999</v>
      </c>
      <c r="G3" s="7">
        <v>828.22199999999998</v>
      </c>
      <c r="H3" s="7">
        <v>423.15</v>
      </c>
      <c r="I3" s="7">
        <v>28.533000000000001</v>
      </c>
    </row>
    <row r="4" spans="1:9">
      <c r="A4">
        <v>2021</v>
      </c>
      <c r="B4" s="7">
        <v>2867.57</v>
      </c>
      <c r="C4" s="6">
        <v>1904.3630000000001</v>
      </c>
      <c r="D4" s="6">
        <v>298.04599999999999</v>
      </c>
      <c r="E4" s="6">
        <v>256.71199999999999</v>
      </c>
      <c r="F4" s="6">
        <v>1356.3520000000001</v>
      </c>
      <c r="G4" s="7">
        <v>885.96</v>
      </c>
      <c r="H4" s="7">
        <v>442.846</v>
      </c>
      <c r="I4" s="7">
        <v>30.507000000000001</v>
      </c>
    </row>
    <row r="5" spans="1:9">
      <c r="A5">
        <v>2022</v>
      </c>
      <c r="B5" s="7">
        <v>3087.7400000000002</v>
      </c>
      <c r="C5" s="6">
        <v>1995.787</v>
      </c>
      <c r="D5" s="6">
        <v>304.31299999999999</v>
      </c>
      <c r="E5" s="6">
        <v>291.74700000000001</v>
      </c>
      <c r="F5" s="6">
        <v>1408.539</v>
      </c>
      <c r="G5" s="7">
        <v>992.62699999999995</v>
      </c>
      <c r="H5" s="7">
        <v>465.267</v>
      </c>
      <c r="I5" s="7">
        <v>34.828000000000003</v>
      </c>
    </row>
    <row r="6" spans="1:9">
      <c r="A6">
        <v>2023</v>
      </c>
      <c r="B6" s="7">
        <v>3217.16</v>
      </c>
      <c r="C6" s="6">
        <v>2095.6280000000002</v>
      </c>
      <c r="D6" s="6">
        <v>311.62700000000001</v>
      </c>
      <c r="E6" s="6">
        <v>333.89499999999998</v>
      </c>
      <c r="F6" s="6">
        <v>1463.7149999999999</v>
      </c>
      <c r="G6" s="7">
        <v>1027.2270000000001</v>
      </c>
      <c r="H6" s="7">
        <v>492.887</v>
      </c>
      <c r="I6" s="7">
        <v>41.956000000000003</v>
      </c>
    </row>
    <row r="7" spans="1:9">
      <c r="A7">
        <v>2024</v>
      </c>
      <c r="B7" s="7">
        <v>3342.3100000000004</v>
      </c>
      <c r="C7" s="6">
        <v>2178.39</v>
      </c>
      <c r="D7" s="6">
        <v>317.41899999999998</v>
      </c>
      <c r="E7" s="6">
        <v>362.428</v>
      </c>
      <c r="F7" s="6">
        <v>1523.1579999999999</v>
      </c>
      <c r="G7" s="7">
        <v>1055.278</v>
      </c>
      <c r="H7" s="7">
        <v>522.05100000000004</v>
      </c>
      <c r="I7" s="7">
        <v>46.265999999999998</v>
      </c>
    </row>
    <row r="8" spans="1:9">
      <c r="A8">
        <v>2025</v>
      </c>
      <c r="B8" s="7">
        <v>3595.72</v>
      </c>
      <c r="C8" s="6">
        <v>2266.451</v>
      </c>
      <c r="D8" s="6">
        <v>325.99900000000002</v>
      </c>
      <c r="E8" s="6">
        <v>386.15199999999999</v>
      </c>
      <c r="F8" s="6">
        <v>1583.605</v>
      </c>
      <c r="G8" s="7">
        <v>1182.252</v>
      </c>
      <c r="H8" s="7">
        <v>552.42999999999995</v>
      </c>
      <c r="I8" s="7">
        <v>47.701000000000001</v>
      </c>
    </row>
    <row r="9" spans="1:9">
      <c r="A9">
        <v>2026</v>
      </c>
      <c r="B9" s="7">
        <v>3818.7599999999998</v>
      </c>
      <c r="C9" s="6">
        <v>2483.5729999999999</v>
      </c>
      <c r="D9" s="6">
        <v>339.74299999999999</v>
      </c>
      <c r="E9" s="6">
        <v>384.91300000000001</v>
      </c>
      <c r="F9" s="6">
        <v>1642.366</v>
      </c>
      <c r="G9" s="7">
        <v>1269.2719999999999</v>
      </c>
      <c r="H9" s="7">
        <v>584.70500000000004</v>
      </c>
      <c r="I9" s="7">
        <v>50.38</v>
      </c>
    </row>
    <row r="10" spans="1:9">
      <c r="A10">
        <v>2027</v>
      </c>
      <c r="B10" s="7">
        <v>4017.3500000000004</v>
      </c>
      <c r="C10" s="6">
        <v>2708.7040000000002</v>
      </c>
      <c r="D10" s="6">
        <v>359.16500000000002</v>
      </c>
      <c r="E10" s="6">
        <v>382.13799999999998</v>
      </c>
      <c r="F10" s="6">
        <v>1703.42</v>
      </c>
      <c r="G10" s="7">
        <v>1362.9860000000001</v>
      </c>
      <c r="H10" s="7">
        <v>618.66200000000003</v>
      </c>
      <c r="I10" s="7">
        <v>52.034999999999997</v>
      </c>
    </row>
    <row r="11" spans="1:9">
      <c r="A11">
        <v>2028</v>
      </c>
      <c r="B11" s="7">
        <v>4340.5150000000003</v>
      </c>
      <c r="C11" s="6">
        <v>2808.7269999999999</v>
      </c>
      <c r="D11" s="6">
        <v>374.762</v>
      </c>
      <c r="E11" s="6">
        <v>390.16300000000001</v>
      </c>
      <c r="F11" s="6">
        <v>1767.7929999999999</v>
      </c>
      <c r="G11" s="7">
        <v>1531.1179999999999</v>
      </c>
      <c r="H11" s="7">
        <v>654.07100000000003</v>
      </c>
      <c r="I11" s="7">
        <v>53.704000000000001</v>
      </c>
    </row>
    <row r="12" spans="1:9">
      <c r="A12">
        <v>2029</v>
      </c>
      <c r="B12" s="7">
        <v>4391.8019999999997</v>
      </c>
      <c r="C12" s="6">
        <v>2926.9369999999999</v>
      </c>
      <c r="D12" s="6">
        <v>387.25799999999998</v>
      </c>
      <c r="E12" s="6">
        <v>397.81200000000001</v>
      </c>
      <c r="F12" s="6">
        <v>1831.999</v>
      </c>
      <c r="G12" s="7">
        <v>1503.9269999999999</v>
      </c>
      <c r="H12" s="7">
        <v>691.42899999999997</v>
      </c>
      <c r="I12" s="7">
        <v>55.768999999999998</v>
      </c>
    </row>
    <row r="13" spans="1:9">
      <c r="A13">
        <v>2030</v>
      </c>
      <c r="B13" s="7">
        <v>4772.277</v>
      </c>
      <c r="C13" s="6">
        <v>3046.0250000000001</v>
      </c>
      <c r="D13" s="6">
        <v>395.19</v>
      </c>
      <c r="E13" s="6">
        <v>405.71699999999998</v>
      </c>
      <c r="F13" s="6">
        <v>1896.2429999999999</v>
      </c>
      <c r="G13" s="7">
        <v>1714.636</v>
      </c>
      <c r="H13" s="7">
        <v>731.21</v>
      </c>
      <c r="I13" s="7">
        <v>57.305999999999997</v>
      </c>
    </row>
    <row r="15" spans="1:9">
      <c r="B15" t="s">
        <v>9</v>
      </c>
    </row>
    <row r="16" spans="1:9">
      <c r="B1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BD290-F598-8243-8213-C3F2BC13768D}">
  <dimension ref="A2:Y62"/>
  <sheetViews>
    <sheetView zoomScale="140" zoomScaleNormal="140" workbookViewId="0">
      <pane ySplit="2" topLeftCell="C61" activePane="bottomLeft" state="frozen"/>
      <selection pane="bottomLeft" activeCell="C61" sqref="C61"/>
    </sheetView>
  </sheetViews>
  <sheetFormatPr defaultColWidth="10.625" defaultRowHeight="15.95"/>
  <cols>
    <col min="1" max="1" width="45.875" customWidth="1"/>
    <col min="11" max="11" width="31.625" customWidth="1"/>
    <col min="12" max="13" width="7.875" bestFit="1" customWidth="1"/>
    <col min="14" max="15" width="2.125" bestFit="1" customWidth="1"/>
  </cols>
  <sheetData>
    <row r="2" spans="1:25">
      <c r="B2" t="str">
        <f>'Automatic Stabilizers'!B1</f>
        <v>2020Q1</v>
      </c>
      <c r="C2" t="str">
        <f>'Automatic Stabilizers'!C1</f>
        <v>2020Q2</v>
      </c>
      <c r="D2" t="str">
        <f>'Automatic Stabilizers'!D1</f>
        <v>2020Q3</v>
      </c>
      <c r="E2" t="str">
        <f>'Automatic Stabilizers'!E1</f>
        <v>2020Q4</v>
      </c>
      <c r="F2" t="str">
        <f>'Automatic Stabilizers'!F1</f>
        <v>2021Q1</v>
      </c>
      <c r="G2" t="str">
        <f>'Automatic Stabilizers'!G1</f>
        <v>2021Q2</v>
      </c>
      <c r="H2" t="str">
        <f>'Automatic Stabilizers'!H1</f>
        <v>2021Q3</v>
      </c>
      <c r="I2" t="str">
        <f>'Automatic Stabilizers'!I1</f>
        <v>2021Q4</v>
      </c>
    </row>
    <row r="3" spans="1:25">
      <c r="A3" s="1" t="s">
        <v>11</v>
      </c>
      <c r="C3" s="70"/>
      <c r="D3" s="70"/>
      <c r="E3" s="70"/>
      <c r="F3" s="70"/>
      <c r="G3" s="70"/>
      <c r="H3" s="70"/>
      <c r="I3" s="70"/>
    </row>
    <row r="4" spans="1:25">
      <c r="A4" s="45" t="s">
        <v>12</v>
      </c>
      <c r="B4" s="70">
        <v>1788</v>
      </c>
      <c r="C4" s="70">
        <v>1788</v>
      </c>
      <c r="D4" s="70">
        <v>1788</v>
      </c>
      <c r="E4" s="70">
        <v>1838</v>
      </c>
      <c r="F4" s="70">
        <v>1838</v>
      </c>
      <c r="G4" s="70">
        <v>1838</v>
      </c>
      <c r="H4" s="70">
        <v>1838</v>
      </c>
      <c r="I4" s="70">
        <v>1916</v>
      </c>
    </row>
    <row r="5" spans="1:25">
      <c r="A5" s="45" t="s">
        <v>13</v>
      </c>
      <c r="B5" s="70">
        <v>2390.6999999999998</v>
      </c>
      <c r="C5" s="70">
        <v>2243.4</v>
      </c>
      <c r="D5" s="70">
        <v>2221.6999999999998</v>
      </c>
      <c r="E5" s="70">
        <v>2251.1999999999998</v>
      </c>
      <c r="F5" s="70">
        <v>2280.3000000000002</v>
      </c>
      <c r="G5" s="70">
        <v>2295</v>
      </c>
      <c r="H5" s="70">
        <v>2318.1</v>
      </c>
      <c r="I5" s="70">
        <v>2336.4</v>
      </c>
    </row>
    <row r="6" spans="1:25">
      <c r="A6" s="1" t="s">
        <v>14</v>
      </c>
      <c r="B6" s="70"/>
      <c r="C6" s="70"/>
      <c r="D6" s="70"/>
      <c r="E6" s="70"/>
      <c r="F6" s="70"/>
      <c r="G6" s="70"/>
      <c r="H6" s="70"/>
      <c r="I6" s="70"/>
      <c r="V6" t="s">
        <v>15</v>
      </c>
      <c r="W6" t="s">
        <v>16</v>
      </c>
      <c r="X6" t="s">
        <v>17</v>
      </c>
      <c r="Y6" t="s">
        <v>18</v>
      </c>
    </row>
    <row r="7" spans="1:25" s="82" customFormat="1">
      <c r="A7" s="82" t="s">
        <v>19</v>
      </c>
      <c r="B7" s="81"/>
      <c r="C7" s="81"/>
      <c r="D7" s="81"/>
      <c r="E7" s="81"/>
      <c r="F7" s="81"/>
      <c r="G7" s="81"/>
      <c r="H7" s="81"/>
      <c r="I7" s="81"/>
    </row>
    <row r="8" spans="1:25">
      <c r="A8" s="75" t="s">
        <v>20</v>
      </c>
      <c r="B8" s="76"/>
      <c r="C8" s="76"/>
      <c r="D8" s="76"/>
      <c r="E8" s="76"/>
      <c r="F8" s="76"/>
      <c r="G8" s="76"/>
      <c r="H8" s="76"/>
      <c r="I8" s="76"/>
      <c r="U8" t="s">
        <v>21</v>
      </c>
      <c r="V8">
        <f>SUM(W8:Y8)</f>
        <v>900</v>
      </c>
      <c r="W8">
        <f>500</f>
        <v>500</v>
      </c>
      <c r="X8">
        <v>250</v>
      </c>
      <c r="Y8">
        <v>150</v>
      </c>
    </row>
    <row r="9" spans="1:25">
      <c r="A9" s="77" t="s">
        <v>22</v>
      </c>
      <c r="B9" s="76">
        <f>'Automatic Stabilizers'!B27</f>
        <v>1723.4</v>
      </c>
      <c r="C9" s="76">
        <f>C10+C11</f>
        <v>1181.317201166517</v>
      </c>
      <c r="D9" s="76">
        <f t="shared" ref="D9:I9" si="0">D10+D11</f>
        <v>1393.7671290174223</v>
      </c>
      <c r="E9" s="76">
        <f t="shared" si="0"/>
        <v>1519.2303155928082</v>
      </c>
      <c r="F9" s="76">
        <f t="shared" si="0"/>
        <v>1505.5138652855585</v>
      </c>
      <c r="G9" s="76">
        <f t="shared" si="0"/>
        <v>1515.7665437468279</v>
      </c>
      <c r="H9" s="76">
        <f t="shared" si="0"/>
        <v>1521.821377353923</v>
      </c>
      <c r="I9" s="76">
        <f t="shared" si="0"/>
        <v>1544.4132890766627</v>
      </c>
      <c r="U9" t="s">
        <v>23</v>
      </c>
      <c r="V9" s="8">
        <f>SUM(W9:Y9)</f>
        <v>-135.417</v>
      </c>
      <c r="W9" s="8">
        <f>-1*SUM(B46:C46)</f>
        <v>-570</v>
      </c>
      <c r="X9" s="8">
        <f>SUM(B35:C35)</f>
        <v>256.5</v>
      </c>
      <c r="Y9" s="8">
        <f>SUM(B27:C27)-40</f>
        <v>178.083</v>
      </c>
    </row>
    <row r="10" spans="1:25">
      <c r="A10" s="78" t="s">
        <v>24</v>
      </c>
      <c r="B10" s="76">
        <v>1692.8848118952883</v>
      </c>
      <c r="C10" s="76">
        <v>1181.317201166517</v>
      </c>
      <c r="D10" s="76">
        <v>1393.7671290174223</v>
      </c>
      <c r="E10" s="76">
        <v>1519.2303155928082</v>
      </c>
      <c r="F10" s="76">
        <v>1505.5138652855585</v>
      </c>
      <c r="G10" s="76">
        <v>1515.7665437468279</v>
      </c>
      <c r="H10" s="76">
        <v>1521.821377353923</v>
      </c>
      <c r="I10" s="76">
        <v>1544.4132890766627</v>
      </c>
      <c r="V10" s="8"/>
      <c r="W10" s="8"/>
      <c r="X10" s="8"/>
      <c r="Y10" s="8"/>
    </row>
    <row r="11" spans="1:25">
      <c r="A11" s="78" t="s">
        <v>25</v>
      </c>
      <c r="B11" s="87" t="s">
        <v>26</v>
      </c>
      <c r="C11" s="76"/>
      <c r="D11" s="76"/>
      <c r="E11" s="76"/>
      <c r="F11" s="76"/>
      <c r="G11" s="76"/>
      <c r="H11" s="76"/>
      <c r="I11" s="76"/>
      <c r="V11" s="8"/>
      <c r="W11" s="8"/>
      <c r="X11" s="8"/>
      <c r="Y11" s="8"/>
    </row>
    <row r="12" spans="1:25">
      <c r="A12" s="77" t="s">
        <v>27</v>
      </c>
      <c r="B12" s="76">
        <f>SUM(B13:B14)</f>
        <v>118.1</v>
      </c>
      <c r="C12" s="76">
        <f t="shared" ref="C12:I12" si="1">SUM(C13:C14)</f>
        <v>102.14738517323299</v>
      </c>
      <c r="D12" s="76">
        <f t="shared" si="1"/>
        <v>143.41289963049968</v>
      </c>
      <c r="E12" s="76">
        <f t="shared" si="1"/>
        <v>148.74396526932068</v>
      </c>
      <c r="F12" s="76">
        <f t="shared" si="1"/>
        <v>156.7636541487197</v>
      </c>
      <c r="G12" s="76">
        <f t="shared" si="1"/>
        <v>160.53390542318533</v>
      </c>
      <c r="H12" s="76">
        <f t="shared" si="1"/>
        <v>164.71931864966282</v>
      </c>
      <c r="I12" s="76">
        <f t="shared" si="1"/>
        <v>171.17575245719789</v>
      </c>
      <c r="K12" s="70"/>
      <c r="L12" s="70"/>
      <c r="M12" s="70"/>
      <c r="N12" s="70"/>
      <c r="O12" s="70"/>
      <c r="P12" s="70"/>
      <c r="Q12" s="70"/>
      <c r="R12" s="70"/>
    </row>
    <row r="13" spans="1:25" s="45" customFormat="1">
      <c r="A13" s="78" t="s">
        <v>24</v>
      </c>
      <c r="B13" s="76">
        <f>'Automatic Stabilizers'!B28</f>
        <v>118.1</v>
      </c>
      <c r="C13" s="76">
        <v>114.98071850656632</v>
      </c>
      <c r="D13" s="76">
        <v>156.24623296383302</v>
      </c>
      <c r="E13" s="76">
        <v>155.66063193598734</v>
      </c>
      <c r="F13" s="76">
        <v>163.68032081538635</v>
      </c>
      <c r="G13" s="76">
        <v>167.45057208985199</v>
      </c>
      <c r="H13" s="76">
        <v>171.63598531632948</v>
      </c>
      <c r="I13" s="76">
        <v>178.09241912386454</v>
      </c>
    </row>
    <row r="14" spans="1:25" s="45" customFormat="1">
      <c r="A14" s="78" t="s">
        <v>28</v>
      </c>
      <c r="B14" s="76" cm="1">
        <f t="array" ref="B14:I14">TRANSPOSE('Corp Taxes'!E15:E22)</f>
        <v>0</v>
      </c>
      <c r="C14" s="76">
        <v>-12.833333333333332</v>
      </c>
      <c r="D14" s="76">
        <v>-12.833333333333332</v>
      </c>
      <c r="E14" s="76">
        <v>-6.9166666666666661</v>
      </c>
      <c r="F14" s="76">
        <v>-6.9166666666666661</v>
      </c>
      <c r="G14" s="76">
        <v>-6.9166666666666661</v>
      </c>
      <c r="H14" s="76">
        <v>-6.9166666666666661</v>
      </c>
      <c r="I14" s="76">
        <v>-6.9166666666666661</v>
      </c>
    </row>
    <row r="15" spans="1:25">
      <c r="A15" s="77" t="s">
        <v>29</v>
      </c>
      <c r="B15" s="76">
        <v>1425.9</v>
      </c>
      <c r="C15" s="76">
        <v>1270.0861755922538</v>
      </c>
      <c r="D15" s="76">
        <v>1284.3545040275512</v>
      </c>
      <c r="E15" s="76">
        <v>1330.5456435568287</v>
      </c>
      <c r="F15" s="76">
        <v>1356.5188465067893</v>
      </c>
      <c r="G15" s="76">
        <v>1383.1615761801561</v>
      </c>
      <c r="H15" s="76">
        <v>1403.7382504526358</v>
      </c>
      <c r="I15" s="76">
        <v>1420.0959321649361</v>
      </c>
    </row>
    <row r="16" spans="1:25">
      <c r="A16" s="77" t="s">
        <v>30</v>
      </c>
      <c r="B16" s="76">
        <f>'Automatic Stabilizers'!B30</f>
        <v>181.5</v>
      </c>
      <c r="C16" s="76">
        <v>156.35748333648328</v>
      </c>
      <c r="D16" s="76">
        <v>165.07631795260369</v>
      </c>
      <c r="E16" s="76">
        <v>169.68064149372663</v>
      </c>
      <c r="F16" s="76">
        <v>173.34827122306294</v>
      </c>
      <c r="G16" s="76">
        <v>176.23697759551058</v>
      </c>
      <c r="H16" s="76">
        <v>178.53242035710315</v>
      </c>
      <c r="I16" s="76">
        <v>180.54430463468069</v>
      </c>
    </row>
    <row r="17" spans="1:18">
      <c r="A17" s="75" t="s">
        <v>31</v>
      </c>
      <c r="B17" s="76"/>
      <c r="C17" s="76"/>
      <c r="D17" s="76"/>
      <c r="E17" s="76"/>
      <c r="F17" s="76"/>
      <c r="G17" s="76"/>
      <c r="H17" s="76"/>
      <c r="I17" s="76"/>
    </row>
    <row r="18" spans="1:18">
      <c r="A18" s="77" t="s">
        <v>22</v>
      </c>
      <c r="B18" s="76">
        <v>490.7</v>
      </c>
      <c r="C18" s="76">
        <v>377.33185470166273</v>
      </c>
      <c r="D18" s="76">
        <v>422.76832574979437</v>
      </c>
      <c r="E18" s="76">
        <v>450.16796722177668</v>
      </c>
      <c r="F18" s="76">
        <v>448.21211019940677</v>
      </c>
      <c r="G18" s="76">
        <v>451.13201908375055</v>
      </c>
      <c r="H18" s="76">
        <v>453.12117162281197</v>
      </c>
      <c r="I18" s="76">
        <v>458.75546682299171</v>
      </c>
      <c r="K18" s="8"/>
      <c r="L18" s="8"/>
      <c r="M18" s="8"/>
      <c r="N18" s="8"/>
      <c r="O18" s="8"/>
      <c r="P18" s="8"/>
      <c r="Q18" s="8"/>
      <c r="R18" s="8"/>
    </row>
    <row r="19" spans="1:18">
      <c r="A19" s="77" t="s">
        <v>27</v>
      </c>
      <c r="B19" s="76">
        <f>'Automatic Stabilizers'!B34</f>
        <v>65.2</v>
      </c>
      <c r="C19" s="76">
        <v>51.906166397249173</v>
      </c>
      <c r="D19" s="76">
        <v>67.757273586954582</v>
      </c>
      <c r="E19" s="76">
        <v>67.375517870649134</v>
      </c>
      <c r="F19" s="76">
        <v>70.683858752401591</v>
      </c>
      <c r="G19" s="76">
        <v>72.126034518054027</v>
      </c>
      <c r="H19" s="76">
        <v>73.732959467368829</v>
      </c>
      <c r="I19" s="76">
        <v>74.827748020610457</v>
      </c>
    </row>
    <row r="20" spans="1:18">
      <c r="A20" s="77" t="s">
        <v>29</v>
      </c>
      <c r="B20" s="76">
        <f>'Automatic Stabilizers'!B35</f>
        <v>23.4</v>
      </c>
      <c r="C20" s="76">
        <v>20.377499763726281</v>
      </c>
      <c r="D20" s="76">
        <v>20.515572287121465</v>
      </c>
      <c r="E20" s="76">
        <v>21.301796109013736</v>
      </c>
      <c r="F20" s="76">
        <v>21.706481007232892</v>
      </c>
      <c r="G20" s="76">
        <v>22.124879924900483</v>
      </c>
      <c r="H20" s="76">
        <v>22.427168292097765</v>
      </c>
      <c r="I20" s="76">
        <v>22.663377397095633</v>
      </c>
    </row>
    <row r="21" spans="1:18">
      <c r="A21" s="77" t="s">
        <v>30</v>
      </c>
      <c r="B21" s="76">
        <f>'Automatic Stabilizers'!B36</f>
        <v>1355.3</v>
      </c>
      <c r="C21" s="76">
        <v>1138.7677639123422</v>
      </c>
      <c r="D21" s="76">
        <v>1242.1036384746969</v>
      </c>
      <c r="E21" s="76">
        <v>1278.8091789974237</v>
      </c>
      <c r="F21" s="76">
        <v>1289.0200079794381</v>
      </c>
      <c r="G21" s="76">
        <v>1297.7012307686255</v>
      </c>
      <c r="H21" s="76">
        <v>1300.8225585131815</v>
      </c>
      <c r="I21" s="76">
        <v>1308.4444900982044</v>
      </c>
    </row>
    <row r="22" spans="1:18">
      <c r="A22" s="82" t="s">
        <v>32</v>
      </c>
      <c r="B22" s="76"/>
      <c r="C22" s="76"/>
      <c r="D22" s="76"/>
      <c r="E22" s="76"/>
      <c r="F22" s="76"/>
      <c r="G22" s="76"/>
      <c r="H22" s="76"/>
      <c r="I22" s="76"/>
    </row>
    <row r="23" spans="1:18">
      <c r="A23" s="75" t="s">
        <v>33</v>
      </c>
      <c r="B23" s="76"/>
      <c r="C23" s="76"/>
      <c r="D23" s="76"/>
      <c r="E23" s="76"/>
      <c r="F23" s="76"/>
      <c r="G23" s="76"/>
      <c r="H23" s="76"/>
      <c r="I23" s="76"/>
    </row>
    <row r="24" spans="1:18">
      <c r="A24" s="79" t="s">
        <v>34</v>
      </c>
      <c r="B24" s="76">
        <f>SUM(B25,B26,B27,B30,B33,B38,B36)</f>
        <v>2451.9560000000001</v>
      </c>
      <c r="C24" s="76">
        <f t="shared" ref="C24:I24" si="2">SUM(C25,C26,C27,C30,C33,C38,C36)</f>
        <v>3183.7767366420421</v>
      </c>
      <c r="D24" s="76">
        <f t="shared" si="2"/>
        <v>2897.7908673924067</v>
      </c>
      <c r="E24" s="76">
        <f t="shared" si="2"/>
        <v>2852.7221975929933</v>
      </c>
      <c r="F24" s="76">
        <f t="shared" si="2"/>
        <v>2650.4896634547181</v>
      </c>
      <c r="G24" s="76">
        <f t="shared" si="2"/>
        <v>2516.094289187788</v>
      </c>
      <c r="H24" s="76">
        <f t="shared" si="2"/>
        <v>2486.9513958310663</v>
      </c>
      <c r="I24" s="76">
        <f t="shared" si="2"/>
        <v>2470.5991878673444</v>
      </c>
    </row>
    <row r="25" spans="1:18">
      <c r="A25" s="77" t="s">
        <v>35</v>
      </c>
      <c r="B25" s="88">
        <f>'Automatic Stabilizers'!B40/1000</f>
        <v>1071.223</v>
      </c>
      <c r="C25" s="76">
        <f>'Automatic Stabilizers'!C40/1000</f>
        <v>1224.4402020133048</v>
      </c>
      <c r="D25" s="76">
        <f>'Automatic Stabilizers'!D40/1000</f>
        <v>1235.4619433103699</v>
      </c>
      <c r="E25" s="76">
        <f>'Automatic Stabilizers'!E40/1000</f>
        <v>1168.3901702764047</v>
      </c>
      <c r="F25" s="76">
        <f>'Automatic Stabilizers'!F40/1000</f>
        <v>1149.5573735362839</v>
      </c>
      <c r="G25" s="76">
        <f>'Automatic Stabilizers'!G40/1000</f>
        <v>1137.3509082331623</v>
      </c>
      <c r="H25" s="76">
        <f>'Automatic Stabilizers'!H40/1000</f>
        <v>1129.9223409245244</v>
      </c>
      <c r="I25" s="76">
        <f>'Automatic Stabilizers'!I40/1000</f>
        <v>1125.4195046915179</v>
      </c>
    </row>
    <row r="26" spans="1:18">
      <c r="A26" s="77" t="s">
        <v>36</v>
      </c>
      <c r="B26" s="88">
        <f>'Automatic Stabilizers'!B41/1000</f>
        <v>833.43499999999995</v>
      </c>
      <c r="C26" s="76">
        <f>'Automatic Stabilizers'!C41/1000</f>
        <v>885.58303611766212</v>
      </c>
      <c r="D26" s="76">
        <f>'Automatic Stabilizers'!D41/1000</f>
        <v>889.07026542590108</v>
      </c>
      <c r="E26" s="76">
        <f>'Automatic Stabilizers'!E41/1000</f>
        <v>867.95555716699243</v>
      </c>
      <c r="F26" s="76">
        <f>'Automatic Stabilizers'!F41/1000</f>
        <v>861.83539405048327</v>
      </c>
      <c r="G26" s="76">
        <f>'Automatic Stabilizers'!G41/1000</f>
        <v>857.83205677888475</v>
      </c>
      <c r="H26" s="76">
        <f>'Automatic Stabilizers'!H41/1000</f>
        <v>855.38101090187774</v>
      </c>
      <c r="I26" s="76">
        <f>'Automatic Stabilizers'!I41/1000</f>
        <v>853.88981141393833</v>
      </c>
    </row>
    <row r="27" spans="1:18">
      <c r="A27" s="77" t="s">
        <v>37</v>
      </c>
      <c r="B27" s="76">
        <f>B28+B29</f>
        <v>40.332999999999998</v>
      </c>
      <c r="C27" s="76">
        <f t="shared" ref="C27:I27" si="3">C28+C29</f>
        <v>177.75</v>
      </c>
      <c r="D27" s="76">
        <f t="shared" si="3"/>
        <v>88.25</v>
      </c>
      <c r="E27" s="76">
        <f t="shared" si="3"/>
        <v>162.25</v>
      </c>
      <c r="F27" s="76">
        <f t="shared" si="3"/>
        <v>50</v>
      </c>
      <c r="G27" s="76">
        <f t="shared" si="3"/>
        <v>0</v>
      </c>
      <c r="H27" s="76">
        <f t="shared" si="3"/>
        <v>0</v>
      </c>
      <c r="I27" s="76">
        <f t="shared" si="3"/>
        <v>0</v>
      </c>
      <c r="K27" s="45"/>
      <c r="L27" s="45"/>
      <c r="M27" s="45"/>
      <c r="N27" s="45"/>
      <c r="O27" s="45"/>
      <c r="P27" s="45"/>
      <c r="Q27" s="45"/>
      <c r="R27" s="45"/>
    </row>
    <row r="28" spans="1:18" s="45" customFormat="1">
      <c r="A28" s="78" t="s">
        <v>38</v>
      </c>
      <c r="B28" s="76">
        <f>'Automatic Stabilizers'!B42/1000</f>
        <v>40.332999999999998</v>
      </c>
      <c r="C28" s="76">
        <v>15</v>
      </c>
      <c r="D28" s="76">
        <v>34</v>
      </c>
      <c r="E28" s="76">
        <v>106</v>
      </c>
      <c r="F28" s="76">
        <v>50</v>
      </c>
      <c r="G28" s="76">
        <v>0</v>
      </c>
      <c r="H28" s="76">
        <v>0</v>
      </c>
      <c r="I28" s="76">
        <v>0</v>
      </c>
    </row>
    <row r="29" spans="1:18" s="45" customFormat="1">
      <c r="A29" s="78" t="s">
        <v>39</v>
      </c>
      <c r="B29" s="76" cm="1">
        <f t="array" ref="B29:H29">TRANSPOSE(UI!E17:E23)</f>
        <v>0</v>
      </c>
      <c r="C29" s="76">
        <v>162.75</v>
      </c>
      <c r="D29" s="76">
        <v>54.25</v>
      </c>
      <c r="E29" s="76">
        <v>56.25</v>
      </c>
      <c r="F29" s="76">
        <v>0</v>
      </c>
      <c r="G29" s="76">
        <v>0</v>
      </c>
      <c r="H29" s="76">
        <v>0</v>
      </c>
      <c r="I29" s="76">
        <v>0</v>
      </c>
    </row>
    <row r="30" spans="1:18">
      <c r="A30" s="77" t="s">
        <v>40</v>
      </c>
      <c r="B30" s="76">
        <f>B31+B32</f>
        <v>54.851999999999997</v>
      </c>
      <c r="C30" s="76">
        <f t="shared" ref="C30:I30" si="4">C31+C32</f>
        <v>20.215</v>
      </c>
      <c r="D30" s="76">
        <f t="shared" si="4"/>
        <v>39.215000000000003</v>
      </c>
      <c r="E30" s="76">
        <f t="shared" si="4"/>
        <v>111.215</v>
      </c>
      <c r="F30" s="76">
        <f t="shared" si="4"/>
        <v>55.215000000000003</v>
      </c>
      <c r="G30" s="76">
        <f t="shared" si="4"/>
        <v>0</v>
      </c>
      <c r="H30" s="76">
        <f t="shared" si="4"/>
        <v>0</v>
      </c>
      <c r="I30" s="76">
        <f t="shared" si="4"/>
        <v>0</v>
      </c>
    </row>
    <row r="31" spans="1:18" s="45" customFormat="1">
      <c r="A31" s="78" t="s">
        <v>38</v>
      </c>
      <c r="B31" s="76">
        <f>'Automatic Stabilizers'!B43/1000</f>
        <v>54.851999999999997</v>
      </c>
      <c r="C31" s="76">
        <v>15</v>
      </c>
      <c r="D31" s="76">
        <v>34</v>
      </c>
      <c r="E31" s="76">
        <v>106</v>
      </c>
      <c r="F31" s="76">
        <v>50</v>
      </c>
      <c r="G31" s="76">
        <v>0</v>
      </c>
      <c r="H31" s="76">
        <v>0</v>
      </c>
      <c r="I31" s="76">
        <v>0</v>
      </c>
    </row>
    <row r="32" spans="1:18" s="45" customFormat="1">
      <c r="A32" s="78" t="s">
        <v>25</v>
      </c>
      <c r="B32" s="76" cm="1">
        <f t="array" ref="B32:I32">TRANSPOSE(SNAP!E15:E22)</f>
        <v>0</v>
      </c>
      <c r="C32" s="76">
        <v>5.2150000000000007</v>
      </c>
      <c r="D32" s="76">
        <v>5.2150000000000007</v>
      </c>
      <c r="E32" s="76">
        <v>5.2150000000000007</v>
      </c>
      <c r="F32" s="76">
        <v>5.2150000000000007</v>
      </c>
      <c r="G32" s="76">
        <v>0</v>
      </c>
      <c r="H32" s="76">
        <v>0</v>
      </c>
      <c r="I32" s="76">
        <v>0</v>
      </c>
    </row>
    <row r="33" spans="1:12">
      <c r="A33" s="77" t="s">
        <v>41</v>
      </c>
      <c r="B33" s="76">
        <f>B34+B35</f>
        <v>398.18599999999998</v>
      </c>
      <c r="C33" s="76">
        <f t="shared" ref="C33:I33" si="5">C34+C35</f>
        <v>802.16453506906055</v>
      </c>
      <c r="D33" s="76">
        <f t="shared" si="5"/>
        <v>571.88355216410685</v>
      </c>
      <c r="E33" s="76">
        <f t="shared" si="5"/>
        <v>479.88561895395725</v>
      </c>
      <c r="F33" s="76">
        <f t="shared" si="5"/>
        <v>471.35566964926159</v>
      </c>
      <c r="G33" s="76">
        <f t="shared" si="5"/>
        <v>458.71133431373204</v>
      </c>
      <c r="H33" s="76">
        <f t="shared" si="5"/>
        <v>439.64755975310163</v>
      </c>
      <c r="I33" s="76">
        <f t="shared" si="5"/>
        <v>435.11067848674685</v>
      </c>
    </row>
    <row r="34" spans="1:12" s="45" customFormat="1">
      <c r="A34" s="78" t="s">
        <v>38</v>
      </c>
      <c r="B34" s="76">
        <f>'Automatic Stabilizers'!B44/1000</f>
        <v>398.18599999999998</v>
      </c>
      <c r="C34" s="76">
        <f>'Automatic Stabilizers'!C44/1000</f>
        <v>545.66453506906055</v>
      </c>
      <c r="D34" s="76">
        <f>'Automatic Stabilizers'!D44/1000</f>
        <v>558.38355216410685</v>
      </c>
      <c r="E34" s="76">
        <f>'Automatic Stabilizers'!E44/1000</f>
        <v>479.88561895395725</v>
      </c>
      <c r="F34" s="76">
        <f>'Automatic Stabilizers'!F44/1000</f>
        <v>459.85566964926159</v>
      </c>
      <c r="G34" s="76">
        <f>'Automatic Stabilizers'!G44/1000</f>
        <v>447.21133431373204</v>
      </c>
      <c r="H34" s="76">
        <f>'Automatic Stabilizers'!H44/1000</f>
        <v>439.64755975310163</v>
      </c>
      <c r="I34" s="76">
        <f>'Automatic Stabilizers'!I44/1000</f>
        <v>435.11067848674685</v>
      </c>
    </row>
    <row r="35" spans="1:12" s="45" customFormat="1">
      <c r="A35" s="78" t="s">
        <v>42</v>
      </c>
      <c r="B35" s="76" cm="1">
        <f t="array" ref="B35:I35">TRANSPOSE('Stimulus Checks'!E17:E24)</f>
        <v>0</v>
      </c>
      <c r="C35" s="76">
        <v>256.5</v>
      </c>
      <c r="D35" s="76">
        <v>13.500000000000012</v>
      </c>
      <c r="E35" s="76">
        <v>0</v>
      </c>
      <c r="F35" s="76">
        <v>11.5</v>
      </c>
      <c r="G35" s="76">
        <v>11.5</v>
      </c>
      <c r="H35" s="76">
        <v>0</v>
      </c>
      <c r="I35" s="76">
        <v>0</v>
      </c>
    </row>
    <row r="36" spans="1:12" s="45" customFormat="1">
      <c r="A36" s="77" t="s">
        <v>43</v>
      </c>
      <c r="B36" s="45">
        <v>0</v>
      </c>
      <c r="C36" s="45">
        <f>$K$46*'All Budg Add-Ons - Annual'!$F$13/2</f>
        <v>15.48</v>
      </c>
      <c r="D36" s="45">
        <f>$K$46*'All Budg Add-Ons - Annual'!$F$13/2</f>
        <v>15.48</v>
      </c>
      <c r="E36" s="45">
        <f>$K$46*'All Budg Add-Ons - Annual'!$G$13/4</f>
        <v>6.33</v>
      </c>
      <c r="F36" s="45">
        <f>$K$46*'All Budg Add-Ons - Annual'!$G$13/4</f>
        <v>6.33</v>
      </c>
      <c r="G36" s="45">
        <f>$K$46*'All Budg Add-Ons - Annual'!$G$13/4</f>
        <v>6.33</v>
      </c>
      <c r="H36" s="45">
        <f>$K$46*'All Budg Add-Ons - Annual'!$G$13/4</f>
        <v>6.33</v>
      </c>
      <c r="I36" s="45">
        <f>$K$46*'All Budg Add-Ons - Annual'!$H$13/4</f>
        <v>0.63</v>
      </c>
    </row>
    <row r="37" spans="1:12" s="45" customFormat="1">
      <c r="A37" s="77" t="s">
        <v>44</v>
      </c>
      <c r="C37" s="89">
        <v>235.83464502400261</v>
      </c>
      <c r="D37" s="89">
        <v>217.31486323448468</v>
      </c>
      <c r="E37" s="89">
        <v>207.915344940913</v>
      </c>
      <c r="F37" s="89">
        <v>213.64404804762788</v>
      </c>
      <c r="G37" s="89">
        <v>216.76741107080909</v>
      </c>
      <c r="H37" s="89">
        <v>220.34706157813866</v>
      </c>
      <c r="I37" s="89">
        <v>222.0530767367095</v>
      </c>
    </row>
    <row r="38" spans="1:12">
      <c r="A38" s="77" t="s">
        <v>45</v>
      </c>
      <c r="B38" s="76">
        <f>'Automatic Stabilizers'!B45/1000</f>
        <v>53.927</v>
      </c>
      <c r="C38" s="76">
        <f>'Automatic Stabilizers'!C45/1000</f>
        <v>58.14396344201446</v>
      </c>
      <c r="D38" s="76">
        <f>'Automatic Stabilizers'!D45/1000</f>
        <v>58.430106492028571</v>
      </c>
      <c r="E38" s="76">
        <f>'Automatic Stabilizers'!E45/1000</f>
        <v>56.69585119563849</v>
      </c>
      <c r="F38" s="76">
        <f>'Automatic Stabilizers'!F45/1000</f>
        <v>56.196226218689191</v>
      </c>
      <c r="G38" s="76">
        <f>'Automatic Stabilizers'!G45/1000</f>
        <v>55.869989862009</v>
      </c>
      <c r="H38" s="76">
        <f>'Automatic Stabilizers'!H45/1000</f>
        <v>55.670484251562648</v>
      </c>
      <c r="I38" s="76">
        <f>'Automatic Stabilizers'!I45/1000</f>
        <v>55.54919327514105</v>
      </c>
    </row>
    <row r="39" spans="1:12">
      <c r="A39" s="75" t="s">
        <v>46</v>
      </c>
      <c r="B39" s="76"/>
      <c r="C39" s="76"/>
      <c r="D39" s="76"/>
      <c r="E39" s="76"/>
      <c r="F39" s="76"/>
      <c r="G39" s="76"/>
      <c r="H39" s="76"/>
      <c r="I39" s="76"/>
    </row>
    <row r="40" spans="1:12">
      <c r="A40" s="77" t="s">
        <v>47</v>
      </c>
      <c r="B40" s="88">
        <f>'Automatic Stabilizers'!B48/1000</f>
        <v>146.76599999999999</v>
      </c>
      <c r="C40" s="76">
        <f>'Automatic Stabilizers'!C48/1000</f>
        <v>166.25099004866769</v>
      </c>
      <c r="D40" s="76">
        <f>'Automatic Stabilizers'!D48/1000</f>
        <v>167.64005951440205</v>
      </c>
      <c r="E40" s="76">
        <f>'Automatic Stabilizers'!E48/1000</f>
        <v>159.1924211637965</v>
      </c>
      <c r="F40" s="76">
        <f>'Automatic Stabilizers'!F48/1000</f>
        <v>156.81066989938182</v>
      </c>
      <c r="G40" s="76">
        <f>'Automatic Stabilizers'!G48/1000</f>
        <v>155.26512377100136</v>
      </c>
      <c r="H40" s="76">
        <f>'Automatic Stabilizers'!H48/1000</f>
        <v>154.32381611771393</v>
      </c>
      <c r="I40" s="76">
        <f>'Automatic Stabilizers'!I48/1000</f>
        <v>153.75297190522019</v>
      </c>
    </row>
    <row r="41" spans="1:12">
      <c r="A41" s="78" t="s">
        <v>37</v>
      </c>
      <c r="B41" s="90"/>
      <c r="C41" s="76">
        <v>455.4285714285715</v>
      </c>
      <c r="D41" s="76">
        <v>467.49521426356529</v>
      </c>
      <c r="E41" s="76">
        <v>214.37380356589131</v>
      </c>
      <c r="F41" s="76">
        <v>86.124601188630436</v>
      </c>
      <c r="G41" s="76">
        <v>12.041533729543481</v>
      </c>
      <c r="H41" s="76">
        <v>4.0138445765144937</v>
      </c>
      <c r="I41" s="76">
        <v>1.337948192171498</v>
      </c>
    </row>
    <row r="42" spans="1:12">
      <c r="A42" s="77" t="s">
        <v>48</v>
      </c>
      <c r="B42" s="76">
        <f>B43+B44</f>
        <v>643.96199999999999</v>
      </c>
      <c r="C42" s="76">
        <f t="shared" ref="C42:I42" si="6">C43+C44</f>
        <v>-1.4100000000000001</v>
      </c>
      <c r="D42" s="76">
        <f t="shared" si="6"/>
        <v>-0.53909159088778402</v>
      </c>
      <c r="E42" s="76">
        <f t="shared" si="6"/>
        <v>-1.641642448673478</v>
      </c>
      <c r="F42" s="76">
        <f t="shared" si="6"/>
        <v>-3.2011474641417452</v>
      </c>
      <c r="G42" s="76">
        <f t="shared" si="6"/>
        <v>6.1715008905971693</v>
      </c>
      <c r="H42" s="76">
        <f t="shared" si="6"/>
        <v>5.5395687634761428</v>
      </c>
      <c r="I42" s="76">
        <f t="shared" si="6"/>
        <v>5.1540039373769568</v>
      </c>
    </row>
    <row r="43" spans="1:12" s="45" customFormat="1">
      <c r="A43" s="78" t="s">
        <v>38</v>
      </c>
      <c r="B43" s="76">
        <f>'Automatic Stabilizers'!B49/1000</f>
        <v>643.96199999999999</v>
      </c>
      <c r="C43" s="76">
        <v>13.14</v>
      </c>
      <c r="D43" s="76">
        <v>14.010908409112217</v>
      </c>
      <c r="E43" s="76">
        <v>8.7583575513265224</v>
      </c>
      <c r="F43" s="76">
        <v>7.1988525358582551</v>
      </c>
      <c r="G43" s="76">
        <v>6.1715008905971693</v>
      </c>
      <c r="H43" s="76">
        <v>5.5395687634761428</v>
      </c>
      <c r="I43" s="76">
        <v>5.1540039373769568</v>
      </c>
    </row>
    <row r="44" spans="1:12" s="45" customFormat="1">
      <c r="A44" s="78" t="s">
        <v>49</v>
      </c>
      <c r="B44" s="76">
        <v>0</v>
      </c>
      <c r="C44" s="76">
        <f>-'All Budg Add-Ons - Annual'!$F$16/2</f>
        <v>-14.55</v>
      </c>
      <c r="D44" s="76">
        <f>-'All Budg Add-Ons - Annual'!$F$16/2</f>
        <v>-14.55</v>
      </c>
      <c r="E44" s="76">
        <f>-'All Budg Add-Ons - Annual'!$G$16/2</f>
        <v>-10.4</v>
      </c>
      <c r="F44" s="76">
        <f>-'All Budg Add-Ons - Annual'!$G$16/2</f>
        <v>-10.4</v>
      </c>
      <c r="G44" s="76">
        <v>0</v>
      </c>
      <c r="H44" s="76">
        <v>0</v>
      </c>
      <c r="I44" s="76">
        <v>0</v>
      </c>
    </row>
    <row r="45" spans="1:12">
      <c r="A45" s="86" t="s">
        <v>50</v>
      </c>
      <c r="B45" s="45"/>
      <c r="C45" s="45"/>
      <c r="D45" s="45"/>
      <c r="E45" s="45"/>
      <c r="F45" s="45"/>
      <c r="G45" s="45"/>
      <c r="H45" s="45"/>
      <c r="I45" s="45"/>
      <c r="K45" t="s">
        <v>51</v>
      </c>
    </row>
    <row r="46" spans="1:12" s="45" customFormat="1">
      <c r="A46" s="68" t="s">
        <v>52</v>
      </c>
      <c r="B46" s="76" cm="1">
        <f t="array" ref="B46:I46">TRANSPOSE(PPP!E18:E25)</f>
        <v>0</v>
      </c>
      <c r="C46" s="76">
        <v>570</v>
      </c>
      <c r="D46" s="76">
        <v>128.29999999999995</v>
      </c>
      <c r="E46" s="76">
        <v>0</v>
      </c>
      <c r="F46" s="76">
        <v>0</v>
      </c>
      <c r="G46" s="76">
        <v>0</v>
      </c>
      <c r="H46" s="76">
        <v>0</v>
      </c>
      <c r="I46" s="76">
        <v>0</v>
      </c>
      <c r="K46" s="45">
        <v>0.6</v>
      </c>
      <c r="L46" t="s">
        <v>53</v>
      </c>
    </row>
    <row r="47" spans="1:12" s="45" customFormat="1">
      <c r="A47" s="71" t="s">
        <v>54</v>
      </c>
      <c r="B47" s="45" cm="1">
        <f t="array" ref="B47:I47">TRANSPOSE('All other subsidies'!E18:E25)</f>
        <v>0</v>
      </c>
      <c r="C47" s="45">
        <v>94.86</v>
      </c>
      <c r="D47" s="45">
        <v>63.24</v>
      </c>
      <c r="E47" s="45">
        <v>5.6749999999999998</v>
      </c>
      <c r="F47" s="45">
        <v>5.6749999999999998</v>
      </c>
      <c r="G47" s="45">
        <v>5.6749999999999998</v>
      </c>
      <c r="H47" s="45">
        <v>5.6749999999999998</v>
      </c>
      <c r="I47" s="45">
        <v>5.6749999999999998</v>
      </c>
      <c r="K47" s="45">
        <v>0.2</v>
      </c>
      <c r="L47" t="s">
        <v>55</v>
      </c>
    </row>
    <row r="48" spans="1:12">
      <c r="A48" s="71" t="s">
        <v>43</v>
      </c>
      <c r="B48" s="45">
        <v>0</v>
      </c>
      <c r="C48" s="45">
        <f>$K$48*'All Budg Add-Ons - Annual'!$F$13/2</f>
        <v>5.16</v>
      </c>
      <c r="D48" s="45">
        <f>$K$48*'All Budg Add-Ons - Annual'!$F$13/2</f>
        <v>5.16</v>
      </c>
      <c r="E48" s="45">
        <f>$K$48*'All Budg Add-Ons - Annual'!$G$13/4</f>
        <v>2.1100000000000003</v>
      </c>
      <c r="F48" s="45">
        <f>$K$48*'All Budg Add-Ons - Annual'!$G$13/4</f>
        <v>2.1100000000000003</v>
      </c>
      <c r="G48" s="45">
        <f>$K$48*'All Budg Add-Ons - Annual'!$G$13/4</f>
        <v>2.1100000000000003</v>
      </c>
      <c r="H48" s="45">
        <f>$K$48*'All Budg Add-Ons - Annual'!$G$13/4</f>
        <v>2.1100000000000003</v>
      </c>
      <c r="I48" s="45">
        <f>$K$48*'All Budg Add-Ons - Annual'!$H$13/4</f>
        <v>0.21000000000000002</v>
      </c>
      <c r="K48" s="45">
        <v>0.2</v>
      </c>
      <c r="L48" t="s">
        <v>56</v>
      </c>
    </row>
    <row r="49" spans="1:18">
      <c r="C49" s="8"/>
    </row>
    <row r="50" spans="1:18">
      <c r="A50" s="45"/>
    </row>
    <row r="51" spans="1:18">
      <c r="A51" t="s">
        <v>57</v>
      </c>
      <c r="B51" s="70">
        <f t="shared" ref="B51:I51" si="7">SUM(B16,B9,B12,B15)</f>
        <v>3448.9</v>
      </c>
      <c r="C51" s="70">
        <f t="shared" si="7"/>
        <v>2709.908245268487</v>
      </c>
      <c r="D51" s="70">
        <f t="shared" si="7"/>
        <v>2986.6108506280771</v>
      </c>
      <c r="E51" s="70">
        <f t="shared" si="7"/>
        <v>3168.2005659126844</v>
      </c>
      <c r="F51" s="70">
        <f t="shared" si="7"/>
        <v>3192.1446371641305</v>
      </c>
      <c r="G51" s="70">
        <f t="shared" si="7"/>
        <v>3235.6990029456801</v>
      </c>
      <c r="H51" s="70">
        <f t="shared" si="7"/>
        <v>3268.8113668133246</v>
      </c>
      <c r="I51" s="70">
        <f t="shared" si="7"/>
        <v>3316.2292783334774</v>
      </c>
      <c r="J51" s="70"/>
    </row>
    <row r="52" spans="1:18">
      <c r="A52" t="s">
        <v>58</v>
      </c>
      <c r="B52" s="70">
        <f t="shared" ref="B52:I52" si="8">SUM(B38,B33,B30,B29,B25,B26,B4,B48,B47,B46)</f>
        <v>4199.6229999999996</v>
      </c>
      <c r="C52" s="70">
        <f t="shared" si="8"/>
        <v>5611.3167366420412</v>
      </c>
      <c r="D52" s="70">
        <f t="shared" si="8"/>
        <v>4833.0108673924069</v>
      </c>
      <c r="E52" s="70">
        <f t="shared" si="8"/>
        <v>4586.1771975929933</v>
      </c>
      <c r="F52" s="70">
        <f t="shared" si="8"/>
        <v>4439.9446634547176</v>
      </c>
      <c r="G52" s="70">
        <f t="shared" si="8"/>
        <v>4355.5492891877875</v>
      </c>
      <c r="H52" s="70">
        <f t="shared" si="8"/>
        <v>4326.4063958310662</v>
      </c>
      <c r="I52" s="70">
        <f t="shared" si="8"/>
        <v>4391.8541878673441</v>
      </c>
      <c r="J52" s="70"/>
      <c r="K52" s="8"/>
      <c r="L52" t="s">
        <v>59</v>
      </c>
      <c r="M52" t="s">
        <v>60</v>
      </c>
    </row>
    <row r="53" spans="1:18">
      <c r="A53" t="s">
        <v>61</v>
      </c>
      <c r="B53" s="70">
        <f>B51-B52</f>
        <v>-750.7229999999995</v>
      </c>
      <c r="C53" s="70">
        <f t="shared" ref="C53:I53" si="9">C51-C52</f>
        <v>-2901.4084913735542</v>
      </c>
      <c r="D53" s="70">
        <f t="shared" si="9"/>
        <v>-1846.4000167643298</v>
      </c>
      <c r="E53" s="70">
        <f t="shared" si="9"/>
        <v>-1417.9766316803089</v>
      </c>
      <c r="F53" s="70">
        <f t="shared" si="9"/>
        <v>-1247.8000262905871</v>
      </c>
      <c r="G53" s="70">
        <f t="shared" si="9"/>
        <v>-1119.8502862421074</v>
      </c>
      <c r="H53" s="70">
        <f t="shared" si="9"/>
        <v>-1057.5950290177416</v>
      </c>
      <c r="I53" s="70">
        <f t="shared" si="9"/>
        <v>-1075.6249095338667</v>
      </c>
      <c r="J53" s="70"/>
      <c r="K53" t="s">
        <v>62</v>
      </c>
      <c r="L53" s="70">
        <v>-3700</v>
      </c>
      <c r="M53" s="70">
        <v>-2100</v>
      </c>
    </row>
    <row r="54" spans="1:18">
      <c r="B54" s="70"/>
      <c r="C54" s="70"/>
      <c r="D54" s="70"/>
      <c r="E54" s="70"/>
      <c r="F54" s="70"/>
      <c r="G54" s="70"/>
      <c r="H54" s="70"/>
      <c r="I54" s="70"/>
      <c r="J54" s="70"/>
      <c r="K54" t="s">
        <v>63</v>
      </c>
      <c r="L54" s="70">
        <f>SUM(B53:D53) -357</f>
        <v>-5855.5315081378831</v>
      </c>
      <c r="M54" s="70">
        <f>SUM(E53:H53)</f>
        <v>-4843.2219732307449</v>
      </c>
    </row>
    <row r="55" spans="1:18">
      <c r="B55" s="70"/>
      <c r="C55" s="70"/>
      <c r="D55" s="70"/>
      <c r="E55" s="70"/>
      <c r="F55" s="70"/>
      <c r="G55" s="70"/>
      <c r="H55" s="70"/>
      <c r="I55" s="70"/>
      <c r="J55" s="70"/>
      <c r="K55" t="s">
        <v>64</v>
      </c>
      <c r="L55" s="70">
        <f>L54-L53</f>
        <v>-2155.5315081378831</v>
      </c>
      <c r="M55" s="8">
        <f>M54-M53</f>
        <v>-2743.2219732307449</v>
      </c>
    </row>
    <row r="56" spans="1:18">
      <c r="B56" s="70"/>
      <c r="C56" s="70"/>
      <c r="D56" s="70"/>
      <c r="E56" s="70"/>
      <c r="F56" s="70"/>
      <c r="G56" s="70"/>
      <c r="H56" s="70"/>
      <c r="I56" s="70"/>
      <c r="J56" s="70"/>
    </row>
    <row r="57" spans="1:18">
      <c r="A57" t="s">
        <v>65</v>
      </c>
      <c r="B57" s="70">
        <f t="shared" ref="B57:I57" si="10">SUM(B18,B19,B20,B21,)</f>
        <v>1934.6</v>
      </c>
      <c r="C57" s="70">
        <f t="shared" si="10"/>
        <v>1588.3832847749804</v>
      </c>
      <c r="D57" s="70">
        <f t="shared" si="10"/>
        <v>1753.1448100985674</v>
      </c>
      <c r="E57" s="70">
        <f t="shared" si="10"/>
        <v>1817.6544601988633</v>
      </c>
      <c r="F57" s="70">
        <f t="shared" si="10"/>
        <v>1829.6224579384793</v>
      </c>
      <c r="G57" s="70">
        <f t="shared" si="10"/>
        <v>1843.0841642953305</v>
      </c>
      <c r="H57" s="70">
        <f t="shared" si="10"/>
        <v>1850.1038578954601</v>
      </c>
      <c r="I57" s="70">
        <f t="shared" si="10"/>
        <v>1864.6910823389021</v>
      </c>
      <c r="J57" s="70"/>
    </row>
    <row r="58" spans="1:18">
      <c r="A58" t="s">
        <v>66</v>
      </c>
      <c r="B58" s="8">
        <f>SUM(B59:B61)</f>
        <v>3181.4279999999999</v>
      </c>
      <c r="C58" s="8">
        <f>SUM(C59:C61)</f>
        <v>2365.5809900486679</v>
      </c>
      <c r="D58" s="8">
        <f t="shared" ref="D58:I58" si="11">SUM(D59:D61)</f>
        <v>2346.1409679235139</v>
      </c>
      <c r="E58" s="8">
        <f t="shared" si="11"/>
        <v>2369.1407787151229</v>
      </c>
      <c r="F58" s="8">
        <f>SUM(F59:F61)</f>
        <v>2394.2995224352403</v>
      </c>
      <c r="G58" s="8">
        <f t="shared" si="11"/>
        <v>2454.3266246615985</v>
      </c>
      <c r="H58" s="8">
        <f t="shared" si="11"/>
        <v>2475.8533848811894</v>
      </c>
      <c r="I58" s="8">
        <f t="shared" si="11"/>
        <v>2495.0969758425977</v>
      </c>
      <c r="J58" s="70"/>
      <c r="L58" s="8"/>
      <c r="M58" s="8"/>
      <c r="N58" s="8"/>
      <c r="O58" s="8"/>
      <c r="P58" s="8"/>
      <c r="Q58" s="8"/>
      <c r="R58" s="8"/>
    </row>
    <row r="59" spans="1:18">
      <c r="A59" s="45" t="s">
        <v>67</v>
      </c>
      <c r="B59" s="70">
        <f t="shared" ref="B59:I59" si="12">SUM(B40,B5,B42)</f>
        <v>3181.4279999999999</v>
      </c>
      <c r="C59" s="70">
        <f t="shared" si="12"/>
        <v>2408.2409900486678</v>
      </c>
      <c r="D59" s="70">
        <f t="shared" si="12"/>
        <v>2388.8009679235138</v>
      </c>
      <c r="E59" s="70">
        <f t="shared" si="12"/>
        <v>2408.750778715123</v>
      </c>
      <c r="F59" s="70">
        <f t="shared" si="12"/>
        <v>2433.9095224352404</v>
      </c>
      <c r="G59" s="70">
        <f t="shared" si="12"/>
        <v>2456.4366246615987</v>
      </c>
      <c r="H59" s="70">
        <f t="shared" si="12"/>
        <v>2477.9633848811895</v>
      </c>
      <c r="I59" s="70">
        <f t="shared" si="12"/>
        <v>2495.3069758425977</v>
      </c>
      <c r="J59" s="70"/>
      <c r="L59" s="8"/>
      <c r="M59" s="8"/>
      <c r="N59" s="8"/>
      <c r="O59" s="8"/>
      <c r="P59" s="8"/>
      <c r="Q59" s="8"/>
      <c r="R59" s="8"/>
    </row>
    <row r="60" spans="1:18">
      <c r="A60" s="45" t="s">
        <v>43</v>
      </c>
      <c r="B60" s="45">
        <v>0</v>
      </c>
      <c r="C60" s="45">
        <f>-$K$47*'All Budg Add-Ons - Annual'!$F$13/2</f>
        <v>-5.16</v>
      </c>
      <c r="D60" s="45">
        <f>-$K$47*'All Budg Add-Ons - Annual'!$F$13/2</f>
        <v>-5.16</v>
      </c>
      <c r="E60" s="45">
        <f>-$K$47*'All Budg Add-Ons - Annual'!$G$13/4</f>
        <v>-2.1100000000000003</v>
      </c>
      <c r="F60" s="45">
        <f>-$K$47*'All Budg Add-Ons - Annual'!$G$13/4</f>
        <v>-2.1100000000000003</v>
      </c>
      <c r="G60" s="45">
        <f>-$K$47*'All Budg Add-Ons - Annual'!$G$13/4</f>
        <v>-2.1100000000000003</v>
      </c>
      <c r="H60" s="45">
        <f>-$K$47*'All Budg Add-Ons - Annual'!$G$13/4</f>
        <v>-2.1100000000000003</v>
      </c>
      <c r="I60" s="45">
        <f>-$K$47*'All Budg Add-Ons - Annual'!$H$13/4</f>
        <v>-0.21000000000000002</v>
      </c>
      <c r="J60" s="70"/>
      <c r="L60" s="8"/>
      <c r="M60" s="8"/>
      <c r="N60" s="8"/>
      <c r="O60" s="8"/>
      <c r="P60" s="8"/>
      <c r="Q60" s="8"/>
      <c r="R60" s="8"/>
    </row>
    <row r="61" spans="1:18">
      <c r="A61" s="45" t="s">
        <v>68</v>
      </c>
      <c r="B61" s="70">
        <v>0</v>
      </c>
      <c r="C61">
        <f>-'All Budg Add-Ons - Annual'!$F$12/4</f>
        <v>-37.5</v>
      </c>
      <c r="D61">
        <f>-'All Budg Add-Ons - Annual'!$F$12/4</f>
        <v>-37.5</v>
      </c>
      <c r="E61">
        <f>-'All Budg Add-Ons - Annual'!$F$12/4</f>
        <v>-37.5</v>
      </c>
      <c r="F61">
        <f>-'All Budg Add-Ons - Annual'!$F$12/4</f>
        <v>-37.5</v>
      </c>
      <c r="G61" s="70">
        <v>0</v>
      </c>
      <c r="H61" s="70">
        <v>0</v>
      </c>
      <c r="I61" s="70">
        <v>0</v>
      </c>
      <c r="J61" s="70"/>
      <c r="L61" s="8"/>
      <c r="M61" s="8"/>
      <c r="N61" s="8"/>
      <c r="O61" s="8"/>
      <c r="P61" s="8"/>
      <c r="Q61" s="8"/>
      <c r="R61" s="8"/>
    </row>
    <row r="62" spans="1:18">
      <c r="A62" t="s">
        <v>69</v>
      </c>
      <c r="B62" s="70">
        <f t="shared" ref="B62" si="13">B57-B58</f>
        <v>-1246.828</v>
      </c>
      <c r="C62" s="70">
        <f>C57-C58</f>
        <v>-777.19770527368746</v>
      </c>
      <c r="D62" s="70">
        <f t="shared" ref="D62:I62" si="14">D57-D58</f>
        <v>-592.99615782494652</v>
      </c>
      <c r="E62" s="70">
        <f t="shared" si="14"/>
        <v>-551.48631851625964</v>
      </c>
      <c r="F62" s="70">
        <f t="shared" si="14"/>
        <v>-564.67706449676098</v>
      </c>
      <c r="G62" s="70">
        <f t="shared" si="14"/>
        <v>-611.24246036626801</v>
      </c>
      <c r="H62" s="70">
        <f t="shared" si="14"/>
        <v>-625.74952698572929</v>
      </c>
      <c r="I62" s="70">
        <f t="shared" si="14"/>
        <v>-630.40589350369555</v>
      </c>
      <c r="J62" s="70"/>
      <c r="L62"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BEBE-9384-4B46-A4D4-74E38DE764A8}">
  <dimension ref="A1:Y47"/>
  <sheetViews>
    <sheetView zoomScale="140" zoomScaleNormal="140" workbookViewId="0">
      <selection activeCell="I41" sqref="I41"/>
    </sheetView>
  </sheetViews>
  <sheetFormatPr defaultColWidth="11" defaultRowHeight="15.95"/>
  <cols>
    <col min="1" max="1" width="40.5" bestFit="1" customWidth="1"/>
    <col min="2" max="9" width="12" bestFit="1" customWidth="1"/>
    <col min="22" max="25" width="11" bestFit="1" customWidth="1"/>
  </cols>
  <sheetData>
    <row r="1" spans="1:25">
      <c r="B1" t="s">
        <v>70</v>
      </c>
      <c r="C1" t="s">
        <v>71</v>
      </c>
      <c r="D1" t="s">
        <v>72</v>
      </c>
      <c r="E1" t="s">
        <v>73</v>
      </c>
      <c r="F1" t="s">
        <v>74</v>
      </c>
      <c r="G1" t="s">
        <v>75</v>
      </c>
      <c r="H1" t="s">
        <v>76</v>
      </c>
    </row>
    <row r="2" spans="1:25" s="82" customFormat="1">
      <c r="A2" s="82" t="s">
        <v>19</v>
      </c>
      <c r="B2" s="81"/>
      <c r="C2" s="81"/>
      <c r="D2" s="81"/>
      <c r="E2" s="81"/>
      <c r="F2" s="81"/>
      <c r="G2" s="81"/>
      <c r="H2" s="81"/>
      <c r="I2" s="81"/>
      <c r="J2" s="82" t="s">
        <v>77</v>
      </c>
    </row>
    <row r="3" spans="1:25">
      <c r="A3" s="75" t="s">
        <v>20</v>
      </c>
      <c r="B3" s="76"/>
      <c r="C3" s="76"/>
      <c r="D3" s="76"/>
      <c r="E3" s="76"/>
      <c r="F3" s="76"/>
      <c r="G3" s="76"/>
      <c r="H3" s="76"/>
      <c r="I3" s="76"/>
      <c r="U3" t="s">
        <v>21</v>
      </c>
      <c r="V3">
        <f>SUM(W3:Y3)</f>
        <v>900</v>
      </c>
      <c r="W3">
        <f>500</f>
        <v>500</v>
      </c>
      <c r="X3">
        <v>250</v>
      </c>
      <c r="Y3">
        <v>150</v>
      </c>
    </row>
    <row r="4" spans="1:25" s="99" customFormat="1">
      <c r="A4" s="80" t="s">
        <v>78</v>
      </c>
      <c r="B4" s="102">
        <f>SUM(B5:B8)</f>
        <v>-709.75273283907211</v>
      </c>
      <c r="C4" s="102">
        <f t="shared" ref="C4:H4" si="0">SUM(C5:C8)</f>
        <v>-537.44366168459555</v>
      </c>
      <c r="D4" s="102">
        <f t="shared" si="0"/>
        <v>-411.92644401093855</v>
      </c>
      <c r="E4" s="102">
        <f t="shared" si="0"/>
        <v>-431.61527221073493</v>
      </c>
      <c r="F4" s="102">
        <f t="shared" si="0"/>
        <v>-430.04970835903816</v>
      </c>
      <c r="G4" s="102">
        <f t="shared" si="0"/>
        <v>-438.88502088909934</v>
      </c>
      <c r="H4" s="102">
        <f t="shared" si="0"/>
        <v>-436.81678243230033</v>
      </c>
      <c r="I4" s="98"/>
      <c r="J4" s="99" t="s">
        <v>79</v>
      </c>
    </row>
    <row r="5" spans="1:25" s="68" customFormat="1">
      <c r="A5" s="78" t="s">
        <v>22</v>
      </c>
      <c r="B5" s="102">
        <v>-563.99318184772301</v>
      </c>
      <c r="C5" s="102">
        <v>-373.45363701105748</v>
      </c>
      <c r="D5" s="102">
        <v>-268.2965016203209</v>
      </c>
      <c r="E5" s="102">
        <v>-302.31900311222012</v>
      </c>
      <c r="F5" s="102">
        <v>-312.37237583560523</v>
      </c>
      <c r="G5" s="102">
        <v>-326.6235934131596</v>
      </c>
      <c r="H5" s="102">
        <v>-323.97295834749866</v>
      </c>
      <c r="I5" s="100"/>
      <c r="U5" s="68" t="s">
        <v>23</v>
      </c>
      <c r="V5" s="76" t="e">
        <f>SUM(W5:Y5)</f>
        <v>#REF!</v>
      </c>
      <c r="W5" s="76" t="e">
        <f>-1*SUM(#REF!)</f>
        <v>#REF!</v>
      </c>
      <c r="X5" s="76">
        <f>SUM(B32:C32)</f>
        <v>0</v>
      </c>
      <c r="Y5" s="76">
        <f>SUM(B24:C24)-40</f>
        <v>38.433727308521597</v>
      </c>
    </row>
    <row r="6" spans="1:25" s="68" customFormat="1">
      <c r="A6" s="78" t="s">
        <v>29</v>
      </c>
      <c r="B6" s="102">
        <v>-179.61314742322952</v>
      </c>
      <c r="C6" s="102">
        <v>-183.54414200341557</v>
      </c>
      <c r="D6" s="102">
        <v>-154.21972654912088</v>
      </c>
      <c r="E6" s="102">
        <v>-145.11324767414362</v>
      </c>
      <c r="F6" s="102">
        <v>-135.33724207576392</v>
      </c>
      <c r="G6" s="102">
        <v>-131.62729187826721</v>
      </c>
      <c r="H6" s="102">
        <v>-131.83334321378425</v>
      </c>
      <c r="I6" s="100"/>
    </row>
    <row r="7" spans="1:25" s="68" customFormat="1">
      <c r="A7" s="78" t="s">
        <v>30</v>
      </c>
      <c r="B7" s="102">
        <v>-27.450010290698145</v>
      </c>
      <c r="C7" s="102">
        <v>-21.038669301759199</v>
      </c>
      <c r="D7" s="102">
        <v>-18.572879061096899</v>
      </c>
      <c r="E7" s="102">
        <v>-17.043782632221252</v>
      </c>
      <c r="F7" s="102">
        <v>-16.293609560234785</v>
      </c>
      <c r="G7" s="102">
        <v>-16.136700099102853</v>
      </c>
      <c r="H7" s="102">
        <v>-16.224932865310763</v>
      </c>
    </row>
    <row r="8" spans="1:25" s="68" customFormat="1">
      <c r="A8" s="78" t="s">
        <v>44</v>
      </c>
      <c r="B8" s="101">
        <v>61.303606722578593</v>
      </c>
      <c r="C8" s="101">
        <v>40.59278663163667</v>
      </c>
      <c r="D8" s="101">
        <v>29.162663219600091</v>
      </c>
      <c r="E8" s="101">
        <v>32.860761207850004</v>
      </c>
      <c r="F8" s="101">
        <v>33.953519112565772</v>
      </c>
      <c r="G8" s="101">
        <v>35.502564501430385</v>
      </c>
      <c r="H8" s="101">
        <v>35.214451994293341</v>
      </c>
      <c r="I8" s="100"/>
    </row>
    <row r="9" spans="1:25">
      <c r="A9" s="77" t="s">
        <v>80</v>
      </c>
      <c r="B9" s="103">
        <f>SUM(B10:B11)</f>
        <v>-54.917721209746006</v>
      </c>
      <c r="C9" s="103">
        <f t="shared" ref="C9:H9" si="1">SUM(C10:C11)</f>
        <v>-21.834759943968312</v>
      </c>
      <c r="D9" s="103">
        <f t="shared" si="1"/>
        <v>-18.573384747130326</v>
      </c>
      <c r="E9" s="103">
        <f t="shared" si="1"/>
        <v>-12.623386309714315</v>
      </c>
      <c r="F9" s="103">
        <f t="shared" si="1"/>
        <v>-10.922825477231678</v>
      </c>
      <c r="G9" s="103">
        <f t="shared" si="1"/>
        <v>-8.8071026927371836</v>
      </c>
      <c r="H9" s="103">
        <f t="shared" si="1"/>
        <v>-7.9467535070491326</v>
      </c>
      <c r="I9" s="76"/>
      <c r="K9" s="70"/>
      <c r="L9" s="70"/>
      <c r="M9" s="70"/>
      <c r="N9" s="70"/>
      <c r="O9" s="70"/>
      <c r="P9" s="70"/>
      <c r="Q9" s="70"/>
      <c r="R9" s="70"/>
    </row>
    <row r="10" spans="1:25" s="45" customFormat="1">
      <c r="A10" s="78" t="s">
        <v>81</v>
      </c>
      <c r="B10" s="76">
        <v>-42.084387876412677</v>
      </c>
      <c r="C10" s="76">
        <v>-9.0014266106349794</v>
      </c>
      <c r="D10" s="76">
        <v>-11.656718080463662</v>
      </c>
      <c r="E10" s="76">
        <v>-5.7067196430476486</v>
      </c>
      <c r="F10" s="76">
        <v>-4.0061588105650117</v>
      </c>
      <c r="G10" s="76">
        <v>-1.8904360260705175</v>
      </c>
      <c r="H10" s="76">
        <v>-1.0300868403824666</v>
      </c>
      <c r="I10" s="76"/>
    </row>
    <row r="11" spans="1:25" s="45" customFormat="1">
      <c r="A11" s="78" t="s">
        <v>28</v>
      </c>
      <c r="B11" s="76" cm="1">
        <f t="array" ref="B11:H11">TRANSPOSE('Corp Taxes'!E16:E22)</f>
        <v>-12.833333333333332</v>
      </c>
      <c r="C11" s="76">
        <v>-12.833333333333332</v>
      </c>
      <c r="D11" s="76">
        <v>-6.9166666666666661</v>
      </c>
      <c r="E11" s="76">
        <v>-6.9166666666666661</v>
      </c>
      <c r="F11" s="76">
        <v>-6.9166666666666661</v>
      </c>
      <c r="G11" s="76">
        <v>-6.9166666666666661</v>
      </c>
      <c r="H11" s="76">
        <v>-6.9166666666666661</v>
      </c>
      <c r="I11" s="76"/>
    </row>
    <row r="12" spans="1:25">
      <c r="A12" s="75" t="s">
        <v>31</v>
      </c>
      <c r="B12" s="76"/>
      <c r="C12" s="76"/>
      <c r="D12" s="76"/>
      <c r="E12" s="76"/>
      <c r="F12" s="76"/>
      <c r="G12" s="76"/>
      <c r="H12" s="76"/>
      <c r="I12" s="76"/>
    </row>
    <row r="13" spans="1:25" s="99" customFormat="1">
      <c r="A13" s="80" t="s">
        <v>78</v>
      </c>
      <c r="B13" s="102">
        <f>SUM(B14:B16)</f>
        <v>-352.11626663989421</v>
      </c>
      <c r="C13" s="102">
        <f t="shared" ref="C13:H13" si="2">SUM(C14:C16)</f>
        <v>-223.35125262104503</v>
      </c>
      <c r="D13" s="102">
        <f t="shared" si="2"/>
        <v>-178.70725296563899</v>
      </c>
      <c r="E13" s="102">
        <f t="shared" si="2"/>
        <v>-189.41948470615768</v>
      </c>
      <c r="F13" s="102">
        <f t="shared" si="2"/>
        <v>-196.13432992489774</v>
      </c>
      <c r="G13" s="102">
        <f t="shared" si="2"/>
        <v>-209.19243179812406</v>
      </c>
      <c r="H13" s="102">
        <f t="shared" si="2"/>
        <v>-214.75737819734235</v>
      </c>
      <c r="I13" s="98"/>
    </row>
    <row r="14" spans="1:25">
      <c r="A14" s="78" t="s">
        <v>22</v>
      </c>
      <c r="B14" s="103">
        <v>-118.40622919057478</v>
      </c>
      <c r="C14" s="103">
        <v>-78.257738135620855</v>
      </c>
      <c r="D14" s="103">
        <v>-56.17285123906305</v>
      </c>
      <c r="E14" s="103">
        <v>-63.213647672594902</v>
      </c>
      <c r="F14" s="103">
        <v>-65.211337060390349</v>
      </c>
      <c r="G14" s="103">
        <v>-68.070615122670006</v>
      </c>
      <c r="H14" s="103">
        <v>-67.43870437173473</v>
      </c>
      <c r="I14" s="76"/>
      <c r="K14" s="8"/>
      <c r="L14" s="8"/>
      <c r="M14" s="8"/>
      <c r="N14" s="8"/>
      <c r="O14" s="8"/>
      <c r="P14" s="8"/>
      <c r="Q14" s="8"/>
      <c r="R14" s="8"/>
    </row>
    <row r="15" spans="1:25">
      <c r="A15" s="78" t="s">
        <v>29</v>
      </c>
      <c r="B15" s="103">
        <v>-3.2627512309310589</v>
      </c>
      <c r="C15" s="103">
        <v>-3.3768464920077683</v>
      </c>
      <c r="D15" s="103">
        <v>-2.8440672534962452</v>
      </c>
      <c r="E15" s="103">
        <v>-2.6818677480245725</v>
      </c>
      <c r="F15" s="103">
        <v>-2.4979742299250631</v>
      </c>
      <c r="G15" s="103">
        <v>-2.4268928651149437</v>
      </c>
      <c r="H15" s="103">
        <v>-2.4292323562294094</v>
      </c>
      <c r="I15" s="76"/>
    </row>
    <row r="16" spans="1:25">
      <c r="A16" s="78" t="s">
        <v>30</v>
      </c>
      <c r="B16" s="104">
        <v>-230.4472862183884</v>
      </c>
      <c r="C16" s="104">
        <v>-141.71666799341642</v>
      </c>
      <c r="D16" s="104">
        <v>-119.6903344730797</v>
      </c>
      <c r="E16" s="104">
        <v>-123.52396928553821</v>
      </c>
      <c r="F16" s="104">
        <v>-128.42501863458233</v>
      </c>
      <c r="G16" s="104">
        <v>-138.69492381033911</v>
      </c>
      <c r="H16" s="104">
        <v>-144.8894414693782</v>
      </c>
      <c r="I16" s="76"/>
    </row>
    <row r="17" spans="1:10">
      <c r="A17" s="77" t="s">
        <v>80</v>
      </c>
      <c r="B17" s="103">
        <v>-18.998309179244721</v>
      </c>
      <c r="C17" s="103">
        <v>-3.9035317137589232</v>
      </c>
      <c r="D17" s="103">
        <v>-5.0454466718750695</v>
      </c>
      <c r="E17" s="103">
        <v>-2.4643950059439135</v>
      </c>
      <c r="F17" s="103">
        <v>-1.7255739711690694</v>
      </c>
      <c r="G17" s="103">
        <v>-0.81211083228856751</v>
      </c>
      <c r="H17" s="103">
        <v>-0.43280381562944115</v>
      </c>
      <c r="I17" s="76"/>
    </row>
    <row r="18" spans="1:10">
      <c r="A18" s="82" t="s">
        <v>32</v>
      </c>
    </row>
    <row r="19" spans="1:10">
      <c r="A19" s="75" t="s">
        <v>33</v>
      </c>
    </row>
    <row r="20" spans="1:10">
      <c r="A20" s="80" t="s">
        <v>82</v>
      </c>
      <c r="B20" s="106">
        <f>SUM(B21,B24,B27)</f>
        <v>549.15980672257865</v>
      </c>
      <c r="C20" s="106">
        <f t="shared" ref="C20:H20" si="3">SUM(C21,C24,C27)</f>
        <v>198.13031394015829</v>
      </c>
      <c r="D20" s="106">
        <f t="shared" si="3"/>
        <v>224.89434944815542</v>
      </c>
      <c r="E20" s="106">
        <f t="shared" si="3"/>
        <v>123.93642144971744</v>
      </c>
      <c r="F20" s="106">
        <f t="shared" si="3"/>
        <v>67.24101531580942</v>
      </c>
      <c r="G20" s="106">
        <f t="shared" si="3"/>
        <v>55.707287141347884</v>
      </c>
      <c r="H20" s="106">
        <f t="shared" si="3"/>
        <v>48.753466787581047</v>
      </c>
    </row>
    <row r="21" spans="1:10">
      <c r="A21" s="69" t="s">
        <v>83</v>
      </c>
      <c r="B21" s="95">
        <f>SUM(B22:B23)</f>
        <v>177.75</v>
      </c>
      <c r="C21" s="95">
        <f t="shared" ref="C21:H21" si="4">SUM(C22:C23)</f>
        <v>88.25</v>
      </c>
      <c r="D21" s="95">
        <f t="shared" si="4"/>
        <v>162.25</v>
      </c>
      <c r="E21" s="95">
        <f t="shared" si="4"/>
        <v>50</v>
      </c>
      <c r="F21" s="95">
        <f t="shared" si="4"/>
        <v>0</v>
      </c>
      <c r="G21" s="95">
        <f t="shared" si="4"/>
        <v>0</v>
      </c>
      <c r="H21" s="95">
        <f t="shared" si="4"/>
        <v>0</v>
      </c>
      <c r="I21" s="95"/>
    </row>
    <row r="22" spans="1:10">
      <c r="A22" s="105" t="s">
        <v>38</v>
      </c>
      <c r="B22" s="96">
        <v>15</v>
      </c>
      <c r="C22" s="96">
        <v>34</v>
      </c>
      <c r="D22" s="96">
        <v>106</v>
      </c>
      <c r="E22" s="96">
        <v>50</v>
      </c>
      <c r="F22" s="96">
        <v>0</v>
      </c>
      <c r="G22" s="96">
        <v>0</v>
      </c>
      <c r="H22" s="96">
        <v>0</v>
      </c>
    </row>
    <row r="23" spans="1:10">
      <c r="A23" s="105" t="s">
        <v>39</v>
      </c>
      <c r="B23" s="96" cm="1">
        <f t="array" ref="B23:G23">TRANSPOSE(UI!E18:E23)</f>
        <v>162.75</v>
      </c>
      <c r="C23" s="96">
        <v>54.25</v>
      </c>
      <c r="D23" s="96">
        <v>56.25</v>
      </c>
      <c r="E23" s="96">
        <v>0</v>
      </c>
      <c r="F23" s="96">
        <v>0</v>
      </c>
      <c r="G23" s="96">
        <v>0</v>
      </c>
      <c r="H23" s="96"/>
      <c r="I23" s="95">
        <f>B23*4</f>
        <v>651</v>
      </c>
      <c r="J23">
        <v>768.8</v>
      </c>
    </row>
    <row r="24" spans="1:10">
      <c r="A24" s="69" t="s">
        <v>84</v>
      </c>
      <c r="B24" s="95">
        <f>SUM(B25:B26)</f>
        <v>38.126199999999997</v>
      </c>
      <c r="C24" s="95">
        <f t="shared" ref="C24:H24" si="5">SUM(C25:C26)</f>
        <v>40.3075273085216</v>
      </c>
      <c r="D24" s="95">
        <f t="shared" si="5"/>
        <v>27.151686228555352</v>
      </c>
      <c r="E24" s="95">
        <f t="shared" si="5"/>
        <v>23.245660241867437</v>
      </c>
      <c r="F24" s="95">
        <f t="shared" si="5"/>
        <v>15.457496203243645</v>
      </c>
      <c r="G24" s="95">
        <f t="shared" si="5"/>
        <v>13.874722639917501</v>
      </c>
      <c r="H24" s="95">
        <f t="shared" si="5"/>
        <v>12.909014793287707</v>
      </c>
    </row>
    <row r="25" spans="1:10">
      <c r="A25" s="105" t="s">
        <v>38</v>
      </c>
      <c r="B25" s="96">
        <v>32.911199999999994</v>
      </c>
      <c r="C25" s="96">
        <v>35.092527308521596</v>
      </c>
      <c r="D25" s="96">
        <v>21.936686228555352</v>
      </c>
      <c r="E25" s="96">
        <v>18.030660241867437</v>
      </c>
      <c r="F25" s="96">
        <v>15.457496203243645</v>
      </c>
      <c r="G25" s="96">
        <v>13.874722639917501</v>
      </c>
      <c r="H25" s="96">
        <v>12.909014793287707</v>
      </c>
    </row>
    <row r="26" spans="1:10">
      <c r="A26" s="105" t="s">
        <v>25</v>
      </c>
      <c r="B26" s="96" cm="1">
        <f t="array" ref="B26:H26">TRANSPOSE(SNAP!E16:E22)</f>
        <v>5.2150000000000007</v>
      </c>
      <c r="C26" s="96">
        <v>5.2150000000000007</v>
      </c>
      <c r="D26" s="96">
        <v>5.2150000000000007</v>
      </c>
      <c r="E26" s="96">
        <v>5.2150000000000007</v>
      </c>
      <c r="F26" s="96">
        <v>0</v>
      </c>
      <c r="G26" s="96">
        <v>0</v>
      </c>
      <c r="H26" s="96">
        <v>0</v>
      </c>
      <c r="I26">
        <f>B26*4</f>
        <v>20.860000000000003</v>
      </c>
    </row>
    <row r="27" spans="1:10">
      <c r="A27" s="69" t="s">
        <v>85</v>
      </c>
      <c r="B27" s="96">
        <f>SUM(B28:B30)</f>
        <v>333.28360672257861</v>
      </c>
      <c r="C27" s="96">
        <f t="shared" ref="C27:H27" si="6">SUM(C28:C30)</f>
        <v>69.572786631636689</v>
      </c>
      <c r="D27" s="96">
        <f t="shared" si="6"/>
        <v>35.49266321960009</v>
      </c>
      <c r="E27" s="96">
        <f t="shared" si="6"/>
        <v>50.690761207850002</v>
      </c>
      <c r="F27" s="96">
        <f t="shared" si="6"/>
        <v>51.78351911256577</v>
      </c>
      <c r="G27" s="96">
        <f t="shared" si="6"/>
        <v>41.832564501430383</v>
      </c>
      <c r="H27" s="96">
        <f t="shared" si="6"/>
        <v>35.844451994293344</v>
      </c>
    </row>
    <row r="28" spans="1:10">
      <c r="A28" s="105" t="s">
        <v>44</v>
      </c>
      <c r="B28" s="96">
        <v>61.303606722578593</v>
      </c>
      <c r="C28" s="96">
        <v>40.59278663163667</v>
      </c>
      <c r="D28" s="96">
        <v>29.162663219600091</v>
      </c>
      <c r="E28" s="96">
        <v>32.860761207850004</v>
      </c>
      <c r="F28" s="96">
        <v>33.953519112565772</v>
      </c>
      <c r="G28" s="96">
        <v>35.502564501430385</v>
      </c>
      <c r="H28" s="96">
        <v>35.214451994293341</v>
      </c>
    </row>
    <row r="29" spans="1:10">
      <c r="A29" s="105" t="s">
        <v>43</v>
      </c>
      <c r="B29" s="96">
        <v>15.48</v>
      </c>
      <c r="C29" s="96">
        <v>15.48</v>
      </c>
      <c r="D29" s="96">
        <v>6.33</v>
      </c>
      <c r="E29" s="96">
        <v>6.33</v>
      </c>
      <c r="F29" s="96">
        <v>6.33</v>
      </c>
      <c r="G29" s="96">
        <v>6.33</v>
      </c>
      <c r="H29" s="96">
        <v>0.63</v>
      </c>
    </row>
    <row r="30" spans="1:10">
      <c r="A30" s="105" t="s">
        <v>42</v>
      </c>
      <c r="B30" s="96" cm="1">
        <f t="array" ref="B30:H30">TRANSPOSE('Stimulus Checks'!E18:E24)</f>
        <v>256.5</v>
      </c>
      <c r="C30" s="96">
        <v>13.500000000000012</v>
      </c>
      <c r="D30" s="96">
        <v>0</v>
      </c>
      <c r="E30" s="96">
        <v>11.5</v>
      </c>
      <c r="F30" s="96">
        <v>11.5</v>
      </c>
      <c r="G30" s="96">
        <v>0</v>
      </c>
      <c r="H30" s="96">
        <v>0</v>
      </c>
      <c r="I30">
        <f>B30*4</f>
        <v>1026</v>
      </c>
      <c r="J30">
        <v>1078.0999999999999</v>
      </c>
    </row>
    <row r="31" spans="1:10">
      <c r="A31" s="77" t="s">
        <v>86</v>
      </c>
      <c r="B31" s="95">
        <v>52.56</v>
      </c>
      <c r="C31" s="95">
        <v>56.043633636448867</v>
      </c>
      <c r="D31" s="95">
        <v>35.03343020530609</v>
      </c>
      <c r="E31" s="95">
        <v>28.795410143433021</v>
      </c>
      <c r="F31" s="95">
        <v>24.686003562388677</v>
      </c>
      <c r="G31" s="95">
        <v>22.158275053904571</v>
      </c>
      <c r="H31" s="95">
        <v>20.616015749507827</v>
      </c>
    </row>
    <row r="32" spans="1:10">
      <c r="A32" s="75" t="s">
        <v>46</v>
      </c>
    </row>
    <row r="33" spans="1:10">
      <c r="A33" s="77" t="s">
        <v>83</v>
      </c>
      <c r="B33" s="95">
        <v>455.4285714285715</v>
      </c>
      <c r="C33" s="95">
        <v>467.49521426356529</v>
      </c>
      <c r="D33" s="95">
        <v>214.37380356589131</v>
      </c>
      <c r="E33" s="95">
        <v>86.124601188630436</v>
      </c>
      <c r="F33" s="95">
        <v>12.041533729543481</v>
      </c>
      <c r="G33" s="95">
        <v>4.0138445765144937</v>
      </c>
      <c r="H33" s="95">
        <v>1.337948192171498</v>
      </c>
      <c r="I33" t="s">
        <v>87</v>
      </c>
    </row>
    <row r="34" spans="1:10" s="93" customFormat="1">
      <c r="A34" s="92" t="s">
        <v>88</v>
      </c>
      <c r="B34" s="95">
        <f>SUM(B35:B36)</f>
        <v>13.14</v>
      </c>
      <c r="C34" s="95">
        <f>SUM(C35:C36)</f>
        <v>-0.53909159088778402</v>
      </c>
      <c r="D34" s="95">
        <f>SUM(D35:D36)</f>
        <v>-5.7916424486734783</v>
      </c>
      <c r="E34" s="95">
        <f>SUM(E35:E36)</f>
        <v>-3.2011474641417452</v>
      </c>
      <c r="F34" s="95">
        <f>SUM(F35:F36)</f>
        <v>-4.228499109402831</v>
      </c>
      <c r="G34" s="95">
        <f>SUM(G35:G36)</f>
        <v>5.5395687634761428</v>
      </c>
      <c r="H34" s="95">
        <f>SUM(H35:H36)</f>
        <v>5.1540039373769568</v>
      </c>
      <c r="I34" s="94" t="s">
        <v>89</v>
      </c>
    </row>
    <row r="35" spans="1:10">
      <c r="A35" s="78" t="s">
        <v>38</v>
      </c>
      <c r="B35" s="96">
        <v>13.14</v>
      </c>
      <c r="C35" s="96">
        <v>14.010908409112217</v>
      </c>
      <c r="D35" s="96">
        <v>8.7583575513265224</v>
      </c>
      <c r="E35" s="96">
        <v>7.1988525358582551</v>
      </c>
      <c r="F35" s="96">
        <v>6.1715008905971693</v>
      </c>
      <c r="G35" s="96">
        <v>5.5395687634761428</v>
      </c>
      <c r="H35" s="96">
        <v>5.1540039373769568</v>
      </c>
      <c r="I35" s="40"/>
    </row>
    <row r="36" spans="1:10">
      <c r="A36" s="78" t="s">
        <v>49</v>
      </c>
      <c r="B36" s="96">
        <v>0</v>
      </c>
      <c r="C36" s="96">
        <v>-14.55</v>
      </c>
      <c r="D36" s="96">
        <v>-14.55</v>
      </c>
      <c r="E36" s="96">
        <v>-10.4</v>
      </c>
      <c r="F36" s="96">
        <v>-10.4</v>
      </c>
      <c r="G36" s="96">
        <v>0</v>
      </c>
      <c r="H36" s="96">
        <v>0</v>
      </c>
      <c r="I36" s="40">
        <f>C36*4</f>
        <v>-58.2</v>
      </c>
    </row>
    <row r="37" spans="1:10">
      <c r="A37" s="75" t="s">
        <v>50</v>
      </c>
      <c r="B37" s="45"/>
      <c r="C37" s="45"/>
      <c r="D37" s="45"/>
      <c r="E37" s="45"/>
      <c r="F37" s="45"/>
      <c r="G37" s="45"/>
      <c r="H37" s="45"/>
      <c r="I37" s="45"/>
    </row>
    <row r="38" spans="1:10">
      <c r="A38" s="92" t="s">
        <v>90</v>
      </c>
      <c r="B38" s="102">
        <f>SUM(B39:B41)</f>
        <v>670.02</v>
      </c>
      <c r="C38" s="102">
        <f t="shared" ref="C38:H38" si="7">SUM(C39:C41)</f>
        <v>196.69999999999996</v>
      </c>
      <c r="D38" s="102">
        <f t="shared" si="7"/>
        <v>7.7850000000000001</v>
      </c>
      <c r="E38" s="102">
        <f t="shared" si="7"/>
        <v>7.7850000000000001</v>
      </c>
      <c r="F38" s="102">
        <f t="shared" si="7"/>
        <v>7.7850000000000001</v>
      </c>
      <c r="G38" s="102">
        <f t="shared" si="7"/>
        <v>7.7850000000000001</v>
      </c>
      <c r="H38" s="102">
        <f t="shared" si="7"/>
        <v>5.8849999999999998</v>
      </c>
      <c r="I38" s="107">
        <f>B38*4</f>
        <v>2680.08</v>
      </c>
      <c r="J38">
        <v>610</v>
      </c>
    </row>
    <row r="39" spans="1:10">
      <c r="A39" s="78" t="s">
        <v>52</v>
      </c>
      <c r="B39" s="91" cm="1">
        <f t="array" ref="B39:H39">TRANSPOSE(PPP!E19:E25)</f>
        <v>570</v>
      </c>
      <c r="C39" s="91">
        <v>128.29999999999995</v>
      </c>
      <c r="D39" s="91">
        <v>0</v>
      </c>
      <c r="E39" s="91">
        <v>0</v>
      </c>
      <c r="F39" s="91">
        <v>0</v>
      </c>
      <c r="G39" s="91">
        <v>0</v>
      </c>
      <c r="H39" s="91">
        <v>0</v>
      </c>
      <c r="I39" s="91">
        <f>B39*4</f>
        <v>2280</v>
      </c>
      <c r="J39">
        <v>909</v>
      </c>
    </row>
    <row r="40" spans="1:10">
      <c r="A40" s="97" t="s">
        <v>54</v>
      </c>
      <c r="B40" s="91" cm="1">
        <f t="array" ref="B40:H40">TRANSPOSE('All other subsidies'!E19:E25)</f>
        <v>94.86</v>
      </c>
      <c r="C40" s="91">
        <v>63.24</v>
      </c>
      <c r="D40" s="91">
        <v>5.6749999999999998</v>
      </c>
      <c r="E40" s="91">
        <v>5.6749999999999998</v>
      </c>
      <c r="F40" s="91">
        <v>5.6749999999999998</v>
      </c>
      <c r="G40" s="91">
        <v>5.6749999999999998</v>
      </c>
      <c r="H40" s="91">
        <v>5.6749999999999998</v>
      </c>
      <c r="I40" s="91"/>
    </row>
    <row r="41" spans="1:10">
      <c r="A41" s="97" t="s">
        <v>43</v>
      </c>
      <c r="B41" s="91">
        <v>5.16</v>
      </c>
      <c r="C41" s="91">
        <v>5.16</v>
      </c>
      <c r="D41" s="91">
        <v>2.1100000000000003</v>
      </c>
      <c r="E41" s="91">
        <v>2.1100000000000003</v>
      </c>
      <c r="F41" s="91">
        <v>2.1100000000000003</v>
      </c>
      <c r="G41" s="91">
        <v>2.1100000000000003</v>
      </c>
      <c r="H41" s="91">
        <v>0.21000000000000002</v>
      </c>
    </row>
    <row r="42" spans="1:10">
      <c r="A42" s="82" t="s">
        <v>91</v>
      </c>
    </row>
    <row r="43" spans="1:10">
      <c r="A43" s="75" t="s">
        <v>66</v>
      </c>
    </row>
    <row r="44" spans="1:10">
      <c r="A44" s="77" t="s">
        <v>43</v>
      </c>
      <c r="B44" s="96">
        <v>-5.16</v>
      </c>
      <c r="C44" s="96">
        <v>-5.16</v>
      </c>
      <c r="D44" s="96">
        <v>-2.1100000000000003</v>
      </c>
      <c r="E44" s="96">
        <v>-2.1100000000000003</v>
      </c>
      <c r="F44" s="96">
        <v>-2.1100000000000003</v>
      </c>
      <c r="G44" s="96">
        <v>-2.1100000000000003</v>
      </c>
      <c r="H44" s="96">
        <v>-0.21000000000000002</v>
      </c>
    </row>
    <row r="45" spans="1:10">
      <c r="A45" s="75" t="s">
        <v>92</v>
      </c>
      <c r="B45" s="96"/>
      <c r="C45" s="96"/>
      <c r="D45" s="96"/>
      <c r="E45" s="96"/>
      <c r="F45" s="96"/>
      <c r="G45" s="96"/>
      <c r="H45" s="96"/>
    </row>
    <row r="46" spans="1:10">
      <c r="A46" s="77" t="s">
        <v>68</v>
      </c>
      <c r="B46" s="96">
        <f>-Master!C61</f>
        <v>37.5</v>
      </c>
      <c r="C46" s="96">
        <f>-Master!D61</f>
        <v>37.5</v>
      </c>
      <c r="D46" s="96">
        <f>-Master!E61</f>
        <v>37.5</v>
      </c>
      <c r="E46" s="96">
        <f>-Master!F61</f>
        <v>37.5</v>
      </c>
      <c r="F46" s="96">
        <f>-Master!G61</f>
        <v>0</v>
      </c>
      <c r="G46" s="96">
        <f>-Master!H61</f>
        <v>0</v>
      </c>
      <c r="H46" s="96">
        <f>-Master!I61</f>
        <v>0</v>
      </c>
      <c r="I46">
        <f>B46*4</f>
        <v>150</v>
      </c>
    </row>
    <row r="47" spans="1:10">
      <c r="A47" s="78" t="s">
        <v>49</v>
      </c>
      <c r="B47" s="96">
        <v>0</v>
      </c>
      <c r="C47" s="96">
        <v>-14.55</v>
      </c>
      <c r="D47" s="96">
        <v>-14.55</v>
      </c>
      <c r="E47" s="96">
        <v>-10.4</v>
      </c>
      <c r="F47" s="96">
        <v>-10.4</v>
      </c>
      <c r="G47" s="96">
        <v>0</v>
      </c>
      <c r="H47" s="96">
        <v>0</v>
      </c>
      <c r="I47" s="40"/>
    </row>
  </sheetData>
  <pageMargins left="0.7" right="0.7" top="0.75" bottom="0.75" header="0.3" footer="0.3"/>
  <ignoredErrors>
    <ignoredError sqref="B13:C13 D13:H13" formulaRange="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51AA-E51D-C045-A55A-CE719B2A3EFE}">
  <dimension ref="A4:Q30"/>
  <sheetViews>
    <sheetView zoomScale="120" zoomScaleNormal="120" workbookViewId="0">
      <selection activeCell="B31" sqref="B31"/>
    </sheetView>
  </sheetViews>
  <sheetFormatPr defaultColWidth="11" defaultRowHeight="15.95"/>
  <cols>
    <col min="1" max="1" width="22.625" customWidth="1"/>
    <col min="2" max="2" width="15.375" customWidth="1"/>
    <col min="3" max="3" width="6.875" bestFit="1" customWidth="1"/>
  </cols>
  <sheetData>
    <row r="4" spans="1:17">
      <c r="A4" t="s">
        <v>93</v>
      </c>
      <c r="C4" t="s">
        <v>94</v>
      </c>
      <c r="D4">
        <v>1</v>
      </c>
      <c r="E4">
        <v>2</v>
      </c>
      <c r="F4">
        <v>3</v>
      </c>
      <c r="G4">
        <v>4</v>
      </c>
      <c r="H4">
        <v>5</v>
      </c>
      <c r="I4">
        <v>6</v>
      </c>
      <c r="J4">
        <v>7</v>
      </c>
      <c r="K4">
        <v>8</v>
      </c>
      <c r="L4">
        <v>9</v>
      </c>
      <c r="M4">
        <v>10</v>
      </c>
      <c r="N4">
        <v>11</v>
      </c>
      <c r="O4">
        <v>12</v>
      </c>
    </row>
    <row r="5" spans="1:17">
      <c r="A5" t="s">
        <v>95</v>
      </c>
      <c r="B5">
        <v>0.4</v>
      </c>
      <c r="C5" s="83">
        <v>0.75</v>
      </c>
      <c r="D5">
        <f>$B$5/12</f>
        <v>3.3333333333333333E-2</v>
      </c>
      <c r="E5">
        <f t="shared" ref="E5:O5" si="0">$B$5/12</f>
        <v>3.3333333333333333E-2</v>
      </c>
      <c r="F5">
        <f t="shared" si="0"/>
        <v>3.3333333333333333E-2</v>
      </c>
      <c r="G5">
        <f t="shared" si="0"/>
        <v>3.3333333333333333E-2</v>
      </c>
      <c r="H5">
        <f t="shared" si="0"/>
        <v>3.3333333333333333E-2</v>
      </c>
      <c r="I5">
        <f t="shared" si="0"/>
        <v>3.3333333333333333E-2</v>
      </c>
      <c r="J5">
        <f t="shared" si="0"/>
        <v>3.3333333333333333E-2</v>
      </c>
      <c r="K5">
        <f t="shared" si="0"/>
        <v>3.3333333333333333E-2</v>
      </c>
      <c r="L5">
        <f t="shared" si="0"/>
        <v>3.3333333333333333E-2</v>
      </c>
      <c r="M5">
        <f t="shared" si="0"/>
        <v>3.3333333333333333E-2</v>
      </c>
      <c r="N5">
        <f t="shared" si="0"/>
        <v>3.3333333333333333E-2</v>
      </c>
      <c r="O5">
        <f t="shared" si="0"/>
        <v>3.3333333333333333E-2</v>
      </c>
    </row>
    <row r="6" spans="1:17">
      <c r="A6" t="s">
        <v>18</v>
      </c>
      <c r="B6">
        <v>0.9</v>
      </c>
      <c r="C6" s="83">
        <f>1-C5</f>
        <v>0.25</v>
      </c>
      <c r="D6" s="108">
        <v>0.32500000000000001</v>
      </c>
      <c r="E6" s="108">
        <v>0.22500000000000001</v>
      </c>
      <c r="F6" s="108">
        <v>0.17499999999999999</v>
      </c>
      <c r="G6" s="108">
        <v>0.17499999999999999</v>
      </c>
    </row>
    <row r="7" spans="1:17">
      <c r="B7" t="s">
        <v>96</v>
      </c>
      <c r="D7">
        <f t="shared" ref="D7:O7" si="1">$C$5*D5+$C$6*D6</f>
        <v>0.10625000000000001</v>
      </c>
      <c r="E7">
        <f t="shared" si="1"/>
        <v>8.1250000000000003E-2</v>
      </c>
      <c r="F7">
        <f t="shared" si="1"/>
        <v>6.8750000000000006E-2</v>
      </c>
      <c r="G7">
        <f t="shared" si="1"/>
        <v>6.8750000000000006E-2</v>
      </c>
      <c r="H7">
        <f t="shared" si="1"/>
        <v>2.5000000000000001E-2</v>
      </c>
      <c r="I7">
        <f t="shared" si="1"/>
        <v>2.5000000000000001E-2</v>
      </c>
      <c r="J7">
        <f t="shared" si="1"/>
        <v>2.5000000000000001E-2</v>
      </c>
      <c r="K7">
        <f t="shared" si="1"/>
        <v>2.5000000000000001E-2</v>
      </c>
      <c r="L7">
        <f t="shared" si="1"/>
        <v>2.5000000000000001E-2</v>
      </c>
      <c r="M7">
        <f t="shared" si="1"/>
        <v>2.5000000000000001E-2</v>
      </c>
      <c r="N7">
        <f t="shared" si="1"/>
        <v>2.5000000000000001E-2</v>
      </c>
      <c r="O7">
        <f t="shared" si="1"/>
        <v>2.5000000000000001E-2</v>
      </c>
    </row>
    <row r="8" spans="1:17">
      <c r="B8" s="111" t="s">
        <v>97</v>
      </c>
      <c r="C8" s="111"/>
      <c r="D8" s="73">
        <f>SUM(D7:O7)</f>
        <v>0.52500000000000013</v>
      </c>
    </row>
    <row r="9" spans="1:17">
      <c r="B9" t="s">
        <v>98</v>
      </c>
      <c r="D9" s="13">
        <f>D7/$D$8</f>
        <v>0.20238095238095236</v>
      </c>
      <c r="E9" s="13">
        <f t="shared" ref="E9:O9" si="2">E7/$D$8</f>
        <v>0.15476190476190474</v>
      </c>
      <c r="F9" s="13">
        <f t="shared" si="2"/>
        <v>0.13095238095238093</v>
      </c>
      <c r="G9" s="13">
        <f t="shared" si="2"/>
        <v>0.13095238095238093</v>
      </c>
      <c r="H9" s="13">
        <f t="shared" si="2"/>
        <v>4.7619047619047609E-2</v>
      </c>
      <c r="I9" s="13">
        <f t="shared" si="2"/>
        <v>4.7619047619047609E-2</v>
      </c>
      <c r="J9" s="13">
        <f t="shared" si="2"/>
        <v>4.7619047619047609E-2</v>
      </c>
      <c r="K9" s="13">
        <f t="shared" si="2"/>
        <v>4.7619047619047609E-2</v>
      </c>
      <c r="L9" s="13">
        <f t="shared" si="2"/>
        <v>4.7619047619047609E-2</v>
      </c>
      <c r="M9" s="13">
        <f t="shared" si="2"/>
        <v>4.7619047619047609E-2</v>
      </c>
      <c r="N9" s="13">
        <f t="shared" si="2"/>
        <v>4.7619047619047609E-2</v>
      </c>
      <c r="O9" s="13">
        <f t="shared" si="2"/>
        <v>4.7619047619047609E-2</v>
      </c>
    </row>
    <row r="10" spans="1:17">
      <c r="D10">
        <v>20.5</v>
      </c>
      <c r="E10">
        <v>15.5</v>
      </c>
      <c r="F10">
        <v>13</v>
      </c>
      <c r="G10">
        <v>13</v>
      </c>
      <c r="H10">
        <v>4.75</v>
      </c>
      <c r="I10">
        <v>4.75</v>
      </c>
      <c r="J10">
        <v>4.75</v>
      </c>
      <c r="K10">
        <v>4.75</v>
      </c>
      <c r="L10">
        <v>4.75</v>
      </c>
      <c r="M10">
        <v>4.75</v>
      </c>
      <c r="N10">
        <v>4.75</v>
      </c>
      <c r="O10">
        <v>4.75</v>
      </c>
      <c r="Q10">
        <f>SUM(D10:O10)</f>
        <v>100</v>
      </c>
    </row>
    <row r="11" spans="1:17">
      <c r="D11" s="14"/>
    </row>
    <row r="12" spans="1:17">
      <c r="A12" t="s">
        <v>99</v>
      </c>
      <c r="C12" t="s">
        <v>94</v>
      </c>
      <c r="D12">
        <v>1</v>
      </c>
      <c r="E12">
        <v>2</v>
      </c>
      <c r="F12">
        <v>3</v>
      </c>
      <c r="G12">
        <v>4</v>
      </c>
      <c r="H12">
        <v>5</v>
      </c>
      <c r="I12">
        <v>6</v>
      </c>
      <c r="J12">
        <v>7</v>
      </c>
      <c r="K12">
        <v>8</v>
      </c>
      <c r="M12" t="s">
        <v>100</v>
      </c>
      <c r="N12" t="s">
        <v>101</v>
      </c>
    </row>
    <row r="13" spans="1:17">
      <c r="A13" t="s">
        <v>102</v>
      </c>
      <c r="B13">
        <v>-0.6</v>
      </c>
      <c r="C13" s="83">
        <f>1-C14</f>
        <v>0.88495877647728716</v>
      </c>
      <c r="D13">
        <f>$B$13/5</f>
        <v>-0.12</v>
      </c>
      <c r="E13">
        <f>$B$13/5</f>
        <v>-0.12</v>
      </c>
      <c r="F13">
        <f>$B$13/10</f>
        <v>-0.06</v>
      </c>
      <c r="G13">
        <f t="shared" ref="G13:K13" si="3">$B$13/10</f>
        <v>-0.06</v>
      </c>
      <c r="H13">
        <f t="shared" si="3"/>
        <v>-0.06</v>
      </c>
      <c r="I13">
        <f t="shared" si="3"/>
        <v>-0.06</v>
      </c>
      <c r="J13">
        <f t="shared" si="3"/>
        <v>-0.06</v>
      </c>
      <c r="K13">
        <f t="shared" si="3"/>
        <v>-0.06</v>
      </c>
      <c r="M13">
        <v>300</v>
      </c>
      <c r="N13" s="8">
        <f>SUM(Master!C9,Master!C15,Master!C16)</f>
        <v>2607.760860095254</v>
      </c>
    </row>
    <row r="14" spans="1:17">
      <c r="A14" t="s">
        <v>103</v>
      </c>
      <c r="B14">
        <v>-0.7</v>
      </c>
      <c r="C14" s="83">
        <f>M13/N13</f>
        <v>0.11504122352271284</v>
      </c>
      <c r="D14" s="109">
        <v>-0.3</v>
      </c>
      <c r="E14" s="109">
        <v>-0.1</v>
      </c>
      <c r="F14" s="109">
        <v>-0.05</v>
      </c>
      <c r="G14" s="109">
        <v>-0.05</v>
      </c>
      <c r="H14" s="109">
        <v>-0.05</v>
      </c>
      <c r="I14" s="109">
        <v>-0.05</v>
      </c>
      <c r="J14" s="109">
        <v>-0.05</v>
      </c>
      <c r="K14" s="109">
        <v>-0.05</v>
      </c>
    </row>
    <row r="15" spans="1:17">
      <c r="B15" t="s">
        <v>96</v>
      </c>
      <c r="D15" s="110">
        <f>$C$13*D13+$C$14*D14</f>
        <v>-0.1407074202340883</v>
      </c>
      <c r="E15" s="110">
        <f t="shared" ref="E15:K15" si="4">$C$13*E13+$C$14*E14</f>
        <v>-0.11769917552954574</v>
      </c>
      <c r="F15" s="110">
        <f t="shared" si="4"/>
        <v>-5.8849587764772872E-2</v>
      </c>
      <c r="G15" s="110">
        <f t="shared" si="4"/>
        <v>-5.8849587764772872E-2</v>
      </c>
      <c r="H15" s="110">
        <f t="shared" si="4"/>
        <v>-5.8849587764772872E-2</v>
      </c>
      <c r="I15" s="110">
        <f t="shared" si="4"/>
        <v>-5.8849587764772872E-2</v>
      </c>
      <c r="J15" s="110">
        <f t="shared" si="4"/>
        <v>-5.8849587764772872E-2</v>
      </c>
      <c r="K15" s="110">
        <f t="shared" si="4"/>
        <v>-5.8849587764772872E-2</v>
      </c>
    </row>
    <row r="16" spans="1:17">
      <c r="B16" s="111" t="s">
        <v>97</v>
      </c>
      <c r="C16" s="111"/>
      <c r="D16" s="112">
        <f>SUM(D15:K15)</f>
        <v>-0.61150412235227136</v>
      </c>
    </row>
    <row r="17" spans="1:15">
      <c r="B17" t="s">
        <v>98</v>
      </c>
      <c r="D17" s="13">
        <f>D15/$D$16</f>
        <v>0.23010052604850711</v>
      </c>
      <c r="E17" s="13">
        <f t="shared" ref="E17:K17" si="5">E15/$D$16</f>
        <v>0.19247486848787318</v>
      </c>
      <c r="F17" s="13">
        <f t="shared" si="5"/>
        <v>9.623743424393659E-2</v>
      </c>
      <c r="G17" s="13">
        <f t="shared" si="5"/>
        <v>9.623743424393659E-2</v>
      </c>
      <c r="H17" s="13">
        <f t="shared" si="5"/>
        <v>9.623743424393659E-2</v>
      </c>
      <c r="I17" s="13">
        <f t="shared" si="5"/>
        <v>9.623743424393659E-2</v>
      </c>
      <c r="J17" s="13">
        <f t="shared" si="5"/>
        <v>9.623743424393659E-2</v>
      </c>
      <c r="K17" s="13">
        <f t="shared" si="5"/>
        <v>9.623743424393659E-2</v>
      </c>
      <c r="L17" s="13"/>
      <c r="M17" s="13"/>
      <c r="N17" s="13"/>
      <c r="O17" s="13"/>
    </row>
    <row r="18" spans="1:15">
      <c r="D18">
        <v>23.01</v>
      </c>
      <c r="E18">
        <v>19.25</v>
      </c>
      <c r="F18">
        <v>9.6199999999999992</v>
      </c>
      <c r="G18">
        <v>9.6199999999999992</v>
      </c>
      <c r="H18">
        <v>9.6199999999999992</v>
      </c>
      <c r="I18">
        <v>9.6199999999999992</v>
      </c>
      <c r="J18">
        <v>9.6199999999999992</v>
      </c>
      <c r="K18">
        <v>9.6199999999999992</v>
      </c>
      <c r="M18">
        <f>SUM(D18:K18)</f>
        <v>99.980000000000018</v>
      </c>
    </row>
    <row r="21" spans="1:15">
      <c r="A21" t="s">
        <v>104</v>
      </c>
      <c r="C21" t="s">
        <v>94</v>
      </c>
      <c r="D21">
        <v>1</v>
      </c>
      <c r="E21">
        <v>2</v>
      </c>
      <c r="F21">
        <v>3</v>
      </c>
      <c r="G21">
        <v>4</v>
      </c>
    </row>
    <row r="22" spans="1:15">
      <c r="A22" t="s">
        <v>105</v>
      </c>
      <c r="B22">
        <v>0.9</v>
      </c>
      <c r="C22" s="83">
        <f>1-C23</f>
        <v>0.75</v>
      </c>
      <c r="D22">
        <f>$B$22/4</f>
        <v>0.22500000000000001</v>
      </c>
      <c r="E22">
        <f>$B$22/4</f>
        <v>0.22500000000000001</v>
      </c>
      <c r="F22">
        <f>$B$22/4</f>
        <v>0.22500000000000001</v>
      </c>
      <c r="G22">
        <f>$B$22/4</f>
        <v>0.22500000000000001</v>
      </c>
    </row>
    <row r="23" spans="1:15">
      <c r="A23" t="s">
        <v>37</v>
      </c>
      <c r="C23" s="83">
        <v>0.25</v>
      </c>
      <c r="D23">
        <v>0.32500000000000001</v>
      </c>
      <c r="E23">
        <v>0.22500000000000001</v>
      </c>
      <c r="F23">
        <v>0.17499999999999999</v>
      </c>
      <c r="G23">
        <v>0.17499999999999999</v>
      </c>
    </row>
    <row r="24" spans="1:15">
      <c r="B24" t="s">
        <v>96</v>
      </c>
      <c r="D24">
        <f>D22*$C$22+D23*$C$23</f>
        <v>0.25</v>
      </c>
      <c r="E24">
        <f>E22*$C$22+E23*$C$23</f>
        <v>0.22500000000000001</v>
      </c>
      <c r="F24">
        <f>F22*$C$22+F23*$C$23</f>
        <v>0.21250000000000002</v>
      </c>
      <c r="G24">
        <f>G22*$C$22+G23*$C$23</f>
        <v>0.21250000000000002</v>
      </c>
    </row>
    <row r="25" spans="1:15">
      <c r="B25" t="s">
        <v>106</v>
      </c>
      <c r="D25">
        <f>SUM(D24:G24)</f>
        <v>0.9</v>
      </c>
    </row>
    <row r="26" spans="1:15">
      <c r="B26" s="73" t="s">
        <v>98</v>
      </c>
      <c r="C26" s="73"/>
      <c r="D26" s="113">
        <f>D24/$D$25</f>
        <v>0.27777777777777779</v>
      </c>
      <c r="E26" s="113">
        <f t="shared" ref="E26:G26" si="6">E24/$D$25</f>
        <v>0.25</v>
      </c>
      <c r="F26" s="113">
        <f t="shared" si="6"/>
        <v>0.23611111111111113</v>
      </c>
      <c r="G26" s="113">
        <f t="shared" si="6"/>
        <v>0.23611111111111113</v>
      </c>
    </row>
    <row r="27" spans="1:15">
      <c r="D27">
        <v>28</v>
      </c>
      <c r="E27">
        <v>25</v>
      </c>
      <c r="F27">
        <v>23.5</v>
      </c>
      <c r="G27">
        <v>23.5</v>
      </c>
    </row>
    <row r="29" spans="1:15">
      <c r="A29" t="s">
        <v>107</v>
      </c>
      <c r="B29" t="s">
        <v>108</v>
      </c>
    </row>
    <row r="30" spans="1:15">
      <c r="A30" t="s">
        <v>109</v>
      </c>
      <c r="B30" t="s">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03CB-DF43-1E4C-8DEC-80286453A264}">
  <dimension ref="A1:I33"/>
  <sheetViews>
    <sheetView topLeftCell="A11" zoomScale="160" zoomScaleNormal="160" workbookViewId="0">
      <selection activeCell="B2" sqref="B2"/>
    </sheetView>
  </sheetViews>
  <sheetFormatPr defaultColWidth="11" defaultRowHeight="15.95"/>
  <cols>
    <col min="1" max="1" width="14.125" bestFit="1" customWidth="1"/>
    <col min="5" max="5" width="15.125" customWidth="1"/>
    <col min="9" max="9" width="10.875" customWidth="1"/>
  </cols>
  <sheetData>
    <row r="1" spans="1:9" ht="53.1" customHeight="1">
      <c r="B1" t="s">
        <v>110</v>
      </c>
      <c r="E1" s="4" t="s">
        <v>111</v>
      </c>
      <c r="F1" s="4" t="s">
        <v>112</v>
      </c>
      <c r="G1" t="s">
        <v>110</v>
      </c>
    </row>
    <row r="2" spans="1:9" ht="102">
      <c r="A2" t="s">
        <v>113</v>
      </c>
      <c r="B2" s="4" t="s">
        <v>114</v>
      </c>
      <c r="C2" s="4" t="s">
        <v>115</v>
      </c>
      <c r="D2" s="4" t="s">
        <v>116</v>
      </c>
      <c r="E2" s="4" t="s">
        <v>117</v>
      </c>
      <c r="F2" s="4" t="s">
        <v>118</v>
      </c>
      <c r="G2" s="4" t="s">
        <v>119</v>
      </c>
      <c r="H2" s="4" t="s">
        <v>120</v>
      </c>
      <c r="I2" s="4" t="s">
        <v>121</v>
      </c>
    </row>
    <row r="4" spans="1:9">
      <c r="A4" t="s">
        <v>0</v>
      </c>
      <c r="B4" t="s">
        <v>122</v>
      </c>
      <c r="C4" t="s">
        <v>2</v>
      </c>
      <c r="D4" t="s">
        <v>123</v>
      </c>
      <c r="E4" t="s">
        <v>4</v>
      </c>
      <c r="F4" t="s">
        <v>5</v>
      </c>
      <c r="G4" t="s">
        <v>6</v>
      </c>
      <c r="H4" t="s">
        <v>7</v>
      </c>
      <c r="I4" t="s">
        <v>8</v>
      </c>
    </row>
    <row r="5" spans="1:9">
      <c r="A5">
        <v>2019</v>
      </c>
      <c r="B5">
        <v>2276</v>
      </c>
      <c r="C5">
        <v>1653</v>
      </c>
      <c r="D5">
        <v>177</v>
      </c>
      <c r="E5">
        <v>166</v>
      </c>
      <c r="F5">
        <v>1395</v>
      </c>
      <c r="G5">
        <v>775</v>
      </c>
      <c r="H5">
        <v>409</v>
      </c>
      <c r="I5">
        <v>28</v>
      </c>
    </row>
    <row r="6" spans="1:9">
      <c r="A6">
        <v>2020</v>
      </c>
      <c r="B6" s="72">
        <f>Master!C24</f>
        <v>3183.7767366420421</v>
      </c>
      <c r="C6" s="72">
        <f>Master!D9</f>
        <v>1393.7671290174223</v>
      </c>
      <c r="D6" s="74">
        <v>189</v>
      </c>
      <c r="E6" s="73">
        <v>-267</v>
      </c>
      <c r="F6" s="74">
        <f>1.13*Master!D15</f>
        <v>1451.3205895511328</v>
      </c>
      <c r="G6" s="74">
        <v>889</v>
      </c>
      <c r="H6" s="74">
        <v>650</v>
      </c>
      <c r="I6" s="72">
        <v>303</v>
      </c>
    </row>
    <row r="7" spans="1:9">
      <c r="A7">
        <v>2021</v>
      </c>
      <c r="B7" s="72">
        <f>Master!F24</f>
        <v>2650.4896634547181</v>
      </c>
      <c r="C7" s="72">
        <f>Master!F9</f>
        <v>1505.5138652855585</v>
      </c>
      <c r="D7" s="74">
        <v>180</v>
      </c>
      <c r="E7" s="74">
        <v>109</v>
      </c>
      <c r="F7" s="74">
        <f>1.13*Master!F15</f>
        <v>1532.8662965526717</v>
      </c>
      <c r="G7" s="74">
        <v>862</v>
      </c>
      <c r="H7" s="74">
        <v>620</v>
      </c>
      <c r="I7" s="72">
        <v>60</v>
      </c>
    </row>
    <row r="8" spans="1:9">
      <c r="A8">
        <v>2022</v>
      </c>
      <c r="B8">
        <v>2661</v>
      </c>
      <c r="C8">
        <v>1951</v>
      </c>
      <c r="D8">
        <v>189</v>
      </c>
      <c r="E8">
        <v>261</v>
      </c>
      <c r="F8">
        <v>1577</v>
      </c>
      <c r="G8">
        <v>965</v>
      </c>
      <c r="H8">
        <v>466</v>
      </c>
      <c r="I8">
        <v>34</v>
      </c>
    </row>
    <row r="9" spans="1:9">
      <c r="A9">
        <v>2023</v>
      </c>
      <c r="B9">
        <v>2828</v>
      </c>
      <c r="C9">
        <v>2047</v>
      </c>
      <c r="D9">
        <v>195</v>
      </c>
      <c r="E9">
        <v>296</v>
      </c>
      <c r="F9">
        <v>1642</v>
      </c>
      <c r="G9">
        <v>1039</v>
      </c>
      <c r="H9">
        <v>494</v>
      </c>
      <c r="I9">
        <v>43</v>
      </c>
    </row>
    <row r="10" spans="1:9">
      <c r="A10">
        <v>2024</v>
      </c>
      <c r="B10">
        <v>2997</v>
      </c>
      <c r="C10">
        <v>2128</v>
      </c>
      <c r="D10">
        <v>197</v>
      </c>
      <c r="E10">
        <v>309</v>
      </c>
      <c r="F10">
        <v>1714</v>
      </c>
      <c r="G10">
        <v>1117</v>
      </c>
      <c r="H10">
        <v>523</v>
      </c>
      <c r="I10">
        <v>47</v>
      </c>
    </row>
    <row r="11" spans="1:9">
      <c r="A11">
        <v>2025</v>
      </c>
      <c r="B11">
        <v>3176</v>
      </c>
      <c r="C11">
        <v>2214</v>
      </c>
      <c r="D11">
        <v>200</v>
      </c>
      <c r="E11">
        <v>316</v>
      </c>
      <c r="F11">
        <v>1790</v>
      </c>
      <c r="G11">
        <v>1201</v>
      </c>
      <c r="H11">
        <v>555</v>
      </c>
      <c r="I11">
        <v>48</v>
      </c>
    </row>
    <row r="12" spans="1:9">
      <c r="A12">
        <v>2026</v>
      </c>
      <c r="B12">
        <v>3356</v>
      </c>
      <c r="C12">
        <v>2425</v>
      </c>
      <c r="D12">
        <v>204</v>
      </c>
      <c r="E12">
        <v>339</v>
      </c>
      <c r="F12">
        <v>1857</v>
      </c>
      <c r="G12">
        <v>1287</v>
      </c>
      <c r="H12">
        <v>587</v>
      </c>
      <c r="I12">
        <v>50</v>
      </c>
    </row>
    <row r="13" spans="1:9">
      <c r="A13">
        <v>2027</v>
      </c>
      <c r="B13">
        <v>3532</v>
      </c>
      <c r="C13">
        <v>2648</v>
      </c>
      <c r="D13">
        <v>206</v>
      </c>
      <c r="E13">
        <v>377</v>
      </c>
      <c r="F13">
        <v>1936</v>
      </c>
      <c r="G13">
        <v>1379</v>
      </c>
      <c r="H13">
        <v>620</v>
      </c>
      <c r="I13">
        <v>52</v>
      </c>
    </row>
    <row r="14" spans="1:9">
      <c r="A14">
        <v>2028</v>
      </c>
      <c r="B14">
        <v>3733</v>
      </c>
      <c r="C14">
        <v>2746</v>
      </c>
      <c r="D14">
        <v>205</v>
      </c>
      <c r="E14">
        <v>386</v>
      </c>
      <c r="F14">
        <v>2018</v>
      </c>
      <c r="G14">
        <v>1475</v>
      </c>
      <c r="H14">
        <v>655</v>
      </c>
      <c r="I14">
        <v>54</v>
      </c>
    </row>
    <row r="15" spans="1:9">
      <c r="A15">
        <v>2029</v>
      </c>
      <c r="B15">
        <v>3941</v>
      </c>
      <c r="C15">
        <v>2910</v>
      </c>
      <c r="D15">
        <v>208</v>
      </c>
      <c r="E15">
        <v>428</v>
      </c>
      <c r="F15">
        <v>2099</v>
      </c>
      <c r="G15">
        <v>1585</v>
      </c>
      <c r="H15">
        <v>692</v>
      </c>
      <c r="I15">
        <v>56</v>
      </c>
    </row>
    <row r="16" spans="1:9">
      <c r="A16">
        <v>2030</v>
      </c>
      <c r="B16">
        <v>3941</v>
      </c>
      <c r="C16">
        <v>2910</v>
      </c>
      <c r="D16">
        <v>208</v>
      </c>
      <c r="E16">
        <v>428</v>
      </c>
      <c r="F16">
        <v>2099</v>
      </c>
      <c r="G16">
        <v>1722</v>
      </c>
      <c r="H16">
        <v>732</v>
      </c>
      <c r="I16">
        <v>57</v>
      </c>
    </row>
    <row r="21" spans="1:9">
      <c r="A21" t="s">
        <v>0</v>
      </c>
      <c r="B21" t="s">
        <v>122</v>
      </c>
      <c r="C21" t="s">
        <v>2</v>
      </c>
      <c r="D21" t="s">
        <v>123</v>
      </c>
      <c r="E21" t="s">
        <v>4</v>
      </c>
      <c r="F21" t="s">
        <v>5</v>
      </c>
      <c r="G21" t="s">
        <v>6</v>
      </c>
      <c r="H21" t="s">
        <v>7</v>
      </c>
      <c r="I21" t="s">
        <v>8</v>
      </c>
    </row>
    <row r="22" spans="1:9">
      <c r="A22">
        <v>2019</v>
      </c>
      <c r="B22">
        <v>2276</v>
      </c>
      <c r="C22">
        <v>1653</v>
      </c>
      <c r="D22">
        <v>177</v>
      </c>
      <c r="E22">
        <v>166</v>
      </c>
      <c r="F22">
        <v>1395</v>
      </c>
      <c r="G22">
        <v>775</v>
      </c>
      <c r="H22">
        <v>409</v>
      </c>
      <c r="I22">
        <v>28</v>
      </c>
    </row>
    <row r="23" spans="1:9">
      <c r="A23">
        <v>2020</v>
      </c>
      <c r="B23">
        <v>2388</v>
      </c>
      <c r="C23">
        <v>1753</v>
      </c>
      <c r="D23">
        <v>186</v>
      </c>
      <c r="E23">
        <v>207</v>
      </c>
      <c r="F23">
        <v>1454</v>
      </c>
      <c r="G23">
        <v>835</v>
      </c>
      <c r="H23">
        <v>425</v>
      </c>
      <c r="I23">
        <v>28</v>
      </c>
    </row>
    <row r="24" spans="1:9">
      <c r="A24">
        <v>2021</v>
      </c>
      <c r="B24">
        <v>2517</v>
      </c>
      <c r="C24">
        <v>1863</v>
      </c>
      <c r="D24">
        <v>181</v>
      </c>
      <c r="E24">
        <v>229</v>
      </c>
      <c r="F24">
        <v>1516</v>
      </c>
      <c r="G24">
        <v>896</v>
      </c>
      <c r="H24">
        <v>444</v>
      </c>
      <c r="I24">
        <v>30</v>
      </c>
    </row>
    <row r="25" spans="1:9">
      <c r="A25">
        <v>2022</v>
      </c>
      <c r="B25">
        <v>2661</v>
      </c>
      <c r="C25">
        <v>1951</v>
      </c>
      <c r="D25">
        <v>189</v>
      </c>
      <c r="E25">
        <v>261</v>
      </c>
      <c r="F25">
        <v>1577</v>
      </c>
      <c r="G25">
        <v>965</v>
      </c>
      <c r="H25">
        <v>466</v>
      </c>
      <c r="I25">
        <v>34</v>
      </c>
    </row>
    <row r="26" spans="1:9">
      <c r="A26">
        <v>2023</v>
      </c>
      <c r="B26">
        <v>2828</v>
      </c>
      <c r="C26">
        <v>2047</v>
      </c>
      <c r="D26">
        <v>195</v>
      </c>
      <c r="E26">
        <v>296</v>
      </c>
      <c r="F26">
        <v>1642</v>
      </c>
      <c r="G26">
        <v>1039</v>
      </c>
      <c r="H26">
        <v>494</v>
      </c>
      <c r="I26">
        <v>43</v>
      </c>
    </row>
    <row r="27" spans="1:9">
      <c r="A27">
        <v>2024</v>
      </c>
      <c r="B27">
        <v>2997</v>
      </c>
      <c r="C27">
        <v>2128</v>
      </c>
      <c r="D27">
        <v>197</v>
      </c>
      <c r="E27">
        <v>309</v>
      </c>
      <c r="F27">
        <v>1714</v>
      </c>
      <c r="G27">
        <v>1117</v>
      </c>
      <c r="H27">
        <v>523</v>
      </c>
      <c r="I27">
        <v>47</v>
      </c>
    </row>
    <row r="28" spans="1:9">
      <c r="A28">
        <v>2025</v>
      </c>
      <c r="B28">
        <v>3176</v>
      </c>
      <c r="C28">
        <v>2214</v>
      </c>
      <c r="D28">
        <v>200</v>
      </c>
      <c r="E28">
        <v>316</v>
      </c>
      <c r="F28">
        <v>1790</v>
      </c>
      <c r="G28">
        <v>1201</v>
      </c>
      <c r="H28">
        <v>555</v>
      </c>
      <c r="I28">
        <v>48</v>
      </c>
    </row>
    <row r="29" spans="1:9">
      <c r="A29">
        <v>2026</v>
      </c>
      <c r="B29">
        <v>3356</v>
      </c>
      <c r="C29">
        <v>2425</v>
      </c>
      <c r="D29">
        <v>204</v>
      </c>
      <c r="E29">
        <v>339</v>
      </c>
      <c r="F29">
        <v>1857</v>
      </c>
      <c r="G29">
        <v>1287</v>
      </c>
      <c r="H29">
        <v>587</v>
      </c>
      <c r="I29">
        <v>50</v>
      </c>
    </row>
    <row r="30" spans="1:9">
      <c r="A30">
        <v>2027</v>
      </c>
      <c r="B30">
        <v>3532</v>
      </c>
      <c r="C30">
        <v>2648</v>
      </c>
      <c r="D30">
        <v>206</v>
      </c>
      <c r="E30">
        <v>377</v>
      </c>
      <c r="F30">
        <v>1936</v>
      </c>
      <c r="G30">
        <v>1379</v>
      </c>
      <c r="H30">
        <v>620</v>
      </c>
      <c r="I30">
        <v>52</v>
      </c>
    </row>
    <row r="31" spans="1:9">
      <c r="A31">
        <v>2028</v>
      </c>
      <c r="B31">
        <v>3733</v>
      </c>
      <c r="C31">
        <v>2746</v>
      </c>
      <c r="D31">
        <v>205</v>
      </c>
      <c r="E31">
        <v>386</v>
      </c>
      <c r="F31">
        <v>2018</v>
      </c>
      <c r="G31">
        <v>1475</v>
      </c>
      <c r="H31">
        <v>655</v>
      </c>
      <c r="I31">
        <v>54</v>
      </c>
    </row>
    <row r="32" spans="1:9">
      <c r="A32">
        <v>2029</v>
      </c>
      <c r="B32">
        <v>3941</v>
      </c>
      <c r="C32">
        <v>2910</v>
      </c>
      <c r="D32">
        <v>208</v>
      </c>
      <c r="E32">
        <v>428</v>
      </c>
      <c r="F32">
        <v>2099</v>
      </c>
      <c r="G32">
        <v>1585</v>
      </c>
      <c r="H32">
        <v>692</v>
      </c>
      <c r="I32">
        <v>56</v>
      </c>
    </row>
    <row r="33" spans="1:9">
      <c r="A33">
        <v>2030</v>
      </c>
      <c r="B33">
        <v>3941</v>
      </c>
      <c r="C33">
        <v>2910</v>
      </c>
      <c r="D33">
        <v>208</v>
      </c>
      <c r="E33">
        <v>428</v>
      </c>
      <c r="F33">
        <v>2099</v>
      </c>
      <c r="G33">
        <v>1722</v>
      </c>
      <c r="H33">
        <v>732</v>
      </c>
      <c r="I33">
        <v>57</v>
      </c>
    </row>
  </sheetData>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22C6-8E38-8045-899C-B91E3E3DA0F4}">
  <dimension ref="A1:Q58"/>
  <sheetViews>
    <sheetView workbookViewId="0">
      <selection activeCell="C49" sqref="C49"/>
    </sheetView>
  </sheetViews>
  <sheetFormatPr defaultColWidth="10.625" defaultRowHeight="15.95"/>
  <cols>
    <col min="1" max="1" width="35" customWidth="1"/>
    <col min="6" max="7" width="11.875" bestFit="1" customWidth="1"/>
    <col min="8" max="9" width="13.375" bestFit="1" customWidth="1"/>
    <col min="12" max="12" width="34.875" customWidth="1"/>
    <col min="13" max="17" width="24" customWidth="1"/>
  </cols>
  <sheetData>
    <row r="1" spans="1:17">
      <c r="B1" s="39" t="s">
        <v>124</v>
      </c>
      <c r="C1" s="39" t="s">
        <v>70</v>
      </c>
      <c r="D1" s="39" t="s">
        <v>71</v>
      </c>
      <c r="E1" s="39" t="s">
        <v>72</v>
      </c>
      <c r="F1" s="39" t="s">
        <v>73</v>
      </c>
      <c r="G1" s="39" t="s">
        <v>74</v>
      </c>
      <c r="H1" s="39" t="s">
        <v>75</v>
      </c>
      <c r="I1" s="39" t="s">
        <v>76</v>
      </c>
      <c r="L1" s="42" t="s">
        <v>125</v>
      </c>
    </row>
    <row r="2" spans="1:17">
      <c r="A2" s="1" t="s">
        <v>126</v>
      </c>
      <c r="M2" t="s">
        <v>127</v>
      </c>
      <c r="N2" s="41" t="s">
        <v>128</v>
      </c>
      <c r="O2" s="41" t="s">
        <v>129</v>
      </c>
      <c r="P2" t="s">
        <v>130</v>
      </c>
      <c r="Q2" t="s">
        <v>131</v>
      </c>
    </row>
    <row r="3" spans="1:17">
      <c r="A3" s="45" t="s">
        <v>132</v>
      </c>
      <c r="B3" s="38">
        <v>-4.7830000000000004</v>
      </c>
      <c r="C3" s="55">
        <v>-37.722000000000001</v>
      </c>
      <c r="D3" s="55">
        <v>21.504999999999999</v>
      </c>
      <c r="E3" s="55">
        <v>10.4</v>
      </c>
      <c r="F3" s="55">
        <v>6.9740000000000002</v>
      </c>
      <c r="G3" s="55">
        <v>4.5179999999999998</v>
      </c>
      <c r="H3" s="55">
        <v>2.98</v>
      </c>
      <c r="I3" s="55">
        <v>2.4049999999999998</v>
      </c>
      <c r="L3" t="s">
        <v>133</v>
      </c>
      <c r="M3">
        <f>P3*N3*O3</f>
        <v>2.2195459999999998</v>
      </c>
      <c r="N3">
        <v>1.61</v>
      </c>
      <c r="O3">
        <v>1.1299999999999999</v>
      </c>
      <c r="P3">
        <v>1.22</v>
      </c>
      <c r="Q3">
        <f>O3*N3</f>
        <v>1.8192999999999999</v>
      </c>
    </row>
    <row r="4" spans="1:17">
      <c r="A4" s="45" t="s">
        <v>134</v>
      </c>
      <c r="B4">
        <v>1.8</v>
      </c>
      <c r="C4" s="55">
        <v>1.8</v>
      </c>
      <c r="D4" s="55">
        <v>1.8</v>
      </c>
      <c r="E4" s="55">
        <v>1.8</v>
      </c>
      <c r="F4" s="55">
        <v>1.8</v>
      </c>
      <c r="G4" s="55">
        <v>1.8</v>
      </c>
      <c r="H4" s="55">
        <v>1.8</v>
      </c>
      <c r="I4" s="55">
        <v>1.8</v>
      </c>
      <c r="L4" t="s">
        <v>135</v>
      </c>
      <c r="M4">
        <f>P4*N4*O4</f>
        <v>1.1625000000000001</v>
      </c>
      <c r="N4">
        <v>1</v>
      </c>
      <c r="O4">
        <v>0.75</v>
      </c>
      <c r="P4">
        <v>1.55</v>
      </c>
      <c r="Q4">
        <f>O4*N4</f>
        <v>0.75</v>
      </c>
    </row>
    <row r="5" spans="1:17">
      <c r="A5" s="45" t="s">
        <v>136</v>
      </c>
      <c r="B5" s="40">
        <f>B3-B4</f>
        <v>-6.5830000000000002</v>
      </c>
      <c r="C5" s="55">
        <f t="shared" ref="C5" si="0">C3-C4</f>
        <v>-39.521999999999998</v>
      </c>
      <c r="D5" s="55">
        <f t="shared" ref="D5" si="1">D3-D4</f>
        <v>19.704999999999998</v>
      </c>
      <c r="E5" s="55">
        <f t="shared" ref="E5" si="2">E3-E4</f>
        <v>8.6</v>
      </c>
      <c r="F5" s="55">
        <f t="shared" ref="F5" si="3">F3-F4</f>
        <v>5.1740000000000004</v>
      </c>
      <c r="G5" s="55">
        <f t="shared" ref="G5" si="4">G3-G4</f>
        <v>2.718</v>
      </c>
      <c r="H5" s="55">
        <f t="shared" ref="H5" si="5">H3-H4</f>
        <v>1.18</v>
      </c>
      <c r="I5" s="55">
        <f t="shared" ref="I5" si="6">I3-I4</f>
        <v>0.60499999999999976</v>
      </c>
      <c r="L5" t="s">
        <v>137</v>
      </c>
      <c r="M5">
        <f>P5*N5*O5</f>
        <v>1.0384</v>
      </c>
      <c r="N5">
        <v>1</v>
      </c>
      <c r="O5">
        <v>0.88</v>
      </c>
      <c r="P5">
        <v>1.18</v>
      </c>
      <c r="Q5">
        <f t="shared" ref="Q5:Q6" si="7">O5*N5</f>
        <v>0.88</v>
      </c>
    </row>
    <row r="6" spans="1:17">
      <c r="A6" s="45" t="s">
        <v>138</v>
      </c>
      <c r="B6" s="38">
        <v>3.8330000000000002</v>
      </c>
      <c r="C6" s="55">
        <v>15.067</v>
      </c>
      <c r="D6" s="55">
        <v>15.773999999999999</v>
      </c>
      <c r="E6" s="55">
        <v>11.51</v>
      </c>
      <c r="F6" s="55">
        <v>10.244</v>
      </c>
      <c r="G6" s="55">
        <v>9.41</v>
      </c>
      <c r="H6" s="55">
        <v>8.8970000000000002</v>
      </c>
      <c r="I6" s="55">
        <v>8.5839999999999996</v>
      </c>
      <c r="L6" t="s">
        <v>139</v>
      </c>
      <c r="M6">
        <f>P6*N6*O6</f>
        <v>1.2474000000000001</v>
      </c>
      <c r="N6">
        <v>1</v>
      </c>
      <c r="O6">
        <v>0.81</v>
      </c>
      <c r="P6">
        <v>1.54</v>
      </c>
      <c r="Q6">
        <f t="shared" si="7"/>
        <v>0.81</v>
      </c>
    </row>
    <row r="7" spans="1:17">
      <c r="A7" s="45" t="s">
        <v>140</v>
      </c>
      <c r="B7" s="43">
        <v>18916</v>
      </c>
      <c r="C7" s="55">
        <v>18149</v>
      </c>
      <c r="D7" s="55">
        <v>17807</v>
      </c>
      <c r="E7" s="55">
        <v>18027</v>
      </c>
      <c r="F7" s="55">
        <v>18075</v>
      </c>
      <c r="G7" s="55">
        <v>18210</v>
      </c>
      <c r="H7" s="55">
        <v>18317</v>
      </c>
      <c r="I7" s="55">
        <v>18529</v>
      </c>
      <c r="L7" t="s">
        <v>30</v>
      </c>
      <c r="M7">
        <v>1.3</v>
      </c>
    </row>
    <row r="8" spans="1:17">
      <c r="A8" s="45" t="s">
        <v>141</v>
      </c>
      <c r="B8" s="44">
        <v>1913.8</v>
      </c>
      <c r="C8" s="55">
        <v>1498.5</v>
      </c>
      <c r="D8" s="55">
        <v>2101</v>
      </c>
      <c r="E8" s="55">
        <v>2107.6999999999998</v>
      </c>
      <c r="F8" s="55">
        <v>2228.9</v>
      </c>
      <c r="G8" s="55">
        <v>2270.6999999999998</v>
      </c>
      <c r="H8" s="55">
        <v>2317.1999999999998</v>
      </c>
      <c r="I8" s="55">
        <v>2350.4</v>
      </c>
    </row>
    <row r="9" spans="1:17">
      <c r="A9" s="45" t="s">
        <v>142</v>
      </c>
      <c r="B9" s="44">
        <v>11559.2</v>
      </c>
      <c r="C9" s="55">
        <v>10179.799999999999</v>
      </c>
      <c r="D9" s="55">
        <v>10327.9</v>
      </c>
      <c r="E9" s="55">
        <v>10815.6</v>
      </c>
      <c r="F9" s="55">
        <v>11075.8</v>
      </c>
      <c r="G9" s="55">
        <v>11297.4</v>
      </c>
      <c r="H9" s="55">
        <v>11456.9</v>
      </c>
      <c r="I9" s="55">
        <v>11578.1</v>
      </c>
      <c r="L9" t="s">
        <v>143</v>
      </c>
    </row>
    <row r="10" spans="1:17">
      <c r="A10" s="45" t="s">
        <v>144</v>
      </c>
      <c r="B10" s="44">
        <v>21537.9</v>
      </c>
      <c r="C10" s="55">
        <v>19058.2</v>
      </c>
      <c r="D10" s="55">
        <v>20037.8</v>
      </c>
      <c r="E10" s="55">
        <v>20561.2</v>
      </c>
      <c r="F10" s="55">
        <v>20967.2</v>
      </c>
      <c r="G10" s="55">
        <v>21276.6</v>
      </c>
      <c r="H10" s="55">
        <v>21515</v>
      </c>
      <c r="I10" s="55">
        <v>21731.3</v>
      </c>
      <c r="L10" s="52" t="s">
        <v>145</v>
      </c>
      <c r="M10" t="s">
        <v>146</v>
      </c>
    </row>
    <row r="11" spans="1:17">
      <c r="A11" s="45" t="s">
        <v>147</v>
      </c>
      <c r="B11" s="44">
        <f>21729.1*1.018</f>
        <v>22120.2238</v>
      </c>
      <c r="C11" s="55">
        <f>B10*(1 + (C12+1.8)/100)</f>
        <v>21609.621207000004</v>
      </c>
      <c r="D11" s="55">
        <f t="shared" ref="D11:I11" si="8">C10*(1 + (D12+1.8)/100)</f>
        <v>19509.879340000003</v>
      </c>
      <c r="E11" s="55">
        <f t="shared" si="8"/>
        <v>20482.839538</v>
      </c>
      <c r="F11" s="55">
        <f t="shared" si="8"/>
        <v>21154.185008</v>
      </c>
      <c r="G11" s="55">
        <f t="shared" si="8"/>
        <v>21648.634000000002</v>
      </c>
      <c r="H11" s="55">
        <f t="shared" si="8"/>
        <v>21985.536312</v>
      </c>
      <c r="I11" s="55">
        <f t="shared" si="8"/>
        <v>22254.470550000002</v>
      </c>
      <c r="L11" t="s">
        <v>148</v>
      </c>
    </row>
    <row r="12" spans="1:17">
      <c r="A12" s="45" t="s">
        <v>149</v>
      </c>
      <c r="B12" s="38">
        <v>1.3080000000000001</v>
      </c>
      <c r="C12" s="55">
        <v>-1.4670000000000001</v>
      </c>
      <c r="D12" s="55">
        <v>0.56999999999999995</v>
      </c>
      <c r="E12" s="55">
        <v>0.42099999999999999</v>
      </c>
      <c r="F12" s="55">
        <v>1.0840000000000001</v>
      </c>
      <c r="G12" s="55">
        <v>1.45</v>
      </c>
      <c r="H12" s="55">
        <v>1.532</v>
      </c>
      <c r="I12" s="55">
        <v>1.637</v>
      </c>
      <c r="L12" s="45" t="s">
        <v>35</v>
      </c>
      <c r="M12" s="53">
        <v>1.0127318999999999</v>
      </c>
      <c r="N12" s="53">
        <v>1.0127318999999999</v>
      </c>
    </row>
    <row r="13" spans="1:17">
      <c r="A13" s="45" t="s">
        <v>150</v>
      </c>
      <c r="B13" s="46">
        <f>100*(B10-B11)/B11</f>
        <v>-2.632540272942439</v>
      </c>
      <c r="C13" s="55">
        <f>100*(C10-C11)/C11</f>
        <v>-11.806876125036016</v>
      </c>
      <c r="D13" s="55">
        <f>100*(D10-D11)/D11</f>
        <v>2.7059145307866164</v>
      </c>
      <c r="E13" s="55">
        <f t="shared" ref="E13:I13" si="9">100*(E10-E11)/E11</f>
        <v>0.38256640078942822</v>
      </c>
      <c r="F13" s="55">
        <f t="shared" si="9"/>
        <v>-0.88391496968229433</v>
      </c>
      <c r="G13" s="55">
        <f t="shared" si="9"/>
        <v>-1.718510276445171</v>
      </c>
      <c r="H13" s="55">
        <f t="shared" si="9"/>
        <v>-2.1402084776216044</v>
      </c>
      <c r="I13" s="55">
        <f t="shared" si="9"/>
        <v>-2.3508559721723081</v>
      </c>
      <c r="L13" s="45" t="s">
        <v>36</v>
      </c>
      <c r="M13" s="53">
        <v>1.0055696999999999</v>
      </c>
      <c r="N13" s="53">
        <v>1.0055696999999999</v>
      </c>
    </row>
    <row r="14" spans="1:17">
      <c r="A14" s="45" t="s">
        <v>151</v>
      </c>
      <c r="B14" s="46"/>
      <c r="C14" s="54">
        <f>C13-B13</f>
        <v>-9.1743358520935772</v>
      </c>
      <c r="D14" s="54">
        <f t="shared" ref="D14:I14" si="10">D13-C13</f>
        <v>14.512790655822633</v>
      </c>
      <c r="E14" s="54">
        <f t="shared" si="10"/>
        <v>-2.3233481299971883</v>
      </c>
      <c r="F14" s="54">
        <f t="shared" si="10"/>
        <v>-1.2664813704717226</v>
      </c>
      <c r="G14" s="54">
        <f t="shared" si="10"/>
        <v>-0.83459530676287663</v>
      </c>
      <c r="H14" s="54">
        <f t="shared" si="10"/>
        <v>-0.42169820117643342</v>
      </c>
      <c r="I14" s="54">
        <f t="shared" si="10"/>
        <v>-0.21064749455070375</v>
      </c>
      <c r="L14" s="45" t="s">
        <v>152</v>
      </c>
      <c r="M14" s="53">
        <v>1.1000000000000001</v>
      </c>
      <c r="N14" s="53">
        <v>1.2167948</v>
      </c>
    </row>
    <row r="15" spans="1:17">
      <c r="A15" s="45"/>
      <c r="B15" s="46"/>
      <c r="C15" s="54"/>
      <c r="D15" s="54"/>
      <c r="E15" s="54"/>
      <c r="F15" s="54"/>
      <c r="G15" s="54"/>
      <c r="H15" s="54"/>
      <c r="I15" s="54"/>
      <c r="L15" s="45"/>
      <c r="M15" s="53"/>
      <c r="N15" s="53"/>
    </row>
    <row r="16" spans="1:17">
      <c r="A16" s="86" t="s">
        <v>153</v>
      </c>
      <c r="B16">
        <v>3336.4</v>
      </c>
      <c r="C16">
        <v>3378.77195309333</v>
      </c>
      <c r="D16">
        <v>3421.1439061866499</v>
      </c>
      <c r="E16">
        <v>3460.35729423156</v>
      </c>
      <c r="F16">
        <v>3499.5706822764701</v>
      </c>
      <c r="G16">
        <v>3538.7840703213801</v>
      </c>
      <c r="H16">
        <v>3577.9974583662902</v>
      </c>
      <c r="I16">
        <v>3616.5840937704902</v>
      </c>
      <c r="J16">
        <v>3655.1707291746902</v>
      </c>
      <c r="L16" s="45"/>
      <c r="M16" s="53"/>
      <c r="N16" s="53"/>
    </row>
    <row r="17" spans="1:14">
      <c r="A17" s="1" t="s">
        <v>154</v>
      </c>
      <c r="B17" s="46"/>
      <c r="C17" s="54"/>
      <c r="D17" s="54"/>
      <c r="E17" s="54"/>
      <c r="F17" s="54"/>
      <c r="G17" s="54"/>
      <c r="H17" s="54"/>
      <c r="I17" s="54"/>
      <c r="L17" s="45"/>
      <c r="M17" s="53"/>
      <c r="N17" s="53"/>
    </row>
    <row r="18" spans="1:14">
      <c r="A18" s="45" t="s">
        <v>22</v>
      </c>
      <c r="B18" s="46">
        <f t="shared" ref="B18:J18" si="11">$B$24*B16</f>
        <v>1726.2975141107243</v>
      </c>
      <c r="C18" s="44">
        <f t="shared" si="11"/>
        <v>1748.2213233940929</v>
      </c>
      <c r="D18" s="44">
        <f t="shared" si="11"/>
        <v>1770.1451326774566</v>
      </c>
      <c r="E18" s="44">
        <f t="shared" si="11"/>
        <v>1790.4346586041402</v>
      </c>
      <c r="F18" s="44">
        <f t="shared" si="11"/>
        <v>1810.724184530824</v>
      </c>
      <c r="G18" s="44">
        <f t="shared" si="11"/>
        <v>1831.0137104575076</v>
      </c>
      <c r="H18" s="44">
        <f t="shared" si="11"/>
        <v>1851.3032363841912</v>
      </c>
      <c r="I18" s="44">
        <f t="shared" si="11"/>
        <v>1871.2684722000909</v>
      </c>
      <c r="J18" s="44">
        <f t="shared" si="11"/>
        <v>1891.2337080159905</v>
      </c>
      <c r="L18" s="45"/>
      <c r="M18" s="53"/>
      <c r="N18" s="53"/>
    </row>
    <row r="19" spans="1:14">
      <c r="A19" s="45" t="s">
        <v>27</v>
      </c>
      <c r="B19">
        <v>118.1</v>
      </c>
      <c r="C19">
        <v>124.59075067024099</v>
      </c>
      <c r="D19">
        <v>131.08150134048299</v>
      </c>
      <c r="E19">
        <v>132.72326819602401</v>
      </c>
      <c r="F19">
        <v>134.365035051566</v>
      </c>
      <c r="G19">
        <v>136.00680190710699</v>
      </c>
      <c r="H19">
        <v>137.64856876264901</v>
      </c>
      <c r="I19">
        <v>142.08762209477501</v>
      </c>
      <c r="J19">
        <v>146.52667542690099</v>
      </c>
      <c r="L19" s="45"/>
      <c r="M19" s="53"/>
      <c r="N19" s="53"/>
    </row>
    <row r="20" spans="1:14">
      <c r="A20" s="45" t="s">
        <v>29</v>
      </c>
      <c r="B20" s="46">
        <f t="shared" ref="B20:J20" si="12">$B$25*B16</f>
        <v>1428.2973339738203</v>
      </c>
      <c r="C20" s="44">
        <f t="shared" si="12"/>
        <v>1446.4365701680615</v>
      </c>
      <c r="D20" s="44">
        <f t="shared" si="12"/>
        <v>1464.5758063622986</v>
      </c>
      <c r="E20" s="44">
        <f t="shared" si="12"/>
        <v>1481.362875538844</v>
      </c>
      <c r="F20" s="44">
        <f t="shared" si="12"/>
        <v>1498.1499447153894</v>
      </c>
      <c r="G20" s="44">
        <f t="shared" si="12"/>
        <v>1514.9370138919348</v>
      </c>
      <c r="H20" s="44">
        <f t="shared" si="12"/>
        <v>1531.72408306848</v>
      </c>
      <c r="I20" s="44">
        <f t="shared" si="12"/>
        <v>1548.2428423523904</v>
      </c>
      <c r="J20" s="44">
        <f t="shared" si="12"/>
        <v>1564.7616016363008</v>
      </c>
      <c r="L20" s="45"/>
      <c r="M20" s="53"/>
      <c r="N20" s="53"/>
    </row>
    <row r="21" spans="1:14">
      <c r="A21" s="45" t="s">
        <v>30</v>
      </c>
      <c r="B21" s="46">
        <f t="shared" ref="B21:J21" si="13">B16-B18-B20</f>
        <v>181.80515191545555</v>
      </c>
      <c r="C21" s="44">
        <f t="shared" si="13"/>
        <v>184.1140595311756</v>
      </c>
      <c r="D21" s="44">
        <f t="shared" si="13"/>
        <v>186.42296714689473</v>
      </c>
      <c r="E21" s="44">
        <f t="shared" si="13"/>
        <v>188.55976008857579</v>
      </c>
      <c r="F21" s="44">
        <f t="shared" si="13"/>
        <v>190.69655303025661</v>
      </c>
      <c r="G21" s="44">
        <f t="shared" si="13"/>
        <v>192.83334597193766</v>
      </c>
      <c r="H21" s="44">
        <f t="shared" si="13"/>
        <v>194.97013891361894</v>
      </c>
      <c r="I21" s="44">
        <f t="shared" si="13"/>
        <v>197.07277921800892</v>
      </c>
      <c r="J21" s="44">
        <f t="shared" si="13"/>
        <v>199.1754195223989</v>
      </c>
      <c r="L21" s="45" t="s">
        <v>40</v>
      </c>
      <c r="M21" s="53">
        <v>1.0683265</v>
      </c>
      <c r="N21" s="53">
        <v>1.0683265</v>
      </c>
    </row>
    <row r="22" spans="1:14">
      <c r="L22" s="45" t="s">
        <v>155</v>
      </c>
      <c r="M22" s="53">
        <v>1.0329691999999999</v>
      </c>
      <c r="N22" s="53">
        <v>1.0329691999999999</v>
      </c>
    </row>
    <row r="23" spans="1:14">
      <c r="A23" s="45" t="s">
        <v>156</v>
      </c>
      <c r="B23" s="46"/>
      <c r="L23" s="45" t="s">
        <v>45</v>
      </c>
      <c r="M23" s="53">
        <v>1.0069608000000001</v>
      </c>
      <c r="N23" s="53">
        <v>1.0069608000000001</v>
      </c>
    </row>
    <row r="24" spans="1:14">
      <c r="A24" s="45" t="s">
        <v>22</v>
      </c>
      <c r="B24" s="84">
        <f>B27/(B27+B29+B30)</f>
        <v>0.51741323405788398</v>
      </c>
      <c r="L24" s="45"/>
      <c r="M24" s="54"/>
    </row>
    <row r="25" spans="1:14">
      <c r="B25" s="85">
        <f>B29/(B27+B29+B30)</f>
        <v>0.42809535246787561</v>
      </c>
      <c r="C25" t="s">
        <v>157</v>
      </c>
      <c r="L25" t="s">
        <v>158</v>
      </c>
      <c r="M25" s="54"/>
    </row>
    <row r="26" spans="1:14">
      <c r="A26" s="1" t="s">
        <v>159</v>
      </c>
      <c r="B26" s="85">
        <f>1-B25-B24</f>
        <v>5.4491413474240358E-2</v>
      </c>
      <c r="C26" t="s">
        <v>160</v>
      </c>
      <c r="L26" s="45" t="s">
        <v>47</v>
      </c>
      <c r="M26" s="53">
        <v>1.0118179</v>
      </c>
    </row>
    <row r="27" spans="1:14">
      <c r="A27" s="45" t="s">
        <v>22</v>
      </c>
      <c r="B27" s="8">
        <v>1723.4</v>
      </c>
      <c r="C27" s="55">
        <f>B27*(1+($M3*C$14)/100)</f>
        <v>1372.4664631223932</v>
      </c>
      <c r="D27" s="55">
        <f>C27*(1+($M3*D$14)/100)</f>
        <v>1814.5627038003818</v>
      </c>
      <c r="E27" s="55">
        <f t="shared" ref="E27:I27" si="14">D27*(1+($M3*E$14)/100)</f>
        <v>1720.98973261376</v>
      </c>
      <c r="F27" s="55">
        <f t="shared" si="14"/>
        <v>1672.6124761444241</v>
      </c>
      <c r="G27" s="55">
        <f t="shared" si="14"/>
        <v>1641.6286233757226</v>
      </c>
      <c r="H27" s="55">
        <f t="shared" si="14"/>
        <v>1626.2633314978689</v>
      </c>
      <c r="I27" s="55">
        <f t="shared" si="14"/>
        <v>1618.6598705809683</v>
      </c>
      <c r="L27" s="45" t="s">
        <v>48</v>
      </c>
      <c r="M27" s="53">
        <v>1.0084537</v>
      </c>
    </row>
    <row r="28" spans="1:14">
      <c r="A28" s="45" t="s">
        <v>27</v>
      </c>
      <c r="B28" s="8">
        <v>118.1</v>
      </c>
      <c r="C28" s="55">
        <f t="shared" ref="C28" si="15">B28*(1+($M4*C$14)/100)</f>
        <v>105.50443962946257</v>
      </c>
      <c r="D28" s="55">
        <f t="shared" ref="D28:I28" si="16">C28*(1+($M5*D$14)/100)</f>
        <v>121.40404500219651</v>
      </c>
      <c r="E28" s="55">
        <f t="shared" si="16"/>
        <v>118.47509387029993</v>
      </c>
      <c r="F28" s="55">
        <f t="shared" si="16"/>
        <v>116.91701102207107</v>
      </c>
      <c r="G28" s="55">
        <f t="shared" si="16"/>
        <v>115.90375703402039</v>
      </c>
      <c r="H28" s="55">
        <f t="shared" si="16"/>
        <v>115.3962244356653</v>
      </c>
      <c r="I28" s="55">
        <f t="shared" si="16"/>
        <v>115.1438109366712</v>
      </c>
    </row>
    <row r="29" spans="1:14">
      <c r="A29" s="45" t="s">
        <v>29</v>
      </c>
      <c r="B29" s="8">
        <v>1425.9</v>
      </c>
      <c r="C29" s="55">
        <f>B29*(1+($M6*C$14)/100)</f>
        <v>1262.7190551790261</v>
      </c>
      <c r="D29" s="55">
        <f t="shared" ref="D29:I29" si="17">C29*(1+($M4*D$14)/100)</f>
        <v>1475.7538913488531</v>
      </c>
      <c r="E29" s="55">
        <f t="shared" si="17"/>
        <v>1435.8953695896614</v>
      </c>
      <c r="F29" s="55">
        <f t="shared" si="17"/>
        <v>1414.7549032891029</v>
      </c>
      <c r="G29" s="55">
        <f t="shared" si="17"/>
        <v>1401.0287100849839</v>
      </c>
      <c r="H29" s="55">
        <f t="shared" si="17"/>
        <v>1394.1605288754761</v>
      </c>
      <c r="I29" s="55">
        <f t="shared" si="17"/>
        <v>1390.7465404649702</v>
      </c>
    </row>
    <row r="30" spans="1:14">
      <c r="A30" s="45" t="s">
        <v>30</v>
      </c>
      <c r="B30" s="8">
        <v>181.5</v>
      </c>
      <c r="C30" s="55">
        <f>B30*(1+($M7*C$14)/100)</f>
        <v>159.8531545569852</v>
      </c>
      <c r="D30" s="55">
        <f t="shared" ref="D30:I30" si="18">C30*(1+($M6*D$14)/100)</f>
        <v>188.7917788544033</v>
      </c>
      <c r="E30" s="55">
        <f t="shared" si="18"/>
        <v>183.32032037958589</v>
      </c>
      <c r="F30" s="55">
        <f t="shared" si="18"/>
        <v>180.42420971325058</v>
      </c>
      <c r="G30" s="55">
        <f t="shared" si="18"/>
        <v>178.54585984125205</v>
      </c>
      <c r="H30" s="55">
        <f t="shared" si="18"/>
        <v>177.60666159638609</v>
      </c>
      <c r="I30" s="55">
        <f t="shared" si="18"/>
        <v>177.13997934023146</v>
      </c>
    </row>
    <row r="31" spans="1:14">
      <c r="B31" s="8">
        <f>SUM(B27:B30)-B28</f>
        <v>3330.8</v>
      </c>
    </row>
    <row r="32" spans="1:14">
      <c r="A32" s="1" t="s">
        <v>161</v>
      </c>
      <c r="B32" s="8"/>
    </row>
    <row r="33" spans="1:9">
      <c r="A33" s="45" t="s">
        <v>22</v>
      </c>
      <c r="B33" s="8">
        <v>490.7</v>
      </c>
      <c r="C33" s="55">
        <f>B33*(1+($M3*C$14)/100)</f>
        <v>390.77944380536047</v>
      </c>
      <c r="D33" s="55">
        <f t="shared" ref="D33:I33" si="19">C33*(1+($M3*D$14)/100)</f>
        <v>516.65656188629873</v>
      </c>
      <c r="E33" s="55">
        <f t="shared" si="19"/>
        <v>490.01372971659043</v>
      </c>
      <c r="F33" s="55">
        <f t="shared" si="19"/>
        <v>476.23937683884697</v>
      </c>
      <c r="G33" s="55">
        <f t="shared" si="19"/>
        <v>467.41741063622317</v>
      </c>
      <c r="H33" s="55">
        <f t="shared" si="19"/>
        <v>463.0424839073948</v>
      </c>
      <c r="I33" s="55">
        <f t="shared" si="19"/>
        <v>460.8775667251254</v>
      </c>
    </row>
    <row r="34" spans="1:9">
      <c r="A34" s="45" t="s">
        <v>27</v>
      </c>
      <c r="B34" s="8">
        <v>65.2</v>
      </c>
      <c r="C34" s="55">
        <f t="shared" ref="C34:I34" si="20">B34*(1+($M4*C$14)/100)</f>
        <v>58.246312140905673</v>
      </c>
      <c r="D34" s="55">
        <f t="shared" si="20"/>
        <v>68.073116855336139</v>
      </c>
      <c r="E34" s="55">
        <f t="shared" si="20"/>
        <v>66.234535351129878</v>
      </c>
      <c r="F34" s="55">
        <f t="shared" si="20"/>
        <v>65.259374491795214</v>
      </c>
      <c r="G34" s="55">
        <f t="shared" si="20"/>
        <v>64.626216917595045</v>
      </c>
      <c r="H34" s="55">
        <f t="shared" si="20"/>
        <v>64.309403589302818</v>
      </c>
      <c r="I34" s="55">
        <f t="shared" si="20"/>
        <v>64.151924192925478</v>
      </c>
    </row>
    <row r="35" spans="1:9">
      <c r="A35" s="45" t="s">
        <v>29</v>
      </c>
      <c r="B35" s="8">
        <v>23.4</v>
      </c>
      <c r="C35" s="55">
        <f>B35*(1+($M6*C$14)/100)</f>
        <v>20.72208842919504</v>
      </c>
      <c r="D35" s="55">
        <f t="shared" ref="D35:I35" si="21">C35*(1+($M6*D$14)/100)</f>
        <v>24.473460952135007</v>
      </c>
      <c r="E35" s="55">
        <f t="shared" si="21"/>
        <v>23.76418470002691</v>
      </c>
      <c r="F35" s="55">
        <f t="shared" si="21"/>
        <v>23.38875600426638</v>
      </c>
      <c r="G35" s="55">
        <f t="shared" si="21"/>
        <v>23.145261703159893</v>
      </c>
      <c r="H35" s="55">
        <f t="shared" si="21"/>
        <v>23.023511531031016</v>
      </c>
      <c r="I35" s="55">
        <f t="shared" si="21"/>
        <v>22.963014564254394</v>
      </c>
    </row>
    <row r="36" spans="1:9">
      <c r="A36" s="45" t="s">
        <v>30</v>
      </c>
      <c r="B36" s="8">
        <v>1355.3</v>
      </c>
      <c r="C36" s="55">
        <f>B36*(1+($M7*C$14)/100)</f>
        <v>1193.6582940555484</v>
      </c>
      <c r="D36" s="55">
        <f t="shared" ref="D36:I36" si="22">C36*(1+($M7*D$14)/100)</f>
        <v>1418.8613622263376</v>
      </c>
      <c r="E36" s="55">
        <f t="shared" si="22"/>
        <v>1376.0067466218379</v>
      </c>
      <c r="F36" s="55">
        <f t="shared" si="22"/>
        <v>1353.3518167887185</v>
      </c>
      <c r="G36" s="55">
        <f t="shared" si="22"/>
        <v>1338.668302817737</v>
      </c>
      <c r="H36" s="55">
        <f t="shared" si="22"/>
        <v>1331.3296206192249</v>
      </c>
      <c r="I36" s="55">
        <f t="shared" si="22"/>
        <v>1327.6838843821654</v>
      </c>
    </row>
    <row r="37" spans="1:9">
      <c r="B37" s="8" t="s">
        <v>162</v>
      </c>
    </row>
    <row r="38" spans="1:9">
      <c r="A38" s="1" t="s">
        <v>163</v>
      </c>
    </row>
    <row r="39" spans="1:9">
      <c r="A39" t="s">
        <v>148</v>
      </c>
    </row>
    <row r="40" spans="1:9">
      <c r="A40" s="45" t="s">
        <v>35</v>
      </c>
      <c r="B40" s="8">
        <v>1071223</v>
      </c>
      <c r="C40" s="55">
        <f t="shared" ref="C40:I42" si="23">($M12-1)*(C$6-B$6)* B40 + B40</f>
        <v>1224440.2020133047</v>
      </c>
      <c r="D40" s="55">
        <f t="shared" si="23"/>
        <v>1235461.94331037</v>
      </c>
      <c r="E40" s="55">
        <f t="shared" si="23"/>
        <v>1168390.1702764046</v>
      </c>
      <c r="F40" s="55">
        <f t="shared" si="23"/>
        <v>1149557.3735362838</v>
      </c>
      <c r="G40" s="55">
        <f t="shared" si="23"/>
        <v>1137350.9082331622</v>
      </c>
      <c r="H40" s="55">
        <f t="shared" si="23"/>
        <v>1129922.3409245245</v>
      </c>
      <c r="I40" s="55">
        <f t="shared" si="23"/>
        <v>1125419.5046915179</v>
      </c>
    </row>
    <row r="41" spans="1:9">
      <c r="A41" s="45" t="s">
        <v>36</v>
      </c>
      <c r="B41" s="8">
        <v>833435</v>
      </c>
      <c r="C41" s="55">
        <f t="shared" si="23"/>
        <v>885583.03611766209</v>
      </c>
      <c r="D41" s="55">
        <f t="shared" si="23"/>
        <v>889070.26542590105</v>
      </c>
      <c r="E41" s="55">
        <f t="shared" si="23"/>
        <v>867955.55716699245</v>
      </c>
      <c r="F41" s="55">
        <f t="shared" si="23"/>
        <v>861835.39405048324</v>
      </c>
      <c r="G41" s="55">
        <f t="shared" si="23"/>
        <v>857832.05677888473</v>
      </c>
      <c r="H41" s="55">
        <f t="shared" si="23"/>
        <v>855381.01090187777</v>
      </c>
      <c r="I41" s="55">
        <f t="shared" si="23"/>
        <v>853889.8114139383</v>
      </c>
    </row>
    <row r="42" spans="1:9">
      <c r="A42" s="45" t="s">
        <v>152</v>
      </c>
      <c r="B42" s="8">
        <v>40333</v>
      </c>
      <c r="C42" s="55">
        <f t="shared" si="23"/>
        <v>85643.092200000043</v>
      </c>
      <c r="D42" s="55">
        <f t="shared" si="23"/>
        <v>91698.058818540041</v>
      </c>
      <c r="E42" s="55">
        <f t="shared" si="23"/>
        <v>52598.006538314534</v>
      </c>
      <c r="F42" s="55">
        <f t="shared" si="23"/>
        <v>45939.098910563909</v>
      </c>
      <c r="G42" s="55">
        <f t="shared" si="23"/>
        <v>42107.778061422876</v>
      </c>
      <c r="H42" s="55">
        <f t="shared" si="23"/>
        <v>39947.649046871884</v>
      </c>
      <c r="I42" s="55">
        <f t="shared" si="23"/>
        <v>38697.287631704792</v>
      </c>
    </row>
    <row r="43" spans="1:9">
      <c r="A43" s="45" t="s">
        <v>40</v>
      </c>
      <c r="B43" s="8">
        <v>54852</v>
      </c>
      <c r="C43" s="55">
        <f t="shared" ref="C43:I45" si="24">($M21-1)*(C$6-B$6)* B43 + B43</f>
        <v>96955.292729651963</v>
      </c>
      <c r="D43" s="55">
        <f t="shared" si="24"/>
        <v>101638.8961063976</v>
      </c>
      <c r="E43" s="55">
        <f t="shared" si="24"/>
        <v>72026.993637951688</v>
      </c>
      <c r="F43" s="55">
        <f t="shared" si="24"/>
        <v>65796.561523854456</v>
      </c>
      <c r="G43" s="55">
        <f t="shared" si="24"/>
        <v>62047.190457214121</v>
      </c>
      <c r="H43" s="55">
        <f t="shared" si="24"/>
        <v>59872.343702162631</v>
      </c>
      <c r="I43" s="55">
        <f t="shared" si="24"/>
        <v>58591.902114577329</v>
      </c>
    </row>
    <row r="44" spans="1:9">
      <c r="A44" s="45" t="s">
        <v>155</v>
      </c>
      <c r="B44" s="8">
        <f>2451956-(B43+B42+B41+B40+B45)</f>
        <v>398186</v>
      </c>
      <c r="C44" s="55">
        <f t="shared" si="24"/>
        <v>545664.53506906051</v>
      </c>
      <c r="D44" s="55">
        <f t="shared" si="24"/>
        <v>558383.55216410686</v>
      </c>
      <c r="E44" s="55">
        <f t="shared" si="24"/>
        <v>479885.61895395722</v>
      </c>
      <c r="F44" s="55">
        <f t="shared" si="24"/>
        <v>459855.66964926157</v>
      </c>
      <c r="G44" s="55">
        <f t="shared" si="24"/>
        <v>447211.33431373205</v>
      </c>
      <c r="H44" s="55">
        <f t="shared" si="24"/>
        <v>439647.55975310161</v>
      </c>
      <c r="I44" s="55">
        <f t="shared" si="24"/>
        <v>435110.67848674685</v>
      </c>
    </row>
    <row r="45" spans="1:9">
      <c r="A45" s="45" t="s">
        <v>45</v>
      </c>
      <c r="B45" s="8">
        <v>53927</v>
      </c>
      <c r="C45" s="55">
        <f t="shared" si="24"/>
        <v>58143.963442014458</v>
      </c>
      <c r="D45" s="55">
        <f t="shared" si="24"/>
        <v>58430.106492028572</v>
      </c>
      <c r="E45" s="55">
        <f t="shared" si="24"/>
        <v>56695.85119563849</v>
      </c>
      <c r="F45" s="55">
        <f t="shared" si="24"/>
        <v>56196.226218689189</v>
      </c>
      <c r="G45" s="55">
        <f t="shared" si="24"/>
        <v>55869.989862009003</v>
      </c>
      <c r="H45" s="55">
        <f t="shared" si="24"/>
        <v>55670.484251562651</v>
      </c>
      <c r="I45" s="55">
        <f t="shared" si="24"/>
        <v>55549.19327514105</v>
      </c>
    </row>
    <row r="46" spans="1:9">
      <c r="A46" s="45"/>
      <c r="B46" s="8"/>
    </row>
    <row r="47" spans="1:9">
      <c r="A47" t="s">
        <v>158</v>
      </c>
      <c r="B47" s="8"/>
    </row>
    <row r="48" spans="1:9">
      <c r="A48" s="45" t="s">
        <v>47</v>
      </c>
      <c r="B48" s="8">
        <f>790728-B49</f>
        <v>146766</v>
      </c>
      <c r="C48" s="55">
        <f t="shared" ref="C48:I49" si="25">($M26-1)*(C$6-B$6)* B48 + B48</f>
        <v>166250.99004866768</v>
      </c>
      <c r="D48" s="55">
        <f t="shared" si="25"/>
        <v>167640.05951440206</v>
      </c>
      <c r="E48" s="55">
        <f t="shared" si="25"/>
        <v>159192.42116379651</v>
      </c>
      <c r="F48" s="55">
        <f t="shared" si="25"/>
        <v>156810.66989938181</v>
      </c>
      <c r="G48" s="55">
        <f t="shared" si="25"/>
        <v>155265.12377100135</v>
      </c>
      <c r="H48" s="55">
        <f t="shared" si="25"/>
        <v>154323.81611771393</v>
      </c>
      <c r="I48" s="55">
        <f t="shared" si="25"/>
        <v>153752.97190522018</v>
      </c>
    </row>
    <row r="49" spans="1:9">
      <c r="A49" s="45" t="s">
        <v>48</v>
      </c>
      <c r="B49" s="8">
        <v>643962</v>
      </c>
      <c r="C49" s="55">
        <f t="shared" si="25"/>
        <v>705118.34075829969</v>
      </c>
      <c r="D49" s="55">
        <f t="shared" si="25"/>
        <v>709332.66801280843</v>
      </c>
      <c r="E49" s="55">
        <f t="shared" si="25"/>
        <v>683763.65351853578</v>
      </c>
      <c r="F49" s="55">
        <f t="shared" si="25"/>
        <v>676445.75219658471</v>
      </c>
      <c r="G49" s="55">
        <f t="shared" si="25"/>
        <v>671676.54867082764</v>
      </c>
      <c r="H49" s="55">
        <f t="shared" si="25"/>
        <v>668763.65667456482</v>
      </c>
      <c r="I49" s="55">
        <f t="shared" si="25"/>
        <v>666994.10262201831</v>
      </c>
    </row>
    <row r="51" spans="1:9">
      <c r="A51" s="45"/>
      <c r="B51" s="39" t="s">
        <v>124</v>
      </c>
      <c r="C51" s="39" t="s">
        <v>70</v>
      </c>
      <c r="D51" s="39" t="s">
        <v>71</v>
      </c>
      <c r="E51" s="39" t="s">
        <v>72</v>
      </c>
      <c r="F51" s="39" t="s">
        <v>73</v>
      </c>
      <c r="G51" s="39" t="s">
        <v>74</v>
      </c>
      <c r="H51" s="39" t="s">
        <v>75</v>
      </c>
      <c r="I51" s="39" t="s">
        <v>76</v>
      </c>
    </row>
    <row r="52" spans="1:9">
      <c r="A52" t="s">
        <v>164</v>
      </c>
      <c r="B52" s="8">
        <f t="shared" ref="B52:I52" si="26">(SUM(B40:B49)-B53)/1000</f>
        <v>3241.2066030000001</v>
      </c>
      <c r="C52" s="8">
        <f t="shared" si="26"/>
        <v>3766.2087510017855</v>
      </c>
      <c r="D52" s="8">
        <f t="shared" si="26"/>
        <v>3810.057146911116</v>
      </c>
      <c r="E52" s="8">
        <f t="shared" si="26"/>
        <v>3538.9565532409056</v>
      </c>
      <c r="F52" s="8">
        <f t="shared" si="26"/>
        <v>3470.8984648388559</v>
      </c>
      <c r="G52" s="8">
        <f t="shared" si="26"/>
        <v>3427.831421542804</v>
      </c>
      <c r="H52" s="8">
        <f t="shared" si="26"/>
        <v>3402.0047167048028</v>
      </c>
      <c r="I52" s="8">
        <f t="shared" si="26"/>
        <v>3386.4845682268287</v>
      </c>
    </row>
    <row r="53" spans="1:9">
      <c r="A53" t="s">
        <v>165</v>
      </c>
      <c r="B53" s="8">
        <f t="shared" ref="B53:I53" si="27">(B49+B41)/1000</f>
        <v>1477.3969999999999</v>
      </c>
      <c r="C53" s="8">
        <f t="shared" si="27"/>
        <v>1590.7013768759616</v>
      </c>
      <c r="D53" s="8">
        <f t="shared" si="27"/>
        <v>1598.4029334387094</v>
      </c>
      <c r="E53" s="8">
        <f t="shared" si="27"/>
        <v>1551.7192106855284</v>
      </c>
      <c r="F53" s="8">
        <f t="shared" si="27"/>
        <v>1538.2811462470679</v>
      </c>
      <c r="G53" s="8">
        <f t="shared" si="27"/>
        <v>1529.5086054497124</v>
      </c>
      <c r="H53" s="8">
        <f t="shared" si="27"/>
        <v>1524.1446675764425</v>
      </c>
      <c r="I53" s="8">
        <f t="shared" si="27"/>
        <v>1520.8839140359566</v>
      </c>
    </row>
    <row r="54" spans="1:9">
      <c r="A54" t="s">
        <v>166</v>
      </c>
      <c r="B54" s="8">
        <f t="shared" ref="B54:I54" si="28">SUM(B36,B35,B33,B30,B29,B27)</f>
        <v>5200.2000000000007</v>
      </c>
      <c r="C54" s="8">
        <f t="shared" si="28"/>
        <v>4400.1984991485078</v>
      </c>
      <c r="D54" s="8">
        <f t="shared" si="28"/>
        <v>5439.0997590684092</v>
      </c>
      <c r="E54" s="8">
        <f t="shared" si="28"/>
        <v>5229.990083621462</v>
      </c>
      <c r="F54" s="8">
        <f t="shared" si="28"/>
        <v>5120.7715387786093</v>
      </c>
      <c r="G54" s="8">
        <f t="shared" si="28"/>
        <v>5050.4341684590781</v>
      </c>
      <c r="H54" s="8">
        <f t="shared" si="28"/>
        <v>5015.426138027382</v>
      </c>
      <c r="I54" s="8">
        <f t="shared" si="28"/>
        <v>4998.070856057715</v>
      </c>
    </row>
    <row r="55" spans="1:9">
      <c r="A55" t="s">
        <v>167</v>
      </c>
      <c r="B55" s="8">
        <f t="shared" ref="B55:I55" si="29">SUM(B34,B28)</f>
        <v>183.3</v>
      </c>
      <c r="C55" s="8">
        <f t="shared" si="29"/>
        <v>163.75075177036825</v>
      </c>
      <c r="D55" s="8">
        <f t="shared" si="29"/>
        <v>189.47716185753265</v>
      </c>
      <c r="E55" s="8">
        <f t="shared" si="29"/>
        <v>184.70962922142979</v>
      </c>
      <c r="F55" s="8">
        <f t="shared" si="29"/>
        <v>182.17638551386628</v>
      </c>
      <c r="G55" s="8">
        <f t="shared" si="29"/>
        <v>180.52997395161543</v>
      </c>
      <c r="H55" s="8">
        <f t="shared" si="29"/>
        <v>179.70562802496812</v>
      </c>
      <c r="I55" s="8">
        <f t="shared" si="29"/>
        <v>179.29573512959666</v>
      </c>
    </row>
    <row r="56" spans="1:9">
      <c r="B56" s="8"/>
    </row>
    <row r="57" spans="1:9">
      <c r="B57" s="8"/>
    </row>
    <row r="58" spans="1:9">
      <c r="B58"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4FEC-51DD-584C-8EE9-224D1243B79C}">
  <dimension ref="A1:P48"/>
  <sheetViews>
    <sheetView workbookViewId="0">
      <pane ySplit="1" topLeftCell="A11" activePane="bottomLeft" state="frozen"/>
      <selection pane="bottomLeft" activeCell="F13" sqref="F13"/>
    </sheetView>
  </sheetViews>
  <sheetFormatPr defaultColWidth="10.625" defaultRowHeight="15.95"/>
  <cols>
    <col min="2" max="2" width="58.5" customWidth="1"/>
    <col min="3" max="3" width="21.375" customWidth="1"/>
    <col min="4" max="4" width="20.875" customWidth="1"/>
  </cols>
  <sheetData>
    <row r="1" spans="1:13">
      <c r="A1" t="s">
        <v>168</v>
      </c>
      <c r="B1" t="s">
        <v>169</v>
      </c>
      <c r="C1" t="s">
        <v>170</v>
      </c>
      <c r="D1" t="s">
        <v>171</v>
      </c>
      <c r="E1">
        <v>2019</v>
      </c>
      <c r="F1">
        <v>2020</v>
      </c>
      <c r="G1">
        <v>2021</v>
      </c>
      <c r="H1">
        <v>2022</v>
      </c>
      <c r="I1">
        <v>2023</v>
      </c>
      <c r="J1">
        <v>2024</v>
      </c>
      <c r="K1">
        <v>2025</v>
      </c>
      <c r="L1">
        <v>2026</v>
      </c>
      <c r="M1">
        <v>2027</v>
      </c>
    </row>
    <row r="3" spans="1:13">
      <c r="A3" s="1" t="s">
        <v>172</v>
      </c>
      <c r="C3" s="1"/>
      <c r="D3" s="1"/>
    </row>
    <row r="4" spans="1:13" ht="80.099999999999994">
      <c r="A4" t="s">
        <v>173</v>
      </c>
      <c r="B4" t="s">
        <v>174</v>
      </c>
      <c r="C4" s="2" t="s">
        <v>175</v>
      </c>
      <c r="D4" s="2" t="s">
        <v>176</v>
      </c>
      <c r="E4">
        <v>0</v>
      </c>
      <c r="F4">
        <v>377</v>
      </c>
      <c r="G4">
        <v>0</v>
      </c>
      <c r="H4">
        <v>0</v>
      </c>
      <c r="I4">
        <v>0</v>
      </c>
      <c r="J4">
        <v>0</v>
      </c>
      <c r="K4">
        <v>0</v>
      </c>
      <c r="L4">
        <v>0</v>
      </c>
      <c r="M4">
        <v>0</v>
      </c>
    </row>
    <row r="5" spans="1:13" ht="119.1">
      <c r="A5" s="4" t="s">
        <v>177</v>
      </c>
      <c r="B5" t="s">
        <v>178</v>
      </c>
      <c r="C5" s="2" t="s">
        <v>179</v>
      </c>
      <c r="D5" s="2" t="s">
        <v>176</v>
      </c>
      <c r="E5">
        <v>0</v>
      </c>
      <c r="F5">
        <v>321.3</v>
      </c>
      <c r="G5">
        <v>0</v>
      </c>
      <c r="H5">
        <v>0</v>
      </c>
      <c r="I5">
        <v>0</v>
      </c>
      <c r="J5">
        <v>0</v>
      </c>
      <c r="K5">
        <v>0</v>
      </c>
      <c r="L5">
        <v>0</v>
      </c>
      <c r="M5">
        <v>0</v>
      </c>
    </row>
    <row r="6" spans="1:13" ht="68.099999999999994">
      <c r="A6" t="s">
        <v>173</v>
      </c>
      <c r="B6" t="s">
        <v>180</v>
      </c>
      <c r="C6" s="2" t="s">
        <v>181</v>
      </c>
      <c r="D6" s="2" t="s">
        <v>182</v>
      </c>
      <c r="E6">
        <v>0</v>
      </c>
      <c r="F6">
        <v>30</v>
      </c>
      <c r="G6">
        <v>5</v>
      </c>
      <c r="H6">
        <v>0</v>
      </c>
      <c r="I6">
        <v>0</v>
      </c>
      <c r="J6">
        <v>0</v>
      </c>
      <c r="K6">
        <v>0</v>
      </c>
      <c r="L6">
        <v>0</v>
      </c>
      <c r="M6">
        <v>0</v>
      </c>
    </row>
    <row r="7" spans="1:13" ht="68.099999999999994">
      <c r="A7" t="s">
        <v>173</v>
      </c>
      <c r="B7" t="s">
        <v>183</v>
      </c>
      <c r="C7" s="2" t="s">
        <v>181</v>
      </c>
      <c r="D7" s="2" t="s">
        <v>182</v>
      </c>
      <c r="E7">
        <v>0</v>
      </c>
      <c r="F7">
        <v>175</v>
      </c>
      <c r="G7">
        <v>1</v>
      </c>
      <c r="H7">
        <v>0</v>
      </c>
      <c r="I7">
        <v>0</v>
      </c>
      <c r="J7">
        <v>0</v>
      </c>
      <c r="K7">
        <v>0</v>
      </c>
      <c r="L7">
        <v>0</v>
      </c>
      <c r="M7">
        <v>0</v>
      </c>
    </row>
    <row r="8" spans="1:13" ht="68.099999999999994">
      <c r="A8" t="s">
        <v>173</v>
      </c>
      <c r="B8" t="s">
        <v>184</v>
      </c>
      <c r="C8" s="2" t="s">
        <v>181</v>
      </c>
      <c r="D8" s="2" t="s">
        <v>182</v>
      </c>
      <c r="E8">
        <v>0</v>
      </c>
      <c r="F8">
        <v>12</v>
      </c>
      <c r="G8">
        <v>39</v>
      </c>
      <c r="H8">
        <v>0</v>
      </c>
      <c r="I8">
        <v>0</v>
      </c>
      <c r="J8">
        <v>0</v>
      </c>
      <c r="K8">
        <v>0</v>
      </c>
      <c r="L8">
        <v>0</v>
      </c>
      <c r="M8">
        <v>0</v>
      </c>
    </row>
    <row r="9" spans="1:13" ht="68.099999999999994">
      <c r="A9" t="s">
        <v>173</v>
      </c>
      <c r="B9" t="s">
        <v>185</v>
      </c>
      <c r="C9" s="2" t="s">
        <v>186</v>
      </c>
      <c r="D9" s="2" t="s">
        <v>182</v>
      </c>
      <c r="E9">
        <v>0</v>
      </c>
      <c r="F9">
        <v>139</v>
      </c>
      <c r="G9">
        <v>12</v>
      </c>
      <c r="H9">
        <v>0</v>
      </c>
      <c r="I9">
        <v>0</v>
      </c>
      <c r="J9">
        <v>0</v>
      </c>
      <c r="K9">
        <v>0</v>
      </c>
      <c r="L9">
        <v>0</v>
      </c>
      <c r="M9">
        <v>0</v>
      </c>
    </row>
    <row r="10" spans="1:13" ht="17.100000000000001">
      <c r="A10" t="s">
        <v>173</v>
      </c>
      <c r="B10" t="s">
        <v>187</v>
      </c>
      <c r="C10" s="2" t="s">
        <v>188</v>
      </c>
      <c r="D10" s="2" t="s">
        <v>188</v>
      </c>
      <c r="E10">
        <v>0</v>
      </c>
      <c r="F10">
        <v>454</v>
      </c>
      <c r="G10">
        <v>0</v>
      </c>
      <c r="H10">
        <v>0</v>
      </c>
      <c r="I10">
        <v>0</v>
      </c>
      <c r="J10">
        <v>0</v>
      </c>
      <c r="K10">
        <v>0</v>
      </c>
      <c r="L10">
        <v>0</v>
      </c>
      <c r="M10">
        <v>0</v>
      </c>
    </row>
    <row r="11" spans="1:13" ht="102">
      <c r="A11" t="s">
        <v>173</v>
      </c>
      <c r="B11" t="s">
        <v>189</v>
      </c>
      <c r="C11" s="2" t="s">
        <v>190</v>
      </c>
      <c r="D11" s="2" t="s">
        <v>191</v>
      </c>
      <c r="E11">
        <v>0</v>
      </c>
      <c r="F11">
        <v>22</v>
      </c>
      <c r="G11">
        <v>2</v>
      </c>
      <c r="H11">
        <v>0</v>
      </c>
      <c r="I11">
        <v>0</v>
      </c>
      <c r="J11">
        <v>0</v>
      </c>
      <c r="K11">
        <v>0</v>
      </c>
      <c r="L11">
        <v>0</v>
      </c>
      <c r="M11">
        <v>0</v>
      </c>
    </row>
    <row r="12" spans="1:13" ht="84.95">
      <c r="A12" t="s">
        <v>173</v>
      </c>
      <c r="B12" t="s">
        <v>192</v>
      </c>
      <c r="C12" s="3" t="s">
        <v>193</v>
      </c>
      <c r="D12" s="3" t="s">
        <v>194</v>
      </c>
      <c r="E12">
        <v>0</v>
      </c>
      <c r="F12">
        <v>150</v>
      </c>
      <c r="G12">
        <v>0</v>
      </c>
      <c r="H12">
        <v>0</v>
      </c>
      <c r="I12">
        <v>0</v>
      </c>
      <c r="J12">
        <v>0</v>
      </c>
      <c r="K12">
        <v>0</v>
      </c>
      <c r="L12">
        <v>0</v>
      </c>
      <c r="M12">
        <v>0</v>
      </c>
    </row>
    <row r="13" spans="1:13" ht="176.1">
      <c r="A13" s="4" t="s">
        <v>177</v>
      </c>
      <c r="B13" t="s">
        <v>195</v>
      </c>
      <c r="C13" s="2" t="s">
        <v>196</v>
      </c>
      <c r="D13" s="5" t="s">
        <v>197</v>
      </c>
      <c r="E13">
        <v>0</v>
      </c>
      <c r="F13">
        <v>51.6</v>
      </c>
      <c r="G13">
        <v>42.2</v>
      </c>
      <c r="H13">
        <v>4.2</v>
      </c>
      <c r="I13">
        <v>1.2</v>
      </c>
      <c r="J13">
        <v>0.4</v>
      </c>
      <c r="K13">
        <v>0</v>
      </c>
      <c r="L13">
        <v>0</v>
      </c>
      <c r="M13">
        <v>0</v>
      </c>
    </row>
    <row r="14" spans="1:13" ht="68.099999999999994">
      <c r="A14" s="4" t="s">
        <v>198</v>
      </c>
      <c r="B14" t="s">
        <v>199</v>
      </c>
      <c r="C14" s="2" t="s">
        <v>200</v>
      </c>
      <c r="D14" s="2" t="s">
        <v>182</v>
      </c>
      <c r="E14">
        <v>0</v>
      </c>
      <c r="F14">
        <v>9.8000000000000007</v>
      </c>
      <c r="G14">
        <v>8.6999999999999993</v>
      </c>
      <c r="H14">
        <v>0</v>
      </c>
      <c r="I14">
        <v>0</v>
      </c>
      <c r="J14">
        <v>0</v>
      </c>
      <c r="K14">
        <v>0</v>
      </c>
      <c r="L14">
        <v>0</v>
      </c>
      <c r="M14">
        <v>0</v>
      </c>
    </row>
    <row r="15" spans="1:13" ht="68.099999999999994">
      <c r="A15" s="4" t="s">
        <v>198</v>
      </c>
      <c r="B15" t="s">
        <v>201</v>
      </c>
      <c r="C15" s="2" t="s">
        <v>200</v>
      </c>
      <c r="D15" s="2" t="s">
        <v>182</v>
      </c>
      <c r="E15">
        <v>0</v>
      </c>
      <c r="F15">
        <v>0.63</v>
      </c>
      <c r="G15">
        <v>2.1</v>
      </c>
      <c r="H15">
        <v>0</v>
      </c>
      <c r="I15">
        <v>0</v>
      </c>
      <c r="J15">
        <v>0</v>
      </c>
      <c r="K15">
        <v>0</v>
      </c>
      <c r="L15">
        <v>0</v>
      </c>
      <c r="M15">
        <v>0</v>
      </c>
    </row>
    <row r="16" spans="1:13" ht="68.099999999999994">
      <c r="A16" s="4" t="s">
        <v>198</v>
      </c>
      <c r="B16" t="s">
        <v>202</v>
      </c>
      <c r="C16" s="2" t="s">
        <v>203</v>
      </c>
      <c r="D16" s="2" t="s">
        <v>204</v>
      </c>
      <c r="E16">
        <v>0</v>
      </c>
      <c r="F16">
        <v>29.1</v>
      </c>
      <c r="G16">
        <v>20.8</v>
      </c>
      <c r="H16">
        <v>0</v>
      </c>
      <c r="I16">
        <v>0</v>
      </c>
      <c r="J16">
        <v>0</v>
      </c>
      <c r="K16">
        <v>0</v>
      </c>
      <c r="L16">
        <v>0</v>
      </c>
      <c r="M16">
        <v>0</v>
      </c>
    </row>
    <row r="17" spans="1:16" ht="102">
      <c r="A17" s="4" t="s">
        <v>198</v>
      </c>
      <c r="B17" t="s">
        <v>205</v>
      </c>
      <c r="C17" s="2" t="s">
        <v>206</v>
      </c>
      <c r="D17" s="2" t="s">
        <v>191</v>
      </c>
      <c r="E17">
        <v>0</v>
      </c>
      <c r="F17">
        <v>8.6</v>
      </c>
      <c r="G17">
        <v>1.5</v>
      </c>
      <c r="H17">
        <v>0</v>
      </c>
      <c r="I17">
        <v>0</v>
      </c>
      <c r="J17">
        <v>0</v>
      </c>
      <c r="K17">
        <v>0</v>
      </c>
      <c r="L17">
        <v>0</v>
      </c>
      <c r="M17">
        <v>0</v>
      </c>
    </row>
    <row r="19" spans="1:16">
      <c r="A19" s="1" t="s">
        <v>207</v>
      </c>
      <c r="C19" s="1"/>
      <c r="D19" s="1"/>
    </row>
    <row r="20" spans="1:16" ht="102">
      <c r="A20" t="s">
        <v>173</v>
      </c>
      <c r="B20" t="s">
        <v>208</v>
      </c>
      <c r="C20" s="2" t="s">
        <v>209</v>
      </c>
      <c r="D20" s="2" t="s">
        <v>191</v>
      </c>
      <c r="E20">
        <v>0</v>
      </c>
      <c r="F20">
        <v>-47</v>
      </c>
      <c r="G20">
        <v>-5</v>
      </c>
      <c r="H20">
        <v>0</v>
      </c>
      <c r="I20">
        <v>0</v>
      </c>
      <c r="J20">
        <v>0</v>
      </c>
      <c r="K20">
        <v>0</v>
      </c>
      <c r="L20">
        <v>0</v>
      </c>
      <c r="M20">
        <v>0</v>
      </c>
    </row>
    <row r="21" spans="1:16" ht="51">
      <c r="A21" t="s">
        <v>173</v>
      </c>
      <c r="B21" t="s">
        <v>210</v>
      </c>
      <c r="C21" s="2" t="s">
        <v>211</v>
      </c>
      <c r="D21" s="2" t="s">
        <v>212</v>
      </c>
      <c r="E21">
        <v>0</v>
      </c>
      <c r="F21">
        <v>-211</v>
      </c>
      <c r="G21">
        <v>-141</v>
      </c>
      <c r="H21">
        <v>171</v>
      </c>
      <c r="I21">
        <v>169</v>
      </c>
      <c r="J21">
        <v>0</v>
      </c>
      <c r="K21">
        <v>0</v>
      </c>
      <c r="L21">
        <v>0</v>
      </c>
      <c r="M21">
        <v>0</v>
      </c>
    </row>
    <row r="22" spans="1:16" ht="80.099999999999994">
      <c r="A22" t="s">
        <v>173</v>
      </c>
      <c r="B22" t="s">
        <v>213</v>
      </c>
      <c r="C22" s="2" t="s">
        <v>214</v>
      </c>
      <c r="D22" s="2" t="s">
        <v>215</v>
      </c>
      <c r="E22">
        <v>0</v>
      </c>
      <c r="F22">
        <v>-80</v>
      </c>
      <c r="G22">
        <v>-9</v>
      </c>
      <c r="H22">
        <v>3</v>
      </c>
      <c r="I22">
        <v>4</v>
      </c>
      <c r="J22">
        <v>9</v>
      </c>
      <c r="K22">
        <v>13</v>
      </c>
      <c r="L22">
        <v>13</v>
      </c>
      <c r="M22">
        <v>0</v>
      </c>
    </row>
    <row r="23" spans="1:16" ht="80.099999999999994">
      <c r="A23" t="s">
        <v>173</v>
      </c>
      <c r="B23" t="s">
        <v>216</v>
      </c>
      <c r="C23" s="2" t="s">
        <v>214</v>
      </c>
      <c r="D23" s="2" t="s">
        <v>215</v>
      </c>
      <c r="E23">
        <v>0</v>
      </c>
      <c r="F23">
        <v>-74</v>
      </c>
      <c r="G23">
        <v>-64</v>
      </c>
      <c r="H23">
        <v>2</v>
      </c>
      <c r="I23">
        <v>1</v>
      </c>
      <c r="J23">
        <v>0</v>
      </c>
      <c r="K23">
        <v>0</v>
      </c>
      <c r="L23">
        <v>0</v>
      </c>
      <c r="M23">
        <v>0</v>
      </c>
    </row>
    <row r="24" spans="1:16" ht="84.95">
      <c r="A24" t="s">
        <v>173</v>
      </c>
      <c r="B24" t="s">
        <v>185</v>
      </c>
      <c r="C24" s="2" t="s">
        <v>186</v>
      </c>
      <c r="D24" s="2" t="s">
        <v>217</v>
      </c>
      <c r="E24">
        <v>0</v>
      </c>
      <c r="F24">
        <v>-131</v>
      </c>
      <c r="G24">
        <v>-11</v>
      </c>
      <c r="H24">
        <v>0</v>
      </c>
      <c r="I24">
        <v>0</v>
      </c>
      <c r="J24">
        <v>0</v>
      </c>
      <c r="K24">
        <v>0</v>
      </c>
      <c r="L24">
        <v>0</v>
      </c>
      <c r="M24">
        <v>0</v>
      </c>
    </row>
    <row r="25" spans="1:16" ht="102">
      <c r="A25" t="s">
        <v>198</v>
      </c>
      <c r="B25" t="s">
        <v>205</v>
      </c>
      <c r="C25" s="2" t="s">
        <v>206</v>
      </c>
      <c r="D25" s="2" t="s">
        <v>191</v>
      </c>
      <c r="E25">
        <v>0</v>
      </c>
      <c r="F25">
        <v>-80.5</v>
      </c>
      <c r="G25">
        <v>-14.2</v>
      </c>
      <c r="H25">
        <v>0</v>
      </c>
      <c r="I25">
        <v>0</v>
      </c>
      <c r="J25">
        <v>0</v>
      </c>
      <c r="K25">
        <v>0</v>
      </c>
      <c r="L25">
        <v>0</v>
      </c>
      <c r="M25">
        <v>0</v>
      </c>
    </row>
    <row r="27" spans="1:16">
      <c r="B27" t="s">
        <v>218</v>
      </c>
      <c r="F27">
        <f>-1*SUM(F20:F25)+SUM(F4:F17)-F10</f>
        <v>1949.5299999999997</v>
      </c>
      <c r="G27">
        <f t="shared" ref="G27:M27" si="0">-1*SUM(G20:G25)+SUM(G4:G17)-G10</f>
        <v>378.5</v>
      </c>
      <c r="H27">
        <f t="shared" si="0"/>
        <v>-171.8</v>
      </c>
      <c r="I27">
        <f t="shared" si="0"/>
        <v>-172.8</v>
      </c>
      <c r="J27">
        <f t="shared" si="0"/>
        <v>-8.6</v>
      </c>
      <c r="K27">
        <f t="shared" si="0"/>
        <v>-13</v>
      </c>
      <c r="L27">
        <f t="shared" si="0"/>
        <v>-13</v>
      </c>
      <c r="M27">
        <f t="shared" si="0"/>
        <v>0</v>
      </c>
    </row>
    <row r="28" spans="1:16">
      <c r="A28" s="1" t="s">
        <v>219</v>
      </c>
    </row>
    <row r="29" spans="1:16">
      <c r="B29" t="s">
        <v>1</v>
      </c>
      <c r="C29" s="7"/>
      <c r="E29" s="7">
        <v>2608.8469999999998</v>
      </c>
      <c r="F29" s="7">
        <v>2734.0140000000001</v>
      </c>
      <c r="G29" s="7">
        <v>2867.57</v>
      </c>
      <c r="H29" s="7">
        <v>3087.7400000000002</v>
      </c>
      <c r="I29" s="7">
        <v>3217.16</v>
      </c>
      <c r="J29" s="7">
        <v>3342.3100000000004</v>
      </c>
      <c r="K29" s="7">
        <v>3595.72</v>
      </c>
      <c r="L29" s="7">
        <v>3818.7599999999998</v>
      </c>
      <c r="M29" s="7">
        <v>4017.3500000000004</v>
      </c>
      <c r="N29" s="7"/>
      <c r="O29" s="7"/>
      <c r="P29" s="7"/>
    </row>
    <row r="30" spans="1:16">
      <c r="B30" t="s">
        <v>2</v>
      </c>
      <c r="C30" s="6"/>
      <c r="E30" s="6">
        <v>1717.857</v>
      </c>
      <c r="F30" s="6">
        <v>1791.395</v>
      </c>
      <c r="G30" s="6">
        <v>1904.3630000000001</v>
      </c>
      <c r="H30" s="6">
        <v>1995.787</v>
      </c>
      <c r="I30" s="6">
        <v>2095.6280000000002</v>
      </c>
      <c r="J30" s="6">
        <v>2178.39</v>
      </c>
      <c r="K30" s="6">
        <v>2266.451</v>
      </c>
      <c r="L30" s="6">
        <v>2483.5729999999999</v>
      </c>
      <c r="M30" s="6">
        <v>2708.7040000000002</v>
      </c>
      <c r="N30" s="6"/>
      <c r="O30" s="6"/>
      <c r="P30" s="6"/>
    </row>
    <row r="31" spans="1:16">
      <c r="B31" t="s">
        <v>3</v>
      </c>
      <c r="C31" s="6"/>
      <c r="E31" s="6">
        <v>271.327</v>
      </c>
      <c r="F31" s="6">
        <v>304.77100000000002</v>
      </c>
      <c r="G31" s="6">
        <v>298.04599999999999</v>
      </c>
      <c r="H31" s="6">
        <v>304.31299999999999</v>
      </c>
      <c r="I31" s="6">
        <v>311.62700000000001</v>
      </c>
      <c r="J31" s="6">
        <v>317.41899999999998</v>
      </c>
      <c r="K31" s="6">
        <v>325.99900000000002</v>
      </c>
      <c r="L31" s="6">
        <v>339.74299999999999</v>
      </c>
      <c r="M31" s="6">
        <v>359.16500000000002</v>
      </c>
      <c r="N31" s="6"/>
      <c r="O31" s="6"/>
      <c r="P31" s="6"/>
    </row>
    <row r="32" spans="1:16">
      <c r="B32" t="s">
        <v>4</v>
      </c>
      <c r="C32" s="6"/>
      <c r="E32" s="6">
        <v>230.245</v>
      </c>
      <c r="F32" s="6">
        <v>233.78800000000001</v>
      </c>
      <c r="G32" s="6">
        <v>256.71199999999999</v>
      </c>
      <c r="H32" s="6">
        <v>291.74700000000001</v>
      </c>
      <c r="I32" s="6">
        <v>333.89499999999998</v>
      </c>
      <c r="J32" s="6">
        <v>362.428</v>
      </c>
      <c r="K32" s="6">
        <v>386.15199999999999</v>
      </c>
      <c r="L32" s="6">
        <v>384.91300000000001</v>
      </c>
      <c r="M32" s="6">
        <v>382.13799999999998</v>
      </c>
      <c r="N32" s="6"/>
      <c r="O32" s="6"/>
      <c r="P32" s="6"/>
    </row>
    <row r="33" spans="1:16">
      <c r="B33" t="s">
        <v>5</v>
      </c>
      <c r="C33" s="6"/>
      <c r="E33" s="6">
        <v>1243.3720000000001</v>
      </c>
      <c r="F33" s="6">
        <v>1302.3309999999999</v>
      </c>
      <c r="G33" s="6">
        <v>1356.3520000000001</v>
      </c>
      <c r="H33" s="6">
        <v>1408.539</v>
      </c>
      <c r="I33" s="6">
        <v>1463.7149999999999</v>
      </c>
      <c r="J33" s="6">
        <v>1523.1579999999999</v>
      </c>
      <c r="K33" s="6">
        <v>1583.605</v>
      </c>
      <c r="L33" s="6">
        <v>1642.366</v>
      </c>
      <c r="M33" s="6">
        <v>1703.42</v>
      </c>
      <c r="N33" s="6"/>
      <c r="O33" s="6"/>
      <c r="P33" s="6"/>
    </row>
    <row r="34" spans="1:16">
      <c r="B34" t="s">
        <v>6</v>
      </c>
      <c r="C34" s="7"/>
      <c r="E34" s="7">
        <v>775.40599999999995</v>
      </c>
      <c r="F34" s="7">
        <v>828.22199999999998</v>
      </c>
      <c r="G34" s="7">
        <v>885.96</v>
      </c>
      <c r="H34" s="7">
        <v>992.62699999999995</v>
      </c>
      <c r="I34" s="7">
        <v>1027.2270000000001</v>
      </c>
      <c r="J34" s="7">
        <v>1055.278</v>
      </c>
      <c r="K34" s="7">
        <v>1182.252</v>
      </c>
      <c r="L34" s="7">
        <v>1269.2719999999999</v>
      </c>
      <c r="M34" s="7">
        <v>1362.9860000000001</v>
      </c>
      <c r="N34" s="7"/>
      <c r="O34" s="7"/>
      <c r="P34" s="7"/>
    </row>
    <row r="35" spans="1:16">
      <c r="B35" t="s">
        <v>7</v>
      </c>
      <c r="C35" s="7"/>
      <c r="E35" s="7">
        <v>409.42099999999999</v>
      </c>
      <c r="F35" s="7">
        <v>423.15</v>
      </c>
      <c r="G35" s="7">
        <v>442.846</v>
      </c>
      <c r="H35" s="7">
        <v>465.267</v>
      </c>
      <c r="I35" s="7">
        <v>492.887</v>
      </c>
      <c r="J35" s="7">
        <v>522.05100000000004</v>
      </c>
      <c r="K35" s="7">
        <v>552.42999999999995</v>
      </c>
      <c r="L35" s="7">
        <v>584.70500000000004</v>
      </c>
      <c r="M35" s="7">
        <v>618.66200000000003</v>
      </c>
      <c r="N35" s="7"/>
      <c r="O35" s="7"/>
      <c r="P35" s="7"/>
    </row>
    <row r="36" spans="1:16">
      <c r="B36" t="s">
        <v>8</v>
      </c>
      <c r="C36" s="7"/>
      <c r="E36" s="7">
        <v>27.626999999999999</v>
      </c>
      <c r="F36" s="7">
        <v>28.533000000000001</v>
      </c>
      <c r="G36" s="7">
        <v>30.507000000000001</v>
      </c>
      <c r="H36" s="7">
        <v>34.828000000000003</v>
      </c>
      <c r="I36" s="7">
        <v>41.956000000000003</v>
      </c>
      <c r="J36" s="7">
        <v>46.265999999999998</v>
      </c>
      <c r="K36" s="7">
        <v>47.701000000000001</v>
      </c>
      <c r="L36" s="7">
        <v>50.38</v>
      </c>
      <c r="M36" s="7">
        <v>52.034999999999997</v>
      </c>
      <c r="N36" s="7"/>
      <c r="O36" s="7"/>
      <c r="P36" s="7"/>
    </row>
    <row r="37" spans="1:16">
      <c r="B37" t="s">
        <v>220</v>
      </c>
      <c r="E37" s="7">
        <v>0</v>
      </c>
      <c r="F37" s="7">
        <v>0</v>
      </c>
      <c r="G37" s="7">
        <v>0</v>
      </c>
      <c r="H37" s="7">
        <v>0</v>
      </c>
      <c r="I37" s="7">
        <v>0</v>
      </c>
      <c r="J37" s="7">
        <v>0</v>
      </c>
      <c r="K37" s="7">
        <v>0</v>
      </c>
      <c r="L37" s="7">
        <v>0</v>
      </c>
      <c r="M37" s="7">
        <v>0</v>
      </c>
    </row>
    <row r="38" spans="1:16">
      <c r="A38" s="1" t="s">
        <v>221</v>
      </c>
    </row>
    <row r="39" spans="1:16">
      <c r="B39" t="s">
        <v>1</v>
      </c>
      <c r="E39" s="8">
        <f>E29+(-1*E24)+E15+E14+E9+E8+E7+E6</f>
        <v>2608.8469999999998</v>
      </c>
      <c r="F39" s="8">
        <f t="shared" ref="F39:M39" si="1">F29+(-1*F24)+F15+F14+F9+F8+F7+F6</f>
        <v>3231.4440000000004</v>
      </c>
      <c r="G39" s="8">
        <f t="shared" si="1"/>
        <v>2946.37</v>
      </c>
      <c r="H39" s="8">
        <f t="shared" si="1"/>
        <v>3087.7400000000002</v>
      </c>
      <c r="I39" s="8">
        <f t="shared" si="1"/>
        <v>3217.16</v>
      </c>
      <c r="J39" s="8">
        <f t="shared" si="1"/>
        <v>3342.3100000000004</v>
      </c>
      <c r="K39" s="8">
        <f t="shared" si="1"/>
        <v>3595.72</v>
      </c>
      <c r="L39" s="8">
        <f t="shared" si="1"/>
        <v>3818.7599999999998</v>
      </c>
      <c r="M39" s="8">
        <f t="shared" si="1"/>
        <v>4017.3500000000004</v>
      </c>
    </row>
    <row r="40" spans="1:16">
      <c r="B40" t="s">
        <v>222</v>
      </c>
      <c r="E40" s="8">
        <f>E30</f>
        <v>1717.857</v>
      </c>
      <c r="F40" s="8">
        <f t="shared" ref="F40:M40" si="2">F30</f>
        <v>1791.395</v>
      </c>
      <c r="G40" s="8">
        <f t="shared" si="2"/>
        <v>1904.3630000000001</v>
      </c>
      <c r="H40" s="8">
        <f t="shared" si="2"/>
        <v>1995.787</v>
      </c>
      <c r="I40" s="8">
        <f t="shared" si="2"/>
        <v>2095.6280000000002</v>
      </c>
      <c r="J40" s="8">
        <f t="shared" si="2"/>
        <v>2178.39</v>
      </c>
      <c r="K40" s="8">
        <f t="shared" si="2"/>
        <v>2266.451</v>
      </c>
      <c r="L40" s="8">
        <f t="shared" si="2"/>
        <v>2483.5729999999999</v>
      </c>
      <c r="M40" s="8">
        <f t="shared" si="2"/>
        <v>2708.7040000000002</v>
      </c>
    </row>
    <row r="41" spans="1:16">
      <c r="B41" t="s">
        <v>3</v>
      </c>
      <c r="E41" s="8">
        <f>E31</f>
        <v>271.327</v>
      </c>
      <c r="F41" s="8">
        <f t="shared" ref="F41:M41" si="3">F31</f>
        <v>304.77100000000002</v>
      </c>
      <c r="G41" s="8">
        <f t="shared" si="3"/>
        <v>298.04599999999999</v>
      </c>
      <c r="H41" s="8">
        <f t="shared" si="3"/>
        <v>304.31299999999999</v>
      </c>
      <c r="I41" s="8">
        <f t="shared" si="3"/>
        <v>311.62700000000001</v>
      </c>
      <c r="J41" s="8">
        <f t="shared" si="3"/>
        <v>317.41899999999998</v>
      </c>
      <c r="K41" s="8">
        <f t="shared" si="3"/>
        <v>325.99900000000002</v>
      </c>
      <c r="L41" s="8">
        <f t="shared" si="3"/>
        <v>339.74299999999999</v>
      </c>
      <c r="M41" s="8">
        <f t="shared" si="3"/>
        <v>359.16500000000002</v>
      </c>
    </row>
    <row r="42" spans="1:16">
      <c r="B42" t="s">
        <v>4</v>
      </c>
      <c r="E42" s="8">
        <f>E32+E23+E22</f>
        <v>230.245</v>
      </c>
      <c r="F42" s="8">
        <f>F32+F23+F22</f>
        <v>79.788000000000011</v>
      </c>
      <c r="G42" s="8">
        <f t="shared" ref="G42:M42" si="4">G32+G23+G22</f>
        <v>183.71199999999999</v>
      </c>
      <c r="H42" s="8">
        <f t="shared" si="4"/>
        <v>296.74700000000001</v>
      </c>
      <c r="I42" s="8">
        <f t="shared" si="4"/>
        <v>338.89499999999998</v>
      </c>
      <c r="J42" s="8">
        <f t="shared" si="4"/>
        <v>371.428</v>
      </c>
      <c r="K42" s="8">
        <f t="shared" si="4"/>
        <v>399.15199999999999</v>
      </c>
      <c r="L42" s="8">
        <f t="shared" si="4"/>
        <v>397.91300000000001</v>
      </c>
      <c r="M42" s="8">
        <f t="shared" si="4"/>
        <v>382.13799999999998</v>
      </c>
    </row>
    <row r="43" spans="1:16">
      <c r="B43" t="s">
        <v>5</v>
      </c>
      <c r="E43" s="8">
        <f>E33+E21</f>
        <v>1243.3720000000001</v>
      </c>
      <c r="F43" s="8">
        <f t="shared" ref="F43:M43" si="5">F33+F21</f>
        <v>1091.3309999999999</v>
      </c>
      <c r="G43" s="8">
        <f t="shared" si="5"/>
        <v>1215.3520000000001</v>
      </c>
      <c r="H43" s="8">
        <f t="shared" si="5"/>
        <v>1579.539</v>
      </c>
      <c r="I43" s="8">
        <f t="shared" si="5"/>
        <v>1632.7149999999999</v>
      </c>
      <c r="J43" s="8">
        <f t="shared" si="5"/>
        <v>1523.1579999999999</v>
      </c>
      <c r="K43" s="8">
        <f t="shared" si="5"/>
        <v>1583.605</v>
      </c>
      <c r="L43" s="8">
        <f t="shared" si="5"/>
        <v>1642.366</v>
      </c>
      <c r="M43" s="8">
        <f t="shared" si="5"/>
        <v>1703.42</v>
      </c>
    </row>
    <row r="44" spans="1:16">
      <c r="B44" t="s">
        <v>6</v>
      </c>
      <c r="E44" s="8">
        <f>E34</f>
        <v>775.40599999999995</v>
      </c>
      <c r="F44" s="8">
        <f>F34</f>
        <v>828.22199999999998</v>
      </c>
      <c r="G44" s="8">
        <f t="shared" ref="G44:M44" si="6">G34</f>
        <v>885.96</v>
      </c>
      <c r="H44" s="8">
        <f t="shared" si="6"/>
        <v>992.62699999999995</v>
      </c>
      <c r="I44" s="8">
        <f t="shared" si="6"/>
        <v>1027.2270000000001</v>
      </c>
      <c r="J44" s="8">
        <f t="shared" si="6"/>
        <v>1055.278</v>
      </c>
      <c r="K44" s="8">
        <f t="shared" si="6"/>
        <v>1182.252</v>
      </c>
      <c r="L44" s="8">
        <f t="shared" si="6"/>
        <v>1269.2719999999999</v>
      </c>
      <c r="M44" s="8">
        <f t="shared" si="6"/>
        <v>1362.9860000000001</v>
      </c>
    </row>
    <row r="45" spans="1:16">
      <c r="B45" t="s">
        <v>7</v>
      </c>
      <c r="E45" s="8">
        <f>E35+E13+E16</f>
        <v>409.42099999999999</v>
      </c>
      <c r="F45" s="8">
        <f t="shared" ref="F45:M45" si="7">F35+F13+F16</f>
        <v>503.85</v>
      </c>
      <c r="G45" s="8">
        <f t="shared" si="7"/>
        <v>505.846</v>
      </c>
      <c r="H45" s="8">
        <f t="shared" si="7"/>
        <v>469.46699999999998</v>
      </c>
      <c r="I45" s="8">
        <f t="shared" si="7"/>
        <v>494.08699999999999</v>
      </c>
      <c r="J45" s="8">
        <f t="shared" si="7"/>
        <v>522.45100000000002</v>
      </c>
      <c r="K45" s="8">
        <f t="shared" si="7"/>
        <v>552.42999999999995</v>
      </c>
      <c r="L45" s="8">
        <f t="shared" si="7"/>
        <v>584.70500000000004</v>
      </c>
      <c r="M45" s="8">
        <f t="shared" si="7"/>
        <v>618.66200000000003</v>
      </c>
    </row>
    <row r="46" spans="1:16">
      <c r="B46" t="s">
        <v>8</v>
      </c>
      <c r="E46" s="8">
        <f>E36+E6+E7+E8</f>
        <v>27.626999999999999</v>
      </c>
      <c r="F46" s="8">
        <f t="shared" ref="F46:M46" si="8">F36+F6+F7+F8</f>
        <v>245.53300000000002</v>
      </c>
      <c r="G46" s="8">
        <f t="shared" si="8"/>
        <v>75.507000000000005</v>
      </c>
      <c r="H46" s="8">
        <f t="shared" si="8"/>
        <v>34.828000000000003</v>
      </c>
      <c r="I46" s="8">
        <f t="shared" si="8"/>
        <v>41.956000000000003</v>
      </c>
      <c r="J46" s="8">
        <f t="shared" si="8"/>
        <v>46.265999999999998</v>
      </c>
      <c r="K46" s="8">
        <f t="shared" si="8"/>
        <v>47.701000000000001</v>
      </c>
      <c r="L46" s="8">
        <f t="shared" si="8"/>
        <v>50.38</v>
      </c>
      <c r="M46" s="8">
        <f t="shared" si="8"/>
        <v>52.034999999999997</v>
      </c>
    </row>
    <row r="47" spans="1:16">
      <c r="B47" t="s">
        <v>220</v>
      </c>
      <c r="E47" s="8">
        <f>E37+E25+E17+E20+E11+E5+E4</f>
        <v>0</v>
      </c>
      <c r="F47" s="8">
        <f>F37+F25+F17+F20+F11+F5+F4</f>
        <v>601.4</v>
      </c>
      <c r="G47" s="8">
        <f t="shared" ref="G47:M47" si="9">G37+G25+G17+G20+G11+G5+G4</f>
        <v>-15.7</v>
      </c>
      <c r="H47" s="8">
        <f t="shared" si="9"/>
        <v>0</v>
      </c>
      <c r="I47" s="8">
        <f t="shared" si="9"/>
        <v>0</v>
      </c>
      <c r="J47" s="8">
        <f t="shared" si="9"/>
        <v>0</v>
      </c>
      <c r="K47" s="8">
        <f t="shared" si="9"/>
        <v>0</v>
      </c>
      <c r="L47" s="8">
        <f t="shared" si="9"/>
        <v>0</v>
      </c>
      <c r="M47" s="8">
        <f t="shared" si="9"/>
        <v>0</v>
      </c>
    </row>
    <row r="48" spans="1:16">
      <c r="B48" t="s">
        <v>223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A209A-DDC8-CE4C-8057-F02F94CAADB9}">
  <dimension ref="A1:O27"/>
  <sheetViews>
    <sheetView workbookViewId="0">
      <pane ySplit="7" topLeftCell="A8" activePane="bottomLeft" state="frozen"/>
      <selection pane="bottomLeft" activeCell="A8" sqref="A8"/>
    </sheetView>
  </sheetViews>
  <sheetFormatPr defaultColWidth="10.625" defaultRowHeight="15.95"/>
  <cols>
    <col min="1" max="1" width="14.625" customWidth="1"/>
    <col min="2" max="2" width="23" customWidth="1"/>
    <col min="3" max="3" width="21.375" customWidth="1"/>
    <col min="4" max="4" width="21.5" customWidth="1"/>
    <col min="5" max="5" width="14.875" customWidth="1"/>
    <col min="6" max="6" width="12.875" customWidth="1"/>
  </cols>
  <sheetData>
    <row r="1" spans="1:15">
      <c r="B1" t="s">
        <v>224</v>
      </c>
      <c r="C1" s="9" t="s">
        <v>225</v>
      </c>
      <c r="G1" t="s">
        <v>226</v>
      </c>
    </row>
    <row r="2" spans="1:15">
      <c r="B2" t="s">
        <v>227</v>
      </c>
      <c r="C2" s="9" t="s">
        <v>228</v>
      </c>
    </row>
    <row r="3" spans="1:15">
      <c r="C3" s="9"/>
      <c r="F3" s="119" t="s">
        <v>229</v>
      </c>
      <c r="G3" s="32" t="s">
        <v>230</v>
      </c>
      <c r="H3" s="35" t="s">
        <v>231</v>
      </c>
      <c r="I3" s="35" t="s">
        <v>232</v>
      </c>
      <c r="J3" s="36" t="s">
        <v>233</v>
      </c>
    </row>
    <row r="4" spans="1:15" ht="51.95" thickBot="1">
      <c r="B4" s="116" t="s">
        <v>234</v>
      </c>
      <c r="C4" s="28" t="s">
        <v>235</v>
      </c>
      <c r="D4" s="29" t="s">
        <v>236</v>
      </c>
      <c r="E4" s="30" t="s">
        <v>237</v>
      </c>
      <c r="F4" s="120"/>
      <c r="G4" s="37">
        <v>0.45</v>
      </c>
      <c r="H4" s="37">
        <v>0.25</v>
      </c>
      <c r="I4" s="37">
        <v>0.15</v>
      </c>
      <c r="J4" s="50">
        <v>0.15</v>
      </c>
    </row>
    <row r="5" spans="1:15" ht="17.100000000000001" thickTop="1">
      <c r="B5" s="31" t="s">
        <v>238</v>
      </c>
      <c r="C5" s="26">
        <v>0.9</v>
      </c>
      <c r="D5" s="26">
        <v>94</v>
      </c>
      <c r="E5" s="27">
        <f>IF(D5*3&gt;E12,E12,D5*3)</f>
        <v>217</v>
      </c>
      <c r="F5" s="121"/>
      <c r="G5" s="25">
        <f>G4*$C$5</f>
        <v>0.40500000000000003</v>
      </c>
      <c r="H5" s="25">
        <f t="shared" ref="H5:J5" si="0">H4*$C$5</f>
        <v>0.22500000000000001</v>
      </c>
      <c r="I5" s="25">
        <f t="shared" si="0"/>
        <v>0.13500000000000001</v>
      </c>
      <c r="J5" s="51">
        <f t="shared" si="0"/>
        <v>0.13500000000000001</v>
      </c>
    </row>
    <row r="7" spans="1:15">
      <c r="A7" t="s">
        <v>168</v>
      </c>
      <c r="B7" t="s">
        <v>169</v>
      </c>
      <c r="C7" t="s">
        <v>170</v>
      </c>
      <c r="D7" t="s">
        <v>171</v>
      </c>
      <c r="E7">
        <v>2020</v>
      </c>
      <c r="F7">
        <v>2021</v>
      </c>
      <c r="G7">
        <v>2022</v>
      </c>
      <c r="H7">
        <v>2023</v>
      </c>
      <c r="I7">
        <v>2024</v>
      </c>
      <c r="J7">
        <v>2025</v>
      </c>
      <c r="K7">
        <v>2026</v>
      </c>
      <c r="L7">
        <v>2027</v>
      </c>
    </row>
    <row r="8" spans="1:15" ht="68.099999999999994">
      <c r="A8" t="s">
        <v>173</v>
      </c>
      <c r="B8" s="4" t="s">
        <v>180</v>
      </c>
      <c r="C8" s="2" t="s">
        <v>181</v>
      </c>
      <c r="D8" s="2" t="s">
        <v>182</v>
      </c>
      <c r="E8">
        <v>30</v>
      </c>
      <c r="F8">
        <v>5</v>
      </c>
      <c r="G8">
        <v>0</v>
      </c>
      <c r="H8">
        <v>0</v>
      </c>
      <c r="I8">
        <v>0</v>
      </c>
      <c r="J8">
        <v>0</v>
      </c>
      <c r="K8">
        <v>0</v>
      </c>
      <c r="L8">
        <v>0</v>
      </c>
    </row>
    <row r="9" spans="1:15" ht="68.099999999999994">
      <c r="A9" t="s">
        <v>173</v>
      </c>
      <c r="B9" s="4" t="s">
        <v>183</v>
      </c>
      <c r="C9" s="2" t="s">
        <v>181</v>
      </c>
      <c r="D9" s="2" t="s">
        <v>182</v>
      </c>
      <c r="E9">
        <v>175</v>
      </c>
      <c r="F9">
        <v>1</v>
      </c>
      <c r="G9">
        <v>0</v>
      </c>
      <c r="H9">
        <v>0</v>
      </c>
      <c r="I9">
        <v>0</v>
      </c>
      <c r="J9">
        <v>0</v>
      </c>
      <c r="K9">
        <v>0</v>
      </c>
      <c r="L9">
        <v>0</v>
      </c>
    </row>
    <row r="10" spans="1:15" ht="68.099999999999994">
      <c r="A10" t="s">
        <v>173</v>
      </c>
      <c r="B10" s="4" t="s">
        <v>184</v>
      </c>
      <c r="C10" s="2" t="s">
        <v>181</v>
      </c>
      <c r="D10" s="2" t="s">
        <v>182</v>
      </c>
      <c r="E10">
        <v>12</v>
      </c>
      <c r="F10">
        <v>39</v>
      </c>
      <c r="G10">
        <v>0</v>
      </c>
      <c r="H10">
        <v>0</v>
      </c>
      <c r="I10">
        <v>0</v>
      </c>
      <c r="J10">
        <v>0</v>
      </c>
      <c r="K10">
        <v>0</v>
      </c>
      <c r="L10">
        <v>0</v>
      </c>
    </row>
    <row r="12" spans="1:15" ht="33.950000000000003" customHeight="1">
      <c r="A12" t="s">
        <v>34</v>
      </c>
      <c r="E12">
        <f>SUM(E8:E11)</f>
        <v>217</v>
      </c>
      <c r="F12">
        <f t="shared" ref="F12:L12" si="1">SUM(F8:F11)</f>
        <v>45</v>
      </c>
      <c r="G12">
        <f t="shared" si="1"/>
        <v>0</v>
      </c>
      <c r="H12">
        <f t="shared" si="1"/>
        <v>0</v>
      </c>
      <c r="I12">
        <f t="shared" si="1"/>
        <v>0</v>
      </c>
      <c r="J12">
        <f t="shared" si="1"/>
        <v>0</v>
      </c>
      <c r="K12">
        <f t="shared" si="1"/>
        <v>0</v>
      </c>
      <c r="L12">
        <f t="shared" si="1"/>
        <v>0</v>
      </c>
    </row>
    <row r="13" spans="1:15" ht="39.950000000000003" customHeight="1">
      <c r="A13" s="122" t="s">
        <v>239</v>
      </c>
      <c r="B13" s="122"/>
      <c r="C13">
        <v>12</v>
      </c>
      <c r="D13" s="4" t="s">
        <v>240</v>
      </c>
      <c r="E13">
        <f>E12*($C$13/12)</f>
        <v>217</v>
      </c>
      <c r="F13">
        <f>F12*(15/12)</f>
        <v>56.25</v>
      </c>
      <c r="G13">
        <f t="shared" ref="G13:L13" si="2">G12*(15/12)</f>
        <v>0</v>
      </c>
      <c r="H13">
        <f t="shared" si="2"/>
        <v>0</v>
      </c>
      <c r="I13">
        <f t="shared" si="2"/>
        <v>0</v>
      </c>
      <c r="J13">
        <f t="shared" si="2"/>
        <v>0</v>
      </c>
      <c r="K13">
        <f t="shared" si="2"/>
        <v>0</v>
      </c>
      <c r="L13">
        <f t="shared" si="2"/>
        <v>0</v>
      </c>
    </row>
    <row r="14" spans="1:15">
      <c r="A14" s="12"/>
      <c r="B14" s="10"/>
      <c r="C14" s="10"/>
    </row>
    <row r="15" spans="1:15">
      <c r="A15" t="s">
        <v>241</v>
      </c>
    </row>
    <row r="16" spans="1:15" ht="68.099999999999994">
      <c r="A16" s="15" t="s">
        <v>242</v>
      </c>
      <c r="B16" s="16" t="s">
        <v>243</v>
      </c>
      <c r="C16" s="15" t="s">
        <v>244</v>
      </c>
      <c r="D16" s="11" t="s">
        <v>245</v>
      </c>
      <c r="E16" s="15" t="s">
        <v>246</v>
      </c>
      <c r="F16" s="11" t="s">
        <v>247</v>
      </c>
      <c r="G16" s="15"/>
      <c r="K16" s="19"/>
      <c r="L16" s="117"/>
      <c r="M16" s="117"/>
      <c r="N16" s="118"/>
      <c r="O16" s="118"/>
    </row>
    <row r="17" spans="1:15">
      <c r="A17" s="17">
        <v>2020</v>
      </c>
      <c r="B17" s="115" t="s">
        <v>248</v>
      </c>
      <c r="C17" s="17">
        <v>2020</v>
      </c>
      <c r="F17" s="18"/>
      <c r="K17" s="20"/>
      <c r="L17" s="21"/>
      <c r="M17" s="21"/>
      <c r="N17" s="20"/>
      <c r="O17" s="20"/>
    </row>
    <row r="18" spans="1:15">
      <c r="A18" s="17">
        <v>2020</v>
      </c>
      <c r="B18" s="115" t="s">
        <v>249</v>
      </c>
      <c r="C18" s="17">
        <v>2020</v>
      </c>
      <c r="D18" s="18">
        <v>0.75</v>
      </c>
      <c r="E18" s="18">
        <f>D18*$E$13</f>
        <v>162.75</v>
      </c>
      <c r="F18" s="18">
        <f>E18*$G$5</f>
        <v>65.913750000000007</v>
      </c>
      <c r="K18" s="12"/>
      <c r="L18" s="22"/>
      <c r="M18" s="23"/>
      <c r="N18" s="24"/>
      <c r="O18" s="20"/>
    </row>
    <row r="19" spans="1:15">
      <c r="A19" s="17">
        <v>2020</v>
      </c>
      <c r="B19" s="115" t="s">
        <v>250</v>
      </c>
      <c r="C19" s="17">
        <v>2020</v>
      </c>
      <c r="D19" s="18">
        <f>(1-D18)</f>
        <v>0.25</v>
      </c>
      <c r="E19" s="18">
        <f>D19*$E$13</f>
        <v>54.25</v>
      </c>
      <c r="F19" s="18">
        <f>E19*$G$5+E18*$H$5</f>
        <v>58.59</v>
      </c>
      <c r="K19" s="12"/>
      <c r="L19" s="23"/>
      <c r="M19" s="23"/>
      <c r="N19" s="20"/>
      <c r="O19" s="20"/>
    </row>
    <row r="20" spans="1:15">
      <c r="A20" s="17">
        <v>2021</v>
      </c>
      <c r="B20" s="115" t="s">
        <v>251</v>
      </c>
      <c r="C20" s="17">
        <v>2020</v>
      </c>
      <c r="D20" s="18">
        <v>1</v>
      </c>
      <c r="E20" s="18">
        <f>D20*$F$13</f>
        <v>56.25</v>
      </c>
      <c r="F20" s="18">
        <f>E20*$G$5+E19*$H$5+E18*$I$5</f>
        <v>56.958749999999995</v>
      </c>
      <c r="K20" s="12"/>
      <c r="L20" s="23"/>
      <c r="M20" s="23"/>
      <c r="N20" s="20"/>
      <c r="O20" s="20"/>
    </row>
    <row r="21" spans="1:15">
      <c r="A21" s="17">
        <v>2021</v>
      </c>
      <c r="B21" s="115" t="s">
        <v>248</v>
      </c>
      <c r="C21" s="17">
        <v>2021</v>
      </c>
      <c r="D21" s="18">
        <v>0</v>
      </c>
      <c r="E21" s="18">
        <f>D21*$F$13</f>
        <v>0</v>
      </c>
      <c r="F21" s="18">
        <f>E21*$G$5+E20*$H$5+E19*$I$5+E18*$J$5</f>
        <v>41.951250000000002</v>
      </c>
      <c r="K21" s="12"/>
      <c r="L21" s="23"/>
      <c r="M21" s="23"/>
      <c r="N21" s="20"/>
      <c r="O21" s="20"/>
    </row>
    <row r="22" spans="1:15">
      <c r="A22" s="17">
        <v>2021</v>
      </c>
      <c r="B22" s="115" t="s">
        <v>249</v>
      </c>
      <c r="C22" s="17">
        <v>2021</v>
      </c>
      <c r="D22" s="18">
        <v>0</v>
      </c>
      <c r="E22" s="18">
        <f>D22*$F$13</f>
        <v>0</v>
      </c>
      <c r="F22" s="18">
        <f t="shared" ref="F22:F23" si="3">E22*$G$5+E21*$H$5+E20*$I$5+E19*$J$5</f>
        <v>14.9175</v>
      </c>
    </row>
    <row r="23" spans="1:15">
      <c r="A23" s="17">
        <v>2021</v>
      </c>
      <c r="B23" s="115" t="s">
        <v>250</v>
      </c>
      <c r="C23" s="17">
        <v>2021</v>
      </c>
      <c r="D23" s="18">
        <v>0</v>
      </c>
      <c r="E23" s="18">
        <f>D23*$F$13</f>
        <v>0</v>
      </c>
      <c r="F23" s="18">
        <f t="shared" si="3"/>
        <v>7.5937500000000009</v>
      </c>
    </row>
    <row r="24" spans="1:15">
      <c r="A24" s="17"/>
      <c r="B24" s="115"/>
      <c r="C24" s="17"/>
      <c r="E24" s="18"/>
      <c r="F24" s="18"/>
    </row>
    <row r="25" spans="1:15">
      <c r="D25" s="13"/>
      <c r="E25" s="14"/>
    </row>
    <row r="26" spans="1:15">
      <c r="D26" s="13"/>
      <c r="E26" s="14"/>
    </row>
    <row r="27" spans="1:15">
      <c r="D27" s="13"/>
      <c r="E27" s="14"/>
    </row>
  </sheetData>
  <mergeCells count="4">
    <mergeCell ref="L16:M16"/>
    <mergeCell ref="N16:O16"/>
    <mergeCell ref="F3:F5"/>
    <mergeCell ref="A13:B13"/>
  </mergeCells>
  <hyperlinks>
    <hyperlink ref="C2" r:id="rId1" xr:uid="{057C4878-24E2-1145-95FB-EC183D6B035A}"/>
    <hyperlink ref="C1" r:id="rId2" xr:uid="{FCA5D652-FF8B-1146-819C-B12DBA7D95AD}"/>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1607-AA10-8F42-9292-D020CCB5CD69}">
  <dimension ref="A1:K25"/>
  <sheetViews>
    <sheetView workbookViewId="0">
      <pane ySplit="6" topLeftCell="A7" activePane="bottomLeft" state="frozen"/>
      <selection pane="bottomLeft" activeCell="C8" sqref="C8"/>
    </sheetView>
  </sheetViews>
  <sheetFormatPr defaultColWidth="10.625" defaultRowHeight="15.95"/>
  <cols>
    <col min="1" max="1" width="14.625" customWidth="1"/>
    <col min="2" max="2" width="23" customWidth="1"/>
    <col min="3" max="3" width="21.375" customWidth="1"/>
    <col min="4" max="4" width="35.875" customWidth="1"/>
    <col min="5" max="5" width="14.875" customWidth="1"/>
    <col min="6" max="6" width="12.875" customWidth="1"/>
  </cols>
  <sheetData>
    <row r="1" spans="1:11">
      <c r="B1" t="s">
        <v>224</v>
      </c>
      <c r="C1" s="9" t="s">
        <v>225</v>
      </c>
      <c r="F1" t="s">
        <v>252</v>
      </c>
    </row>
    <row r="2" spans="1:11">
      <c r="C2" s="9"/>
      <c r="F2" s="119" t="s">
        <v>229</v>
      </c>
      <c r="G2" s="32" t="s">
        <v>230</v>
      </c>
      <c r="H2" s="35" t="s">
        <v>231</v>
      </c>
      <c r="I2" s="35" t="s">
        <v>232</v>
      </c>
      <c r="J2" s="36" t="s">
        <v>233</v>
      </c>
    </row>
    <row r="3" spans="1:11" ht="51.95" thickBot="1">
      <c r="B3" s="116" t="s">
        <v>234</v>
      </c>
      <c r="C3" s="28" t="s">
        <v>235</v>
      </c>
      <c r="D3" s="29" t="s">
        <v>253</v>
      </c>
      <c r="E3" s="30" t="s">
        <v>237</v>
      </c>
      <c r="F3" s="120"/>
      <c r="G3" s="37">
        <v>0.45</v>
      </c>
      <c r="H3" s="37">
        <v>0.25</v>
      </c>
      <c r="I3" s="37">
        <v>0.15</v>
      </c>
      <c r="J3" s="50">
        <v>0.15</v>
      </c>
    </row>
    <row r="4" spans="1:11" ht="17.100000000000001" thickTop="1">
      <c r="B4" s="31" t="s">
        <v>238</v>
      </c>
      <c r="C4" s="26">
        <v>0.9</v>
      </c>
      <c r="D4" s="26">
        <v>7</v>
      </c>
      <c r="E4" s="27">
        <v>10</v>
      </c>
      <c r="F4" s="121"/>
      <c r="G4" s="25">
        <f>G3*$C$4</f>
        <v>0.40500000000000003</v>
      </c>
      <c r="H4" s="25">
        <f t="shared" ref="H4:J4" si="0">H3*$C$4</f>
        <v>0.22500000000000001</v>
      </c>
      <c r="I4" s="25">
        <f t="shared" si="0"/>
        <v>0.13500000000000001</v>
      </c>
      <c r="J4" s="25">
        <f t="shared" si="0"/>
        <v>0.13500000000000001</v>
      </c>
    </row>
    <row r="6" spans="1:11">
      <c r="A6" t="s">
        <v>168</v>
      </c>
      <c r="B6" t="s">
        <v>169</v>
      </c>
      <c r="C6" t="s">
        <v>170</v>
      </c>
      <c r="D6" t="s">
        <v>171</v>
      </c>
      <c r="E6">
        <v>2020</v>
      </c>
      <c r="F6">
        <v>2021</v>
      </c>
      <c r="G6">
        <v>2022</v>
      </c>
      <c r="H6">
        <v>2023</v>
      </c>
      <c r="I6">
        <v>2024</v>
      </c>
      <c r="J6">
        <v>2025</v>
      </c>
    </row>
    <row r="7" spans="1:11" ht="51">
      <c r="A7" s="4" t="s">
        <v>198</v>
      </c>
      <c r="B7" s="4" t="s">
        <v>199</v>
      </c>
      <c r="C7" s="2" t="s">
        <v>200</v>
      </c>
      <c r="D7" s="2" t="s">
        <v>182</v>
      </c>
      <c r="E7">
        <v>9.8000000000000007</v>
      </c>
      <c r="F7">
        <v>8.6999999999999993</v>
      </c>
      <c r="H7">
        <v>0</v>
      </c>
      <c r="I7">
        <v>0</v>
      </c>
      <c r="J7">
        <v>0</v>
      </c>
    </row>
    <row r="8" spans="1:11" ht="51">
      <c r="A8" s="4" t="s">
        <v>198</v>
      </c>
      <c r="B8" s="4" t="s">
        <v>201</v>
      </c>
      <c r="C8" s="2" t="s">
        <v>200</v>
      </c>
      <c r="D8" s="2" t="s">
        <v>182</v>
      </c>
      <c r="E8">
        <v>0.63</v>
      </c>
      <c r="F8">
        <v>2.1</v>
      </c>
      <c r="H8">
        <v>0</v>
      </c>
      <c r="I8">
        <v>0</v>
      </c>
      <c r="J8">
        <v>0</v>
      </c>
    </row>
    <row r="10" spans="1:11" ht="33.950000000000003" customHeight="1">
      <c r="A10" t="s">
        <v>34</v>
      </c>
      <c r="E10">
        <f t="shared" ref="E10:J10" si="1">SUM(E7:E9)</f>
        <v>10.430000000000001</v>
      </c>
      <c r="F10">
        <f t="shared" si="1"/>
        <v>10.799999999999999</v>
      </c>
      <c r="G10">
        <f t="shared" si="1"/>
        <v>0</v>
      </c>
      <c r="H10">
        <f t="shared" si="1"/>
        <v>0</v>
      </c>
      <c r="I10">
        <f t="shared" si="1"/>
        <v>0</v>
      </c>
      <c r="J10">
        <f t="shared" si="1"/>
        <v>0</v>
      </c>
    </row>
    <row r="11" spans="1:11" ht="42.95" customHeight="1">
      <c r="A11" s="122" t="s">
        <v>239</v>
      </c>
      <c r="B11" s="122"/>
      <c r="C11">
        <v>12</v>
      </c>
      <c r="D11" t="s">
        <v>240</v>
      </c>
      <c r="E11">
        <f>E10*($C$11/12)</f>
        <v>10.430000000000001</v>
      </c>
      <c r="F11">
        <f>F10*(15/12)</f>
        <v>13.499999999999998</v>
      </c>
      <c r="G11">
        <f t="shared" ref="G11:J11" si="2">G10*(15/12)</f>
        <v>0</v>
      </c>
      <c r="H11">
        <f t="shared" si="2"/>
        <v>0</v>
      </c>
      <c r="I11">
        <f t="shared" si="2"/>
        <v>0</v>
      </c>
      <c r="J11">
        <f t="shared" si="2"/>
        <v>0</v>
      </c>
    </row>
    <row r="12" spans="1:11">
      <c r="A12" s="12"/>
      <c r="B12" s="10"/>
      <c r="C12" s="10"/>
    </row>
    <row r="13" spans="1:11">
      <c r="A13" t="s">
        <v>241</v>
      </c>
    </row>
    <row r="14" spans="1:11" ht="68.099999999999994">
      <c r="A14" s="15" t="s">
        <v>242</v>
      </c>
      <c r="B14" s="16" t="s">
        <v>243</v>
      </c>
      <c r="C14" s="15" t="s">
        <v>244</v>
      </c>
      <c r="D14" s="15" t="s">
        <v>245</v>
      </c>
      <c r="E14" s="15" t="s">
        <v>246</v>
      </c>
      <c r="F14" s="11" t="s">
        <v>247</v>
      </c>
      <c r="K14" s="114"/>
    </row>
    <row r="15" spans="1:11">
      <c r="A15" s="17">
        <v>2020</v>
      </c>
      <c r="B15" s="115" t="s">
        <v>248</v>
      </c>
      <c r="C15" s="17">
        <v>2020</v>
      </c>
      <c r="E15" s="18">
        <f>D15*$E$11</f>
        <v>0</v>
      </c>
      <c r="F15" s="18">
        <f>($C$4)*AVERAGE(E12:E15)</f>
        <v>0</v>
      </c>
      <c r="K15" s="21"/>
    </row>
    <row r="16" spans="1:11">
      <c r="A16" s="17">
        <v>2020</v>
      </c>
      <c r="B16" s="115" t="s">
        <v>249</v>
      </c>
      <c r="C16" s="17">
        <v>2020</v>
      </c>
      <c r="D16" s="18">
        <v>0.5</v>
      </c>
      <c r="E16" s="18">
        <f>D16*$E$11</f>
        <v>5.2150000000000007</v>
      </c>
      <c r="F16" s="18">
        <f>E16*$G$4</f>
        <v>2.1120750000000004</v>
      </c>
      <c r="K16" s="23"/>
    </row>
    <row r="17" spans="1:11">
      <c r="A17" s="17">
        <v>2020</v>
      </c>
      <c r="B17" s="115" t="s">
        <v>250</v>
      </c>
      <c r="C17" s="17">
        <v>2020</v>
      </c>
      <c r="D17" s="18">
        <v>0.5</v>
      </c>
      <c r="E17" s="18">
        <f t="shared" ref="E17:E22" si="3">D17*$E$11</f>
        <v>5.2150000000000007</v>
      </c>
      <c r="F17" s="18">
        <f>E17*$G$4+E16*$H$4</f>
        <v>3.2854500000000009</v>
      </c>
      <c r="K17" s="23"/>
    </row>
    <row r="18" spans="1:11">
      <c r="A18" s="17">
        <v>2021</v>
      </c>
      <c r="B18" s="115" t="s">
        <v>251</v>
      </c>
      <c r="C18" s="17">
        <v>2020</v>
      </c>
      <c r="D18" s="18">
        <v>0.5</v>
      </c>
      <c r="E18" s="18">
        <f>D18*$E$11</f>
        <v>5.2150000000000007</v>
      </c>
      <c r="F18" s="18">
        <f>E18*$G$4+E17*$H$4+E16*$I$4</f>
        <v>3.989475000000001</v>
      </c>
      <c r="K18" s="23"/>
    </row>
    <row r="19" spans="1:11">
      <c r="A19" s="17">
        <v>2021</v>
      </c>
      <c r="B19" s="115" t="s">
        <v>248</v>
      </c>
      <c r="C19" s="17">
        <v>2021</v>
      </c>
      <c r="D19" s="18">
        <v>0.5</v>
      </c>
      <c r="E19" s="18">
        <f t="shared" si="3"/>
        <v>5.2150000000000007</v>
      </c>
      <c r="F19" s="18">
        <f>E19*$G$4+E18*$H$4+E17*$I$4+E16*$J$4</f>
        <v>4.6935000000000011</v>
      </c>
      <c r="K19" s="23"/>
    </row>
    <row r="20" spans="1:11">
      <c r="A20" s="17">
        <v>2021</v>
      </c>
      <c r="B20" s="115" t="s">
        <v>249</v>
      </c>
      <c r="C20" s="17">
        <v>2021</v>
      </c>
      <c r="D20" s="18">
        <v>0</v>
      </c>
      <c r="E20" s="18">
        <f t="shared" si="3"/>
        <v>0</v>
      </c>
      <c r="F20" s="18">
        <f>E20*$G$4+E19*$H$4+E18*$I$4+E17*$J$4</f>
        <v>2.5814250000000003</v>
      </c>
      <c r="K20" s="20"/>
    </row>
    <row r="21" spans="1:11">
      <c r="A21" s="17">
        <v>2021</v>
      </c>
      <c r="B21" s="115" t="s">
        <v>250</v>
      </c>
      <c r="C21" s="17">
        <v>2021</v>
      </c>
      <c r="D21" s="18">
        <v>0</v>
      </c>
      <c r="E21" s="18">
        <f t="shared" si="3"/>
        <v>0</v>
      </c>
      <c r="F21" s="18">
        <f>E21*$G$4+E20*$H$4+E19*$I$4+E18*$J$4</f>
        <v>1.4080500000000002</v>
      </c>
      <c r="K21" s="20"/>
    </row>
    <row r="22" spans="1:11">
      <c r="A22" s="17">
        <v>2022</v>
      </c>
      <c r="B22" s="115" t="s">
        <v>251</v>
      </c>
      <c r="C22" s="17">
        <v>2021</v>
      </c>
      <c r="D22" s="18">
        <v>0</v>
      </c>
      <c r="E22" s="18">
        <f t="shared" si="3"/>
        <v>0</v>
      </c>
      <c r="F22" s="18">
        <f t="shared" ref="F22" si="4">E22*$G$4+E21*$H$4+E20*$I$4+E19*$J$4</f>
        <v>0.70402500000000012</v>
      </c>
      <c r="K22" s="20"/>
    </row>
    <row r="23" spans="1:11">
      <c r="D23" s="13"/>
      <c r="E23" s="14"/>
    </row>
    <row r="24" spans="1:11">
      <c r="D24" s="13"/>
      <c r="E24" s="14"/>
    </row>
    <row r="25" spans="1:11">
      <c r="D25" s="13"/>
      <c r="E25" s="14"/>
    </row>
  </sheetData>
  <mergeCells count="2">
    <mergeCell ref="F2:F4"/>
    <mergeCell ref="A11:B11"/>
  </mergeCells>
  <hyperlinks>
    <hyperlink ref="C1" r:id="rId1" xr:uid="{6A3E77FC-EF15-234F-B67C-E06614F6CD09}"/>
  </hyperlinks>
  <pageMargins left="0.7" right="0.7" top="0.75" bottom="0.75" header="0.3" footer="0.3"/>
  <ignoredErrors>
    <ignoredError sqref="H10:J10 G10" formulaRange="1"/>
  </ignoredErrors>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E02C4-6FE4-DA4D-AF88-28F8A80E17A4}">
  <dimension ref="A1:O27"/>
  <sheetViews>
    <sheetView workbookViewId="0">
      <pane ySplit="7" topLeftCell="A8" activePane="bottomLeft" state="frozen"/>
      <selection pane="bottomLeft" activeCell="C8" sqref="C8"/>
    </sheetView>
  </sheetViews>
  <sheetFormatPr defaultColWidth="10.625" defaultRowHeight="15.95"/>
  <cols>
    <col min="1" max="1" width="14.625" customWidth="1"/>
    <col min="2" max="2" width="23" customWidth="1"/>
    <col min="3" max="3" width="21.375" customWidth="1"/>
    <col min="4" max="4" width="24.875" customWidth="1"/>
    <col min="5" max="5" width="14.875" customWidth="1"/>
    <col min="6" max="6" width="12.875" customWidth="1"/>
  </cols>
  <sheetData>
    <row r="1" spans="1:15">
      <c r="B1" t="s">
        <v>254</v>
      </c>
      <c r="C1" s="9" t="s">
        <v>255</v>
      </c>
    </row>
    <row r="2" spans="1:15">
      <c r="B2" t="s">
        <v>256</v>
      </c>
      <c r="C2" s="9" t="s">
        <v>257</v>
      </c>
      <c r="K2" s="47"/>
      <c r="L2" s="47"/>
      <c r="M2" s="47"/>
      <c r="N2" s="47"/>
      <c r="O2" s="47"/>
    </row>
    <row r="3" spans="1:15">
      <c r="C3" s="9"/>
      <c r="F3" s="119" t="s">
        <v>229</v>
      </c>
      <c r="G3" s="32" t="s">
        <v>230</v>
      </c>
      <c r="H3" s="35" t="s">
        <v>231</v>
      </c>
      <c r="I3" s="35" t="s">
        <v>232</v>
      </c>
      <c r="J3" s="36" t="s">
        <v>233</v>
      </c>
      <c r="K3" s="48"/>
      <c r="L3" s="48"/>
      <c r="M3" s="48"/>
      <c r="N3" s="48"/>
      <c r="O3" s="47"/>
    </row>
    <row r="4" spans="1:15" ht="57" customHeight="1" thickBot="1">
      <c r="B4" s="116" t="s">
        <v>234</v>
      </c>
      <c r="C4" s="28" t="s">
        <v>235</v>
      </c>
      <c r="D4" s="29" t="s">
        <v>258</v>
      </c>
      <c r="E4" s="30" t="s">
        <v>237</v>
      </c>
      <c r="F4" s="120"/>
      <c r="G4" s="37">
        <v>0.45</v>
      </c>
      <c r="H4" s="37">
        <v>0.25</v>
      </c>
      <c r="I4" s="37">
        <v>0.15</v>
      </c>
      <c r="J4" s="50">
        <v>0.15</v>
      </c>
      <c r="K4" s="49"/>
      <c r="L4" s="49"/>
      <c r="M4" s="49"/>
      <c r="N4" s="49"/>
      <c r="O4" s="47"/>
    </row>
    <row r="5" spans="1:15" ht="17.100000000000001" thickTop="1">
      <c r="B5" s="31" t="s">
        <v>238</v>
      </c>
      <c r="C5" s="26">
        <v>0.9</v>
      </c>
      <c r="D5" s="26">
        <v>267</v>
      </c>
      <c r="E5" s="27">
        <v>270</v>
      </c>
      <c r="F5" s="121"/>
      <c r="G5" s="25">
        <f>G4*$C$5</f>
        <v>0.40500000000000003</v>
      </c>
      <c r="H5" s="25">
        <f t="shared" ref="H5:J5" si="0">H4*$C$5</f>
        <v>0.22500000000000001</v>
      </c>
      <c r="I5" s="25">
        <f t="shared" si="0"/>
        <v>0.13500000000000001</v>
      </c>
      <c r="J5" s="51">
        <f t="shared" si="0"/>
        <v>0.13500000000000001</v>
      </c>
      <c r="K5" s="47"/>
      <c r="L5" s="47"/>
      <c r="M5" s="47"/>
      <c r="N5" s="47"/>
      <c r="O5" s="47"/>
    </row>
    <row r="6" spans="1:15">
      <c r="K6" s="47"/>
      <c r="L6" s="47"/>
      <c r="M6" s="47"/>
      <c r="N6" s="47"/>
      <c r="O6" s="47"/>
    </row>
    <row r="7" spans="1:15">
      <c r="A7" t="s">
        <v>168</v>
      </c>
      <c r="B7" t="s">
        <v>169</v>
      </c>
      <c r="C7" t="s">
        <v>170</v>
      </c>
      <c r="D7" t="s">
        <v>171</v>
      </c>
      <c r="E7">
        <v>2020</v>
      </c>
      <c r="F7">
        <v>2021</v>
      </c>
      <c r="G7">
        <v>2022</v>
      </c>
      <c r="H7">
        <v>2023</v>
      </c>
      <c r="I7">
        <v>2024</v>
      </c>
      <c r="J7">
        <v>2025</v>
      </c>
      <c r="K7">
        <v>2026</v>
      </c>
    </row>
    <row r="8" spans="1:15" ht="68.099999999999994">
      <c r="A8" t="s">
        <v>173</v>
      </c>
      <c r="B8" t="s">
        <v>185</v>
      </c>
      <c r="C8" s="2" t="s">
        <v>186</v>
      </c>
      <c r="D8" s="2" t="s">
        <v>182</v>
      </c>
      <c r="E8">
        <v>139</v>
      </c>
      <c r="F8">
        <v>12</v>
      </c>
      <c r="G8">
        <v>0</v>
      </c>
      <c r="H8">
        <v>0</v>
      </c>
      <c r="I8">
        <v>0</v>
      </c>
      <c r="J8">
        <v>0</v>
      </c>
      <c r="K8">
        <v>0</v>
      </c>
      <c r="M8">
        <v>0</v>
      </c>
    </row>
    <row r="9" spans="1:15" ht="68.099999999999994">
      <c r="A9" t="s">
        <v>173</v>
      </c>
      <c r="B9" t="s">
        <v>185</v>
      </c>
      <c r="C9" s="2" t="s">
        <v>186</v>
      </c>
      <c r="D9" s="2" t="s">
        <v>217</v>
      </c>
      <c r="E9">
        <v>131</v>
      </c>
      <c r="F9">
        <v>11</v>
      </c>
      <c r="G9">
        <v>0</v>
      </c>
      <c r="H9">
        <v>0</v>
      </c>
      <c r="I9">
        <v>0</v>
      </c>
      <c r="J9">
        <v>0</v>
      </c>
      <c r="K9">
        <v>0</v>
      </c>
      <c r="L9">
        <v>0</v>
      </c>
      <c r="M9">
        <v>0</v>
      </c>
    </row>
    <row r="11" spans="1:15" ht="33.950000000000003" customHeight="1">
      <c r="A11" t="s">
        <v>259</v>
      </c>
      <c r="E11">
        <f>SUM(E8:E10)</f>
        <v>270</v>
      </c>
      <c r="F11">
        <f t="shared" ref="F11:J11" si="1">SUM(F8:F10)</f>
        <v>23</v>
      </c>
      <c r="G11">
        <f t="shared" si="1"/>
        <v>0</v>
      </c>
      <c r="H11">
        <f t="shared" si="1"/>
        <v>0</v>
      </c>
      <c r="I11">
        <f t="shared" si="1"/>
        <v>0</v>
      </c>
      <c r="J11">
        <f t="shared" si="1"/>
        <v>0</v>
      </c>
      <c r="K11">
        <f t="shared" ref="K11:L11" si="2">SUM(K8:K10)</f>
        <v>0</v>
      </c>
      <c r="L11">
        <f t="shared" si="2"/>
        <v>0</v>
      </c>
    </row>
    <row r="12" spans="1:15" ht="33.950000000000003" customHeight="1">
      <c r="A12" t="s">
        <v>260</v>
      </c>
      <c r="C12" s="10">
        <v>0</v>
      </c>
      <c r="D12" t="s">
        <v>261</v>
      </c>
      <c r="E12">
        <f>($C$12)*E11/2</f>
        <v>0</v>
      </c>
      <c r="F12">
        <f>($C$12)*E11/2</f>
        <v>0</v>
      </c>
    </row>
    <row r="13" spans="1:15" ht="33.950000000000003" customHeight="1">
      <c r="A13" t="s">
        <v>262</v>
      </c>
      <c r="E13">
        <f>SUM(E11:E12)</f>
        <v>270</v>
      </c>
      <c r="F13">
        <f>SUM(F11:F12)</f>
        <v>23</v>
      </c>
    </row>
    <row r="14" spans="1:15">
      <c r="A14" s="12"/>
      <c r="B14" s="10"/>
      <c r="C14" s="10"/>
    </row>
    <row r="15" spans="1:15">
      <c r="A15" t="s">
        <v>241</v>
      </c>
    </row>
    <row r="16" spans="1:15" ht="68.099999999999994">
      <c r="A16" s="15" t="s">
        <v>242</v>
      </c>
      <c r="B16" s="16" t="s">
        <v>243</v>
      </c>
      <c r="C16" s="15" t="s">
        <v>244</v>
      </c>
      <c r="D16" s="11" t="s">
        <v>245</v>
      </c>
      <c r="E16" s="15" t="s">
        <v>246</v>
      </c>
      <c r="F16" s="11" t="s">
        <v>263</v>
      </c>
      <c r="K16" s="114"/>
    </row>
    <row r="17" spans="1:11">
      <c r="A17" s="17">
        <v>2020</v>
      </c>
      <c r="B17" s="115" t="s">
        <v>248</v>
      </c>
      <c r="C17" s="17">
        <v>2020</v>
      </c>
      <c r="E17" s="18"/>
      <c r="F17" s="18"/>
      <c r="K17" s="21"/>
    </row>
    <row r="18" spans="1:11">
      <c r="A18" s="17">
        <v>2020</v>
      </c>
      <c r="B18" s="115" t="s">
        <v>249</v>
      </c>
      <c r="C18" s="17">
        <v>2020</v>
      </c>
      <c r="D18" s="18">
        <v>0.95</v>
      </c>
      <c r="E18" s="18">
        <f>$E$11*D18</f>
        <v>256.5</v>
      </c>
      <c r="F18" s="18">
        <f>E18*$G$5</f>
        <v>103.88250000000001</v>
      </c>
      <c r="K18" s="23"/>
    </row>
    <row r="19" spans="1:11">
      <c r="A19" s="17">
        <v>2020</v>
      </c>
      <c r="B19" s="115" t="s">
        <v>250</v>
      </c>
      <c r="C19" s="17">
        <v>2020</v>
      </c>
      <c r="D19" s="18">
        <f>(1-D18)</f>
        <v>5.0000000000000044E-2</v>
      </c>
      <c r="E19" s="18">
        <f>$E$11*D19</f>
        <v>13.500000000000012</v>
      </c>
      <c r="F19" s="18">
        <f>E19*$G$5+E18*$H$5</f>
        <v>63.180000000000007</v>
      </c>
      <c r="K19" s="23"/>
    </row>
    <row r="20" spans="1:11">
      <c r="A20" s="17">
        <v>2021</v>
      </c>
      <c r="B20" s="115" t="s">
        <v>251</v>
      </c>
      <c r="C20" s="17">
        <v>2020</v>
      </c>
      <c r="D20" s="18">
        <v>0</v>
      </c>
      <c r="E20" s="18">
        <f>$F$13*D20</f>
        <v>0</v>
      </c>
      <c r="F20" s="18">
        <f>E20*$G$5+E19*$H$5+E18*$I$5</f>
        <v>37.665000000000006</v>
      </c>
      <c r="K20" s="23"/>
    </row>
    <row r="21" spans="1:11">
      <c r="A21" s="17">
        <v>2021</v>
      </c>
      <c r="B21" s="115" t="s">
        <v>248</v>
      </c>
      <c r="C21" s="17">
        <v>2021</v>
      </c>
      <c r="D21" s="18">
        <v>0.5</v>
      </c>
      <c r="E21" s="18">
        <f t="shared" ref="E21:E24" si="3">$F$13*D21</f>
        <v>11.5</v>
      </c>
      <c r="F21" s="18">
        <f>E21*$G$5+E20*$H$5+E19*$I$5+E18*$J$5</f>
        <v>41.107500000000009</v>
      </c>
      <c r="K21" s="23"/>
    </row>
    <row r="22" spans="1:11">
      <c r="A22" s="17">
        <v>2021</v>
      </c>
      <c r="B22" s="115" t="s">
        <v>249</v>
      </c>
      <c r="C22" s="17">
        <v>2021</v>
      </c>
      <c r="D22" s="18">
        <v>0.5</v>
      </c>
      <c r="E22" s="18">
        <f t="shared" si="3"/>
        <v>11.5</v>
      </c>
      <c r="F22" s="18">
        <f>E22*$G$5+E21*$H$5+E20*$I$5+E19*$J$5</f>
        <v>9.0675000000000026</v>
      </c>
      <c r="K22" s="20"/>
    </row>
    <row r="23" spans="1:11">
      <c r="A23" s="17">
        <v>2021</v>
      </c>
      <c r="B23" s="115" t="s">
        <v>250</v>
      </c>
      <c r="C23" s="17">
        <v>2021</v>
      </c>
      <c r="D23" s="18">
        <v>0</v>
      </c>
      <c r="E23" s="18">
        <f t="shared" si="3"/>
        <v>0</v>
      </c>
      <c r="F23" s="18">
        <f>E23*$G$5+E22*$H$5+E21*$I$5+E20*$J$5</f>
        <v>4.1400000000000006</v>
      </c>
      <c r="K23" s="20"/>
    </row>
    <row r="24" spans="1:11">
      <c r="A24" s="17">
        <v>2022</v>
      </c>
      <c r="B24" s="115" t="s">
        <v>251</v>
      </c>
      <c r="C24" s="17">
        <v>2021</v>
      </c>
      <c r="D24" s="18">
        <v>0</v>
      </c>
      <c r="E24" s="18">
        <f t="shared" si="3"/>
        <v>0</v>
      </c>
      <c r="F24" s="18">
        <f>E24*$G$5+E23*$H$5+E22*$I$5+E21*$J$5</f>
        <v>3.1050000000000004</v>
      </c>
      <c r="K24" s="20"/>
    </row>
    <row r="25" spans="1:11">
      <c r="D25" s="13"/>
      <c r="E25" s="14"/>
    </row>
    <row r="26" spans="1:11">
      <c r="D26" s="13"/>
      <c r="E26" s="14"/>
    </row>
    <row r="27" spans="1:11">
      <c r="D27" s="13"/>
      <c r="E27" s="14"/>
    </row>
  </sheetData>
  <mergeCells count="1">
    <mergeCell ref="F3:F5"/>
  </mergeCells>
  <hyperlinks>
    <hyperlink ref="C1" r:id="rId1" location="savings-3" display="https://www.businessinsider.com/americans-are-spending-their-stimulus-checks-on-food-video-games-2020-4 - savings-3" xr:uid="{1BD6C6A6-FFF2-2D49-9111-C53509E712E5}"/>
    <hyperlink ref="C2" r:id="rId2" xr:uid="{1CD969B7-DEC4-034D-A011-12F313034996}"/>
  </hyperlinks>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DD942-5CE6-AE48-8253-755D7ECDAFAD}">
  <dimension ref="A1:P66"/>
  <sheetViews>
    <sheetView workbookViewId="0">
      <pane ySplit="8" topLeftCell="A10" activePane="bottomLeft" state="frozen"/>
      <selection pane="bottomLeft" activeCell="E19" sqref="E19"/>
    </sheetView>
  </sheetViews>
  <sheetFormatPr defaultColWidth="10.625" defaultRowHeight="15.95"/>
  <cols>
    <col min="1" max="1" width="14.625" customWidth="1"/>
    <col min="2" max="2" width="23" customWidth="1"/>
    <col min="3" max="3" width="21.375" customWidth="1"/>
    <col min="4" max="4" width="32.125" customWidth="1"/>
    <col min="5" max="5" width="14.875" customWidth="1"/>
    <col min="6" max="6" width="18.375" customWidth="1"/>
    <col min="7" max="7" width="13" customWidth="1"/>
    <col min="8" max="8" width="11.125" bestFit="1" customWidth="1"/>
    <col min="10" max="10" width="13.375" bestFit="1" customWidth="1"/>
    <col min="11" max="11" width="20.625" customWidth="1"/>
    <col min="12" max="12" width="15.5" customWidth="1"/>
    <col min="13" max="13" width="18.125" customWidth="1"/>
  </cols>
  <sheetData>
    <row r="1" spans="1:14">
      <c r="B1" t="s">
        <v>264</v>
      </c>
      <c r="C1" s="9" t="s">
        <v>265</v>
      </c>
    </row>
    <row r="2" spans="1:14">
      <c r="B2" t="s">
        <v>266</v>
      </c>
      <c r="C2" s="9" t="s">
        <v>267</v>
      </c>
    </row>
    <row r="3" spans="1:14">
      <c r="B3" t="s">
        <v>224</v>
      </c>
      <c r="C3" s="9" t="s">
        <v>225</v>
      </c>
    </row>
    <row r="4" spans="1:14">
      <c r="C4" s="9"/>
      <c r="F4" s="119" t="s">
        <v>229</v>
      </c>
      <c r="G4" s="32" t="s">
        <v>230</v>
      </c>
      <c r="H4" s="35" t="s">
        <v>231</v>
      </c>
      <c r="I4" s="35" t="s">
        <v>232</v>
      </c>
      <c r="J4" s="36" t="s">
        <v>233</v>
      </c>
      <c r="K4" s="32" t="s">
        <v>268</v>
      </c>
      <c r="L4" s="35" t="s">
        <v>269</v>
      </c>
      <c r="M4" s="35" t="s">
        <v>270</v>
      </c>
      <c r="N4" s="36" t="s">
        <v>271</v>
      </c>
    </row>
    <row r="5" spans="1:14" ht="57" customHeight="1" thickBot="1">
      <c r="B5" s="116" t="s">
        <v>234</v>
      </c>
      <c r="C5" s="28" t="s">
        <v>235</v>
      </c>
      <c r="D5" s="29" t="s">
        <v>272</v>
      </c>
      <c r="E5" s="30" t="s">
        <v>237</v>
      </c>
      <c r="F5" s="120"/>
      <c r="G5" s="37">
        <v>0.16</v>
      </c>
      <c r="H5" s="37">
        <v>0.16</v>
      </c>
      <c r="I5" s="37">
        <v>0.09</v>
      </c>
      <c r="J5" s="37">
        <v>0.09</v>
      </c>
      <c r="K5" s="37">
        <v>0.09</v>
      </c>
      <c r="L5" s="37">
        <v>0.09</v>
      </c>
      <c r="M5" s="37">
        <v>0.09</v>
      </c>
      <c r="N5" s="37">
        <v>0.09</v>
      </c>
    </row>
    <row r="6" spans="1:14" ht="17.100000000000001" thickTop="1">
      <c r="B6" s="31" t="s">
        <v>238</v>
      </c>
      <c r="C6" s="26">
        <v>0.47499999999999998</v>
      </c>
      <c r="D6" s="26">
        <v>511.6</v>
      </c>
      <c r="E6" s="27">
        <v>570</v>
      </c>
      <c r="F6" s="121"/>
      <c r="G6" s="25">
        <f>G5*$C$6</f>
        <v>7.5999999999999998E-2</v>
      </c>
      <c r="H6" s="25">
        <f t="shared" ref="H6:J6" si="0">H5*$C$6</f>
        <v>7.5999999999999998E-2</v>
      </c>
      <c r="I6" s="25">
        <f t="shared" si="0"/>
        <v>4.2749999999999996E-2</v>
      </c>
      <c r="J6" s="25">
        <f t="shared" si="0"/>
        <v>4.2749999999999996E-2</v>
      </c>
      <c r="K6" s="25">
        <f>K5*$C$6</f>
        <v>4.2749999999999996E-2</v>
      </c>
      <c r="L6" s="25">
        <f t="shared" ref="L6:N6" si="1">L5*$C$6</f>
        <v>4.2749999999999996E-2</v>
      </c>
      <c r="M6" s="25">
        <f t="shared" si="1"/>
        <v>4.2749999999999996E-2</v>
      </c>
      <c r="N6" s="25">
        <f t="shared" si="1"/>
        <v>4.2749999999999996E-2</v>
      </c>
    </row>
    <row r="8" spans="1:14">
      <c r="A8" t="s">
        <v>168</v>
      </c>
      <c r="B8" t="s">
        <v>169</v>
      </c>
      <c r="C8" t="s">
        <v>170</v>
      </c>
      <c r="D8" t="s">
        <v>171</v>
      </c>
      <c r="E8">
        <v>2020</v>
      </c>
      <c r="F8">
        <v>2021</v>
      </c>
      <c r="G8">
        <v>2022</v>
      </c>
      <c r="H8">
        <v>2023</v>
      </c>
      <c r="I8">
        <v>2024</v>
      </c>
      <c r="J8">
        <v>2025</v>
      </c>
      <c r="K8">
        <v>2026</v>
      </c>
    </row>
    <row r="9" spans="1:14" ht="63.95">
      <c r="A9" t="s">
        <v>173</v>
      </c>
      <c r="B9" t="s">
        <v>174</v>
      </c>
      <c r="C9" s="2" t="s">
        <v>175</v>
      </c>
      <c r="D9" s="2" t="s">
        <v>176</v>
      </c>
      <c r="E9">
        <v>377</v>
      </c>
      <c r="F9">
        <v>0</v>
      </c>
      <c r="G9">
        <v>0</v>
      </c>
      <c r="H9">
        <v>0</v>
      </c>
      <c r="I9">
        <v>0</v>
      </c>
      <c r="J9">
        <v>0</v>
      </c>
      <c r="K9">
        <v>0</v>
      </c>
      <c r="L9">
        <v>0</v>
      </c>
    </row>
    <row r="10" spans="1:14" ht="102">
      <c r="A10" s="4" t="s">
        <v>177</v>
      </c>
      <c r="B10" t="s">
        <v>178</v>
      </c>
      <c r="C10" s="2" t="s">
        <v>179</v>
      </c>
      <c r="D10" s="2" t="s">
        <v>176</v>
      </c>
      <c r="E10">
        <v>321.3</v>
      </c>
      <c r="F10">
        <v>0</v>
      </c>
      <c r="G10">
        <v>0</v>
      </c>
      <c r="H10">
        <v>0</v>
      </c>
      <c r="I10">
        <v>0</v>
      </c>
      <c r="J10">
        <v>0</v>
      </c>
      <c r="K10">
        <v>0</v>
      </c>
      <c r="L10">
        <v>0</v>
      </c>
    </row>
    <row r="12" spans="1:14" ht="33.950000000000003" customHeight="1">
      <c r="A12" t="s">
        <v>273</v>
      </c>
      <c r="E12">
        <f t="shared" ref="E12:J12" si="2">SUM(E9:E11)</f>
        <v>698.3</v>
      </c>
      <c r="F12">
        <f t="shared" si="2"/>
        <v>0</v>
      </c>
      <c r="G12">
        <f t="shared" si="2"/>
        <v>0</v>
      </c>
      <c r="H12">
        <f t="shared" si="2"/>
        <v>0</v>
      </c>
      <c r="I12">
        <f t="shared" si="2"/>
        <v>0</v>
      </c>
      <c r="J12">
        <f t="shared" si="2"/>
        <v>0</v>
      </c>
      <c r="K12">
        <f t="shared" ref="K12:L12" si="3">SUM(K9:K11)</f>
        <v>0</v>
      </c>
      <c r="L12">
        <f t="shared" si="3"/>
        <v>0</v>
      </c>
    </row>
    <row r="13" spans="1:14" ht="33.950000000000003" customHeight="1">
      <c r="A13" t="s">
        <v>274</v>
      </c>
      <c r="C13" s="10">
        <v>0</v>
      </c>
      <c r="D13" t="s">
        <v>261</v>
      </c>
      <c r="E13">
        <f>($C$13)*E12/2</f>
        <v>0</v>
      </c>
      <c r="F13">
        <f>($C$13)*E12/2</f>
        <v>0</v>
      </c>
    </row>
    <row r="14" spans="1:14" ht="33.950000000000003" customHeight="1">
      <c r="A14" t="s">
        <v>262</v>
      </c>
      <c r="E14">
        <f>SUM(E12:E13)</f>
        <v>698.3</v>
      </c>
      <c r="F14">
        <f>SUM(F12:F13)</f>
        <v>0</v>
      </c>
    </row>
    <row r="15" spans="1:14">
      <c r="A15" s="12"/>
      <c r="B15" s="10"/>
      <c r="C15" s="10"/>
    </row>
    <row r="16" spans="1:14">
      <c r="A16" t="s">
        <v>241</v>
      </c>
    </row>
    <row r="17" spans="1:11" ht="33.950000000000003">
      <c r="A17" s="15" t="s">
        <v>242</v>
      </c>
      <c r="B17" s="16" t="s">
        <v>243</v>
      </c>
      <c r="C17" s="15" t="s">
        <v>244</v>
      </c>
      <c r="D17" s="11" t="s">
        <v>245</v>
      </c>
      <c r="E17" s="15" t="s">
        <v>246</v>
      </c>
      <c r="F17" s="11" t="s">
        <v>263</v>
      </c>
      <c r="K17" s="114"/>
    </row>
    <row r="18" spans="1:11">
      <c r="A18" s="17">
        <v>2020</v>
      </c>
      <c r="B18" s="115" t="s">
        <v>248</v>
      </c>
      <c r="C18" s="17">
        <v>2020</v>
      </c>
      <c r="E18" s="18"/>
      <c r="F18" s="18"/>
      <c r="K18" s="21"/>
    </row>
    <row r="19" spans="1:11">
      <c r="A19" s="17">
        <v>2020</v>
      </c>
      <c r="B19" s="115" t="s">
        <v>249</v>
      </c>
      <c r="C19" s="17">
        <v>2020</v>
      </c>
      <c r="D19" s="18">
        <f>$E$6/E14</f>
        <v>0.81626807962193904</v>
      </c>
      <c r="E19" s="18">
        <f>$E$12*D19</f>
        <v>570</v>
      </c>
      <c r="F19" s="18">
        <f>E19*$G$6</f>
        <v>43.32</v>
      </c>
      <c r="K19" s="23"/>
    </row>
    <row r="20" spans="1:11">
      <c r="A20" s="17">
        <v>2020</v>
      </c>
      <c r="B20" s="115" t="s">
        <v>250</v>
      </c>
      <c r="C20" s="17">
        <v>2020</v>
      </c>
      <c r="D20" s="18">
        <f>(1-D19)</f>
        <v>0.18373192037806096</v>
      </c>
      <c r="E20" s="18">
        <f>$E$12*D20</f>
        <v>128.29999999999995</v>
      </c>
      <c r="F20" s="18">
        <f>E20*$G$6+E19*$H$6</f>
        <v>53.070799999999998</v>
      </c>
      <c r="K20" s="23"/>
    </row>
    <row r="21" spans="1:11">
      <c r="A21" s="17">
        <v>2021</v>
      </c>
      <c r="B21" s="115" t="s">
        <v>251</v>
      </c>
      <c r="C21" s="17">
        <v>2020</v>
      </c>
      <c r="D21" s="18">
        <f>1/4</f>
        <v>0.25</v>
      </c>
      <c r="E21" s="18">
        <f>$F$14*D21</f>
        <v>0</v>
      </c>
      <c r="F21" s="18">
        <f>E21*$G$6+E20*$H$6+E19*$I$6+E18*$J$6</f>
        <v>34.118299999999991</v>
      </c>
      <c r="K21" s="23"/>
    </row>
    <row r="22" spans="1:11">
      <c r="A22" s="17">
        <v>2021</v>
      </c>
      <c r="B22" s="115" t="s">
        <v>248</v>
      </c>
      <c r="C22" s="17">
        <v>2021</v>
      </c>
      <c r="D22" s="18">
        <v>0.25</v>
      </c>
      <c r="E22" s="18">
        <f t="shared" ref="E22:E25" si="4">$F$14*D22</f>
        <v>0</v>
      </c>
      <c r="F22" s="18">
        <f>E22*$G$6+E21*$H$6+E20*$I$6+E19*$J$6</f>
        <v>29.852324999999993</v>
      </c>
      <c r="K22" s="23"/>
    </row>
    <row r="23" spans="1:11">
      <c r="A23" s="17">
        <v>2021</v>
      </c>
      <c r="B23" s="115" t="s">
        <v>249</v>
      </c>
      <c r="C23" s="17">
        <v>2021</v>
      </c>
      <c r="D23" s="18">
        <v>0.25</v>
      </c>
      <c r="E23" s="18">
        <f t="shared" si="4"/>
        <v>0</v>
      </c>
      <c r="F23" s="18">
        <f>E23*$G$6+E22*$H$6+E21*$I$6+E20*$J$6+E19*$K$6</f>
        <v>29.852324999999993</v>
      </c>
      <c r="K23" s="20"/>
    </row>
    <row r="24" spans="1:11">
      <c r="A24" s="17">
        <v>2021</v>
      </c>
      <c r="B24" s="115" t="s">
        <v>250</v>
      </c>
      <c r="C24" s="17">
        <v>2021</v>
      </c>
      <c r="D24" s="18">
        <v>0.25</v>
      </c>
      <c r="E24" s="18">
        <f t="shared" si="4"/>
        <v>0</v>
      </c>
      <c r="F24" s="18">
        <f>E24*$G$6+E23*$H$6+E22*$I$6+E21*$J$6+E20*K6+E19*L6</f>
        <v>29.852324999999993</v>
      </c>
      <c r="K24" s="20"/>
    </row>
    <row r="25" spans="1:11">
      <c r="A25" s="17">
        <v>2022</v>
      </c>
      <c r="B25" s="115" t="s">
        <v>251</v>
      </c>
      <c r="C25" s="17">
        <v>2021</v>
      </c>
      <c r="D25" s="18">
        <v>0.25</v>
      </c>
      <c r="E25" s="18">
        <f t="shared" si="4"/>
        <v>0</v>
      </c>
      <c r="F25" s="18">
        <f>E25*$G$6+E24*$H$6+E23*$I$6+E22*$J$6+E21*K6+E20*L6+E19*M6</f>
        <v>29.852324999999993</v>
      </c>
      <c r="K25" s="20"/>
    </row>
    <row r="26" spans="1:11">
      <c r="D26" s="13"/>
      <c r="E26" s="14"/>
    </row>
    <row r="27" spans="1:11">
      <c r="D27" s="13"/>
      <c r="E27" s="14"/>
    </row>
    <row r="28" spans="1:11">
      <c r="D28" s="13"/>
      <c r="E28" s="14"/>
    </row>
    <row r="47" spans="3:16" ht="51">
      <c r="C47" s="56" t="s">
        <v>275</v>
      </c>
      <c r="D47" s="56" t="s">
        <v>276</v>
      </c>
      <c r="E47" s="56" t="s">
        <v>277</v>
      </c>
      <c r="F47" s="56" t="s">
        <v>278</v>
      </c>
      <c r="G47" s="56" t="s">
        <v>279</v>
      </c>
      <c r="H47" s="56" t="s">
        <v>280</v>
      </c>
      <c r="I47" s="62" t="s">
        <v>281</v>
      </c>
      <c r="J47" s="56" t="s">
        <v>282</v>
      </c>
      <c r="K47" s="56" t="s">
        <v>276</v>
      </c>
      <c r="L47" s="62" t="s">
        <v>283</v>
      </c>
      <c r="M47" s="62" t="s">
        <v>284</v>
      </c>
      <c r="N47" s="62" t="s">
        <v>285</v>
      </c>
      <c r="O47" s="62" t="s">
        <v>286</v>
      </c>
    </row>
    <row r="48" spans="3:16" ht="33.950000000000003">
      <c r="C48" s="57">
        <v>11</v>
      </c>
      <c r="D48" s="65" t="s">
        <v>287</v>
      </c>
      <c r="E48" s="59">
        <v>94409</v>
      </c>
      <c r="F48" s="59">
        <v>4374343877</v>
      </c>
      <c r="G48" s="60">
        <v>46334</v>
      </c>
      <c r="H48" s="60">
        <v>22535</v>
      </c>
      <c r="I48" s="61">
        <v>2.06</v>
      </c>
      <c r="J48" s="60">
        <v>136591</v>
      </c>
      <c r="K48" s="65" t="s">
        <v>287</v>
      </c>
      <c r="L48" s="63">
        <v>8.3000000000000007</v>
      </c>
      <c r="M48" s="63">
        <v>9.6</v>
      </c>
      <c r="N48" s="63">
        <v>6.5</v>
      </c>
      <c r="O48" s="13">
        <f t="shared" ref="O48:O59" si="5">F48/$F$66</f>
        <v>1.352180810613301E-2</v>
      </c>
      <c r="P48" s="13">
        <f t="shared" ref="P48:P59" si="6">G48/$G$66</f>
        <v>4.3009534983885579E-2</v>
      </c>
    </row>
    <row r="49" spans="3:16" ht="51">
      <c r="C49" s="57">
        <v>21</v>
      </c>
      <c r="D49" s="65" t="s">
        <v>288</v>
      </c>
      <c r="E49" s="59">
        <v>348746</v>
      </c>
      <c r="F49" s="59">
        <v>3894793207</v>
      </c>
      <c r="G49" s="60">
        <v>11168</v>
      </c>
      <c r="H49" s="60">
        <v>18720</v>
      </c>
      <c r="I49" s="61">
        <v>0.6</v>
      </c>
      <c r="J49" s="60">
        <v>244367</v>
      </c>
      <c r="K49" s="65" t="s">
        <v>288</v>
      </c>
      <c r="L49" s="64">
        <v>6.2</v>
      </c>
      <c r="M49" s="64">
        <v>10.199999999999999</v>
      </c>
      <c r="N49" s="64">
        <v>8.4</v>
      </c>
      <c r="O49" s="13">
        <f t="shared" si="5"/>
        <v>1.2039439019650804E-2</v>
      </c>
      <c r="P49" s="13">
        <f t="shared" si="6"/>
        <v>1.0366695875599649E-2</v>
      </c>
    </row>
    <row r="50" spans="3:16" ht="17.100000000000001">
      <c r="C50" s="57">
        <v>22</v>
      </c>
      <c r="D50" s="65" t="s">
        <v>289</v>
      </c>
      <c r="E50" s="59">
        <v>316469</v>
      </c>
      <c r="F50" s="59">
        <v>1027575137</v>
      </c>
      <c r="G50" s="60">
        <v>3247</v>
      </c>
      <c r="H50" s="60">
        <v>5752</v>
      </c>
      <c r="I50" s="61">
        <v>0.56000000000000005</v>
      </c>
      <c r="J50" s="60">
        <v>111747</v>
      </c>
      <c r="K50" s="65" t="s">
        <v>289</v>
      </c>
      <c r="L50" s="64">
        <v>5</v>
      </c>
      <c r="M50" s="64">
        <v>13.5</v>
      </c>
      <c r="N50" s="64">
        <v>14.2</v>
      </c>
      <c r="O50" s="13">
        <f t="shared" si="5"/>
        <v>3.1764018119847825E-3</v>
      </c>
      <c r="P50" s="13">
        <f t="shared" si="6"/>
        <v>3.0140277138316672E-3</v>
      </c>
    </row>
    <row r="51" spans="3:16" ht="17.100000000000001">
      <c r="C51" s="57" t="s">
        <v>290</v>
      </c>
      <c r="D51" s="65" t="s">
        <v>291</v>
      </c>
      <c r="E51" s="59">
        <v>375906</v>
      </c>
      <c r="F51" s="59">
        <v>40922240021</v>
      </c>
      <c r="G51" s="60">
        <v>108863</v>
      </c>
      <c r="H51" s="60">
        <v>244098</v>
      </c>
      <c r="I51" s="61">
        <v>0.45</v>
      </c>
      <c r="J51" s="60">
        <v>5039772</v>
      </c>
      <c r="K51" s="65" t="s">
        <v>291</v>
      </c>
      <c r="L51" s="64">
        <v>4.2</v>
      </c>
      <c r="M51" s="64">
        <v>13.2</v>
      </c>
      <c r="N51" s="64">
        <v>11.6</v>
      </c>
      <c r="O51" s="13">
        <f t="shared" si="5"/>
        <v>0.12649729705671206</v>
      </c>
      <c r="P51" s="13">
        <f t="shared" si="6"/>
        <v>0.10105207853737505</v>
      </c>
    </row>
    <row r="52" spans="3:16" ht="33.950000000000003">
      <c r="C52" s="57">
        <v>71</v>
      </c>
      <c r="D52" s="65" t="s">
        <v>292</v>
      </c>
      <c r="E52" s="59">
        <v>124509</v>
      </c>
      <c r="F52" s="59">
        <v>4939280138</v>
      </c>
      <c r="G52" s="60">
        <v>39670</v>
      </c>
      <c r="H52" s="60">
        <v>129287</v>
      </c>
      <c r="I52" s="61">
        <v>0.31</v>
      </c>
      <c r="J52" s="60">
        <v>1428531</v>
      </c>
      <c r="K52" s="65" t="s">
        <v>292</v>
      </c>
      <c r="L52" s="64"/>
      <c r="M52" s="64"/>
      <c r="N52" s="64"/>
      <c r="O52" s="13">
        <f t="shared" si="5"/>
        <v>1.526811793641485E-2</v>
      </c>
      <c r="P52" s="13">
        <f t="shared" si="6"/>
        <v>3.6823677058115872E-2</v>
      </c>
    </row>
    <row r="53" spans="3:16" ht="33.950000000000003">
      <c r="C53" s="57">
        <v>72</v>
      </c>
      <c r="D53" s="65" t="s">
        <v>293</v>
      </c>
      <c r="E53" s="59">
        <v>188418</v>
      </c>
      <c r="F53" s="59">
        <v>30500417573</v>
      </c>
      <c r="G53" s="60">
        <v>161876</v>
      </c>
      <c r="H53" s="60">
        <v>537443</v>
      </c>
      <c r="I53" s="61">
        <v>0.3</v>
      </c>
      <c r="J53" s="60">
        <v>8542661</v>
      </c>
      <c r="K53" s="66" t="s">
        <v>293</v>
      </c>
      <c r="L53" s="64">
        <v>8.1</v>
      </c>
      <c r="M53" s="64">
        <v>39.299999999999997</v>
      </c>
      <c r="N53" s="64">
        <v>35.9</v>
      </c>
      <c r="O53" s="13">
        <f t="shared" si="5"/>
        <v>9.4281749486480326E-2</v>
      </c>
      <c r="P53" s="13">
        <f t="shared" si="6"/>
        <v>0.15026139519686327</v>
      </c>
    </row>
    <row r="54" spans="3:16" ht="17.100000000000001">
      <c r="C54" s="57">
        <v>51</v>
      </c>
      <c r="D54" s="65" t="s">
        <v>294</v>
      </c>
      <c r="E54" s="59">
        <v>292470</v>
      </c>
      <c r="F54" s="59">
        <v>6675630276</v>
      </c>
      <c r="G54" s="60">
        <v>22825</v>
      </c>
      <c r="H54" s="60">
        <v>78430</v>
      </c>
      <c r="I54" s="61">
        <v>0.28999999999999998</v>
      </c>
      <c r="J54" s="60">
        <v>984379</v>
      </c>
      <c r="K54" s="65" t="s">
        <v>294</v>
      </c>
      <c r="L54" s="64">
        <v>1.8</v>
      </c>
      <c r="M54" s="64">
        <v>11</v>
      </c>
      <c r="N54" s="64">
        <v>10.9</v>
      </c>
      <c r="O54" s="13">
        <f t="shared" si="5"/>
        <v>2.0635458509373095E-2</v>
      </c>
      <c r="P54" s="13">
        <f t="shared" si="6"/>
        <v>2.1187305995752328E-2</v>
      </c>
    </row>
    <row r="55" spans="3:16" ht="17.100000000000001">
      <c r="C55" s="57" t="s">
        <v>295</v>
      </c>
      <c r="D55" s="65" t="s">
        <v>296</v>
      </c>
      <c r="E55" s="59">
        <v>157799</v>
      </c>
      <c r="F55" s="59">
        <v>29418369063</v>
      </c>
      <c r="G55" s="60">
        <v>186429</v>
      </c>
      <c r="H55" s="60">
        <v>645685</v>
      </c>
      <c r="I55" s="61">
        <v>0.28999999999999998</v>
      </c>
      <c r="J55" s="60">
        <v>5526296</v>
      </c>
      <c r="K55" s="65" t="s">
        <v>296</v>
      </c>
      <c r="L55" s="64">
        <v>4.9000000000000004</v>
      </c>
      <c r="M55" s="64">
        <v>17.100000000000001</v>
      </c>
      <c r="N55" s="64">
        <v>15.1</v>
      </c>
      <c r="O55" s="13">
        <f t="shared" si="5"/>
        <v>9.0936961622252899E-2</v>
      </c>
      <c r="P55" s="13">
        <f t="shared" si="6"/>
        <v>0.1730527171733674</v>
      </c>
    </row>
    <row r="56" spans="3:16" ht="33.950000000000003">
      <c r="C56" s="57">
        <v>62</v>
      </c>
      <c r="D56" s="65" t="s">
        <v>297</v>
      </c>
      <c r="E56" s="59">
        <v>217348</v>
      </c>
      <c r="F56" s="59">
        <v>39892493481</v>
      </c>
      <c r="G56" s="60">
        <v>183542</v>
      </c>
      <c r="H56" s="60">
        <v>650689</v>
      </c>
      <c r="I56" s="61">
        <v>0.28000000000000003</v>
      </c>
      <c r="J56" s="60">
        <v>8984159</v>
      </c>
      <c r="K56" s="65" t="s">
        <v>297</v>
      </c>
      <c r="L56" s="64"/>
      <c r="M56" s="64"/>
      <c r="N56" s="64"/>
      <c r="O56" s="13">
        <f t="shared" si="5"/>
        <v>0.12331418308502683</v>
      </c>
      <c r="P56" s="13">
        <f t="shared" si="6"/>
        <v>0.17037285945552569</v>
      </c>
    </row>
    <row r="57" spans="3:16" ht="17.100000000000001">
      <c r="C57" s="57">
        <v>61</v>
      </c>
      <c r="D57" s="65" t="s">
        <v>298</v>
      </c>
      <c r="E57" s="59">
        <v>319972</v>
      </c>
      <c r="F57" s="59">
        <v>8062652288</v>
      </c>
      <c r="G57" s="60">
        <v>25198</v>
      </c>
      <c r="H57" s="60">
        <v>92148</v>
      </c>
      <c r="I57" s="61">
        <v>0.27</v>
      </c>
      <c r="J57" s="60">
        <v>1645962</v>
      </c>
      <c r="K57" s="65" t="s">
        <v>298</v>
      </c>
      <c r="L57" s="64">
        <v>3.2</v>
      </c>
      <c r="M57" s="64">
        <v>10.9</v>
      </c>
      <c r="N57" s="64">
        <v>10.1</v>
      </c>
      <c r="O57" s="13">
        <f t="shared" si="5"/>
        <v>2.4922969050978946E-2</v>
      </c>
      <c r="P57" s="13">
        <f t="shared" si="6"/>
        <v>2.3390043219319482E-2</v>
      </c>
    </row>
    <row r="58" spans="3:16" ht="33.950000000000003">
      <c r="C58" s="57">
        <v>53</v>
      </c>
      <c r="D58" s="66" t="s">
        <v>299</v>
      </c>
      <c r="E58" s="59">
        <v>134656</v>
      </c>
      <c r="F58" s="59">
        <v>10743430227</v>
      </c>
      <c r="G58" s="60">
        <v>79784</v>
      </c>
      <c r="H58" s="60">
        <v>308106</v>
      </c>
      <c r="I58" s="61">
        <v>0.26</v>
      </c>
      <c r="J58" s="60">
        <v>1451546</v>
      </c>
      <c r="K58" s="66" t="s">
        <v>299</v>
      </c>
      <c r="L58" s="64">
        <v>2.2000000000000002</v>
      </c>
      <c r="M58" s="64">
        <v>5.4</v>
      </c>
      <c r="N58" s="64">
        <v>5.7</v>
      </c>
      <c r="O58" s="13">
        <f t="shared" si="5"/>
        <v>3.3209689502223604E-2</v>
      </c>
      <c r="P58" s="13">
        <f t="shared" si="6"/>
        <v>7.4059497111286038E-2</v>
      </c>
    </row>
    <row r="59" spans="3:16" ht="51">
      <c r="C59" s="57">
        <v>54</v>
      </c>
      <c r="D59" s="65" t="s">
        <v>300</v>
      </c>
      <c r="E59" s="59">
        <v>207788</v>
      </c>
      <c r="F59" s="59">
        <v>43294713938</v>
      </c>
      <c r="G59" s="60">
        <v>208360</v>
      </c>
      <c r="H59" s="60">
        <v>807932</v>
      </c>
      <c r="I59" s="61">
        <v>0.26</v>
      </c>
      <c r="J59" s="60">
        <v>5190980</v>
      </c>
      <c r="K59" s="65" t="s">
        <v>300</v>
      </c>
      <c r="L59" s="64">
        <v>4.8</v>
      </c>
      <c r="M59" s="64">
        <v>9.8000000000000007</v>
      </c>
      <c r="N59" s="64">
        <v>9</v>
      </c>
      <c r="O59" s="13">
        <f t="shared" si="5"/>
        <v>0.13383099965178119</v>
      </c>
      <c r="P59" s="13">
        <f t="shared" si="6"/>
        <v>0.19341016767907798</v>
      </c>
    </row>
    <row r="60" spans="3:16" ht="33.950000000000003">
      <c r="C60" s="57">
        <v>55</v>
      </c>
      <c r="D60" s="65" t="s">
        <v>301</v>
      </c>
      <c r="E60" s="59">
        <v>364605</v>
      </c>
      <c r="F60" s="59">
        <v>1170748130</v>
      </c>
      <c r="G60" s="60">
        <v>3211</v>
      </c>
      <c r="H60" s="60">
        <v>19134</v>
      </c>
      <c r="I60" s="61">
        <v>0.17</v>
      </c>
      <c r="J60" s="60">
        <v>423295</v>
      </c>
      <c r="K60" s="65"/>
      <c r="L60" s="64"/>
      <c r="M60" s="64"/>
      <c r="N60" s="64"/>
      <c r="O60" s="13"/>
      <c r="P60" s="13"/>
    </row>
    <row r="61" spans="3:16" ht="51">
      <c r="C61" s="57">
        <v>56</v>
      </c>
      <c r="D61" s="65" t="s">
        <v>302</v>
      </c>
      <c r="E61" s="59">
        <v>211016</v>
      </c>
      <c r="F61" s="59">
        <v>15285814286</v>
      </c>
      <c r="G61" s="60">
        <v>72439</v>
      </c>
      <c r="H61" s="60">
        <v>343791</v>
      </c>
      <c r="I61" s="61">
        <v>0.21</v>
      </c>
      <c r="J61" s="60">
        <v>3754463</v>
      </c>
      <c r="K61" s="65"/>
      <c r="L61" s="64"/>
      <c r="M61" s="64"/>
      <c r="N61" s="64"/>
      <c r="O61" s="13"/>
      <c r="P61" s="13"/>
    </row>
    <row r="62" spans="3:16" ht="33.950000000000003">
      <c r="C62" s="57">
        <v>81</v>
      </c>
      <c r="D62" s="65" t="s">
        <v>303</v>
      </c>
      <c r="E62" s="59">
        <v>114005</v>
      </c>
      <c r="F62" s="59">
        <v>17707077167</v>
      </c>
      <c r="G62" s="60">
        <v>155319</v>
      </c>
      <c r="H62" s="60">
        <v>695268</v>
      </c>
      <c r="I62" s="61">
        <v>0.22</v>
      </c>
      <c r="J62" s="60">
        <v>4697878</v>
      </c>
      <c r="K62" s="65"/>
      <c r="L62" s="64"/>
      <c r="M62" s="64"/>
      <c r="N62" s="64"/>
      <c r="O62" s="13"/>
      <c r="P62" s="13"/>
    </row>
    <row r="63" spans="3:16" ht="17.100000000000001">
      <c r="C63" s="57"/>
      <c r="D63" s="65" t="s">
        <v>304</v>
      </c>
      <c r="E63" s="59"/>
      <c r="F63" s="59">
        <v>1197353586</v>
      </c>
      <c r="G63" s="60">
        <v>5570</v>
      </c>
      <c r="H63" s="60"/>
      <c r="I63" s="61"/>
      <c r="J63" s="60"/>
      <c r="K63" s="65"/>
      <c r="L63" s="64"/>
      <c r="M63" s="64"/>
      <c r="N63" s="64"/>
      <c r="O63" s="13"/>
      <c r="P63" s="13"/>
    </row>
    <row r="64" spans="3:16">
      <c r="C64" s="57">
        <v>23</v>
      </c>
      <c r="D64" s="57" t="s">
        <v>305</v>
      </c>
      <c r="E64" s="59">
        <v>252419</v>
      </c>
      <c r="F64" s="59">
        <v>44906538010</v>
      </c>
      <c r="G64" s="60">
        <v>177905</v>
      </c>
      <c r="H64" s="60">
        <v>700393</v>
      </c>
      <c r="I64" s="61">
        <v>0.25</v>
      </c>
      <c r="J64" s="60">
        <v>5373702</v>
      </c>
      <c r="K64" s="65"/>
      <c r="L64" s="64"/>
      <c r="M64" s="64"/>
      <c r="N64" s="64"/>
      <c r="O64" s="13"/>
      <c r="P64" s="13"/>
    </row>
    <row r="65" spans="3:16">
      <c r="C65" s="57">
        <v>42</v>
      </c>
      <c r="D65" s="57" t="s">
        <v>306</v>
      </c>
      <c r="E65" s="59">
        <v>299478</v>
      </c>
      <c r="F65" s="59">
        <v>19489410472</v>
      </c>
      <c r="G65" s="60">
        <v>65078</v>
      </c>
      <c r="H65" s="60">
        <v>294909</v>
      </c>
      <c r="I65" s="61">
        <v>0.22</v>
      </c>
      <c r="J65" s="60">
        <v>3413157</v>
      </c>
      <c r="K65" s="65"/>
      <c r="L65" s="64"/>
      <c r="M65" s="64"/>
      <c r="N65" s="64"/>
      <c r="O65" s="13"/>
      <c r="P65" s="13"/>
    </row>
    <row r="66" spans="3:16">
      <c r="F66" s="58">
        <f>SUM(F48:F65)</f>
        <v>323502880877</v>
      </c>
      <c r="G66" s="67">
        <f>SUM(G48:G59)</f>
        <v>1077296</v>
      </c>
    </row>
  </sheetData>
  <mergeCells count="1">
    <mergeCell ref="F4:F6"/>
  </mergeCells>
  <hyperlinks>
    <hyperlink ref="C2" r:id="rId1" xr:uid="{1C09CDA5-5C16-744A-B32F-4B5B0B13E0BC}"/>
    <hyperlink ref="C1" r:id="rId2" xr:uid="{9576BAB1-A721-424F-8CD3-F7663DDE16A8}"/>
    <hyperlink ref="C3" r:id="rId3" xr:uid="{A193B9B0-F5D6-4E4E-8FD5-6F261F0AD8CF}"/>
  </hyperlinks>
  <pageMargins left="0.7" right="0.7" top="0.75" bottom="0.75" header="0.3" footer="0.3"/>
  <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70781-872E-DE4F-AEB8-807986CC1A8C}">
  <dimension ref="A1:L28"/>
  <sheetViews>
    <sheetView workbookViewId="0">
      <pane ySplit="8" topLeftCell="A9" activePane="bottomLeft" state="frozen"/>
      <selection pane="bottomLeft" activeCell="B14" sqref="B14"/>
    </sheetView>
  </sheetViews>
  <sheetFormatPr defaultColWidth="10.625" defaultRowHeight="15.95"/>
  <cols>
    <col min="1" max="1" width="14.625" customWidth="1"/>
    <col min="2" max="2" width="23" customWidth="1"/>
    <col min="3" max="3" width="21.375" customWidth="1"/>
    <col min="4" max="4" width="24.875" customWidth="1"/>
    <col min="5" max="5" width="14.875" customWidth="1"/>
    <col min="6" max="6" width="12.875" customWidth="1"/>
  </cols>
  <sheetData>
    <row r="1" spans="1:12">
      <c r="B1" t="s">
        <v>307</v>
      </c>
      <c r="C1" s="9" t="s">
        <v>265</v>
      </c>
    </row>
    <row r="2" spans="1:12">
      <c r="B2" t="s">
        <v>266</v>
      </c>
      <c r="C2" s="9" t="s">
        <v>267</v>
      </c>
    </row>
    <row r="3" spans="1:12">
      <c r="B3" t="s">
        <v>224</v>
      </c>
      <c r="C3" s="9" t="s">
        <v>225</v>
      </c>
    </row>
    <row r="4" spans="1:12" ht="15.95" customHeight="1">
      <c r="C4" s="9"/>
      <c r="D4" s="119" t="s">
        <v>229</v>
      </c>
      <c r="E4" s="32" t="s">
        <v>230</v>
      </c>
      <c r="F4" s="35" t="s">
        <v>231</v>
      </c>
      <c r="G4" s="35" t="s">
        <v>232</v>
      </c>
      <c r="H4" s="36" t="s">
        <v>233</v>
      </c>
      <c r="I4" s="32" t="s">
        <v>268</v>
      </c>
      <c r="J4" s="35" t="s">
        <v>269</v>
      </c>
      <c r="K4" s="35" t="s">
        <v>270</v>
      </c>
      <c r="L4" s="36" t="s">
        <v>271</v>
      </c>
    </row>
    <row r="5" spans="1:12" ht="57" customHeight="1" thickBot="1">
      <c r="B5" s="116" t="s">
        <v>234</v>
      </c>
      <c r="C5" s="28" t="s">
        <v>235</v>
      </c>
      <c r="D5" s="120"/>
      <c r="E5" s="37">
        <v>0.3</v>
      </c>
      <c r="F5" s="37">
        <v>0.3</v>
      </c>
      <c r="G5" s="37">
        <v>0.2</v>
      </c>
      <c r="H5" s="37">
        <v>0.2</v>
      </c>
      <c r="I5" s="37">
        <v>0</v>
      </c>
      <c r="J5" s="37">
        <v>0</v>
      </c>
      <c r="K5" s="37">
        <v>0</v>
      </c>
      <c r="L5" s="37">
        <v>0</v>
      </c>
    </row>
    <row r="6" spans="1:12" ht="17.100000000000001" thickTop="1">
      <c r="B6" s="31" t="s">
        <v>238</v>
      </c>
      <c r="C6" s="26">
        <v>0.5</v>
      </c>
      <c r="D6" s="121"/>
      <c r="E6" s="25">
        <f>E5*$C$6</f>
        <v>0.15</v>
      </c>
      <c r="F6" s="25">
        <f t="shared" ref="F6:H6" si="0">F5*$C$6</f>
        <v>0.15</v>
      </c>
      <c r="G6" s="25">
        <f t="shared" si="0"/>
        <v>0.1</v>
      </c>
      <c r="H6" s="25">
        <f t="shared" si="0"/>
        <v>0.1</v>
      </c>
      <c r="I6" s="25">
        <f>I5*$C$6</f>
        <v>0</v>
      </c>
      <c r="J6" s="25">
        <f t="shared" ref="J6:L6" si="1">J5*$C$6</f>
        <v>0</v>
      </c>
      <c r="K6" s="25">
        <f t="shared" si="1"/>
        <v>0</v>
      </c>
      <c r="L6" s="25">
        <f t="shared" si="1"/>
        <v>0</v>
      </c>
    </row>
    <row r="8" spans="1:12">
      <c r="A8" t="s">
        <v>168</v>
      </c>
      <c r="B8" t="s">
        <v>169</v>
      </c>
      <c r="C8" t="s">
        <v>170</v>
      </c>
      <c r="D8" t="s">
        <v>171</v>
      </c>
      <c r="E8">
        <v>2020</v>
      </c>
      <c r="F8">
        <v>2021</v>
      </c>
      <c r="G8">
        <v>2022</v>
      </c>
      <c r="H8">
        <v>2023</v>
      </c>
      <c r="I8">
        <v>2024</v>
      </c>
      <c r="J8">
        <v>2025</v>
      </c>
      <c r="K8">
        <v>2026</v>
      </c>
    </row>
    <row r="9" spans="1:12" ht="84.95">
      <c r="A9" t="s">
        <v>173</v>
      </c>
      <c r="B9" t="s">
        <v>189</v>
      </c>
      <c r="C9" s="2" t="s">
        <v>190</v>
      </c>
      <c r="D9" s="2" t="s">
        <v>191</v>
      </c>
      <c r="E9">
        <v>22</v>
      </c>
      <c r="F9">
        <v>2</v>
      </c>
      <c r="G9">
        <v>0</v>
      </c>
      <c r="H9">
        <v>0</v>
      </c>
      <c r="I9">
        <v>0</v>
      </c>
      <c r="J9">
        <v>0</v>
      </c>
      <c r="K9">
        <v>0</v>
      </c>
      <c r="L9">
        <v>0</v>
      </c>
    </row>
    <row r="10" spans="1:12" ht="84.95">
      <c r="A10" s="4" t="s">
        <v>198</v>
      </c>
      <c r="B10" t="s">
        <v>205</v>
      </c>
      <c r="C10" s="2" t="s">
        <v>206</v>
      </c>
      <c r="D10" s="2" t="s">
        <v>191</v>
      </c>
      <c r="E10">
        <v>8.6</v>
      </c>
      <c r="F10">
        <v>1.5</v>
      </c>
      <c r="G10">
        <v>0</v>
      </c>
      <c r="H10">
        <v>0</v>
      </c>
      <c r="I10">
        <v>0</v>
      </c>
      <c r="J10">
        <v>0</v>
      </c>
      <c r="K10">
        <v>0</v>
      </c>
      <c r="L10">
        <v>0</v>
      </c>
    </row>
    <row r="11" spans="1:12" ht="84.95">
      <c r="A11" t="s">
        <v>173</v>
      </c>
      <c r="B11" t="s">
        <v>208</v>
      </c>
      <c r="C11" s="2" t="s">
        <v>209</v>
      </c>
      <c r="D11" s="2" t="s">
        <v>191</v>
      </c>
      <c r="E11">
        <v>-47</v>
      </c>
      <c r="F11">
        <v>-5</v>
      </c>
      <c r="G11">
        <v>0</v>
      </c>
      <c r="H11">
        <v>0</v>
      </c>
      <c r="I11">
        <v>0</v>
      </c>
      <c r="J11">
        <v>0</v>
      </c>
      <c r="K11">
        <v>0</v>
      </c>
      <c r="L11">
        <v>0</v>
      </c>
    </row>
    <row r="12" spans="1:12" ht="84.95">
      <c r="A12" t="s">
        <v>198</v>
      </c>
      <c r="B12" t="s">
        <v>205</v>
      </c>
      <c r="C12" s="2" t="s">
        <v>206</v>
      </c>
      <c r="D12" s="2" t="s">
        <v>191</v>
      </c>
      <c r="E12">
        <v>-80.5</v>
      </c>
      <c r="F12">
        <v>-14.2</v>
      </c>
      <c r="G12">
        <v>0</v>
      </c>
      <c r="H12">
        <v>0</v>
      </c>
      <c r="I12">
        <v>0</v>
      </c>
      <c r="J12">
        <v>0</v>
      </c>
      <c r="K12">
        <v>0</v>
      </c>
      <c r="L12">
        <v>0</v>
      </c>
    </row>
    <row r="14" spans="1:12" ht="33.950000000000003" customHeight="1">
      <c r="A14" t="s">
        <v>34</v>
      </c>
      <c r="E14">
        <f>-1*SUM(E11:E12) + SUM(E9:E10)</f>
        <v>158.1</v>
      </c>
      <c r="F14">
        <f>-1*SUM(F11:F12) + SUM(F9:F10)</f>
        <v>22.7</v>
      </c>
    </row>
    <row r="15" spans="1:12">
      <c r="A15" s="12"/>
      <c r="B15" s="10"/>
      <c r="C15" s="10"/>
    </row>
    <row r="16" spans="1:12">
      <c r="A16" t="s">
        <v>241</v>
      </c>
    </row>
    <row r="17" spans="1:11" ht="68.099999999999994">
      <c r="A17" s="15" t="s">
        <v>242</v>
      </c>
      <c r="B17" s="16" t="s">
        <v>243</v>
      </c>
      <c r="C17" s="15" t="s">
        <v>244</v>
      </c>
      <c r="D17" s="11" t="s">
        <v>245</v>
      </c>
      <c r="E17" s="15" t="s">
        <v>246</v>
      </c>
      <c r="F17" s="11" t="s">
        <v>263</v>
      </c>
      <c r="K17" s="114"/>
    </row>
    <row r="18" spans="1:11">
      <c r="A18" s="17">
        <v>2020</v>
      </c>
      <c r="B18" s="115" t="s">
        <v>248</v>
      </c>
      <c r="C18" s="17">
        <v>2020</v>
      </c>
      <c r="E18" s="18"/>
      <c r="F18" s="18"/>
      <c r="K18" s="21"/>
    </row>
    <row r="19" spans="1:11">
      <c r="A19" s="17">
        <v>2020</v>
      </c>
      <c r="B19" s="115" t="s">
        <v>249</v>
      </c>
      <c r="C19" s="17">
        <v>2020</v>
      </c>
      <c r="D19" s="18">
        <f>E5*2</f>
        <v>0.6</v>
      </c>
      <c r="E19" s="18">
        <f>$E$14*D19</f>
        <v>94.86</v>
      </c>
      <c r="F19" s="18">
        <f>E19*$E$6</f>
        <v>14.228999999999999</v>
      </c>
      <c r="K19" s="23"/>
    </row>
    <row r="20" spans="1:11">
      <c r="A20" s="17">
        <v>2020</v>
      </c>
      <c r="B20" s="115" t="s">
        <v>250</v>
      </c>
      <c r="C20" s="17">
        <v>2020</v>
      </c>
      <c r="D20" s="18">
        <f>(1-D19)</f>
        <v>0.4</v>
      </c>
      <c r="E20" s="18">
        <f>$E$14*D20</f>
        <v>63.24</v>
      </c>
      <c r="F20" s="18">
        <f>E20*$E$6+E19*$F$6</f>
        <v>23.715</v>
      </c>
      <c r="K20" s="23"/>
    </row>
    <row r="21" spans="1:11">
      <c r="A21" s="17">
        <v>2021</v>
      </c>
      <c r="B21" s="115" t="s">
        <v>251</v>
      </c>
      <c r="C21" s="17">
        <v>2020</v>
      </c>
      <c r="D21" s="18">
        <f>1/4</f>
        <v>0.25</v>
      </c>
      <c r="E21" s="18">
        <f>$F$14*D21</f>
        <v>5.6749999999999998</v>
      </c>
      <c r="F21" s="18">
        <f>E21*$E$6+E20*$F$6+E19*$G$6+E18*$H$6</f>
        <v>19.823250000000002</v>
      </c>
      <c r="K21" s="23"/>
    </row>
    <row r="22" spans="1:11">
      <c r="A22" s="17">
        <v>2021</v>
      </c>
      <c r="B22" s="115" t="s">
        <v>248</v>
      </c>
      <c r="C22" s="17">
        <v>2021</v>
      </c>
      <c r="D22" s="18">
        <v>0.25</v>
      </c>
      <c r="E22" s="18">
        <f t="shared" ref="E22:E25" si="2">$F$14*D22</f>
        <v>5.6749999999999998</v>
      </c>
      <c r="F22" s="18">
        <f>E22*$E$6+E21*$F$6+E20*$G$6+E19*$H$6</f>
        <v>17.512500000000003</v>
      </c>
      <c r="K22" s="23"/>
    </row>
    <row r="23" spans="1:11">
      <c r="A23" s="17">
        <v>2021</v>
      </c>
      <c r="B23" s="115" t="s">
        <v>249</v>
      </c>
      <c r="C23" s="17">
        <v>2021</v>
      </c>
      <c r="D23" s="18">
        <v>0.25</v>
      </c>
      <c r="E23" s="18">
        <f t="shared" si="2"/>
        <v>5.6749999999999998</v>
      </c>
      <c r="F23" s="18">
        <f>E23*$E$6+E22*$F$6+E21*$G$6+E20*$H$6+E19*$I$6</f>
        <v>8.5940000000000012</v>
      </c>
      <c r="K23" s="20"/>
    </row>
    <row r="24" spans="1:11">
      <c r="A24" s="17">
        <v>2021</v>
      </c>
      <c r="B24" s="115" t="s">
        <v>250</v>
      </c>
      <c r="C24" s="17">
        <v>2021</v>
      </c>
      <c r="D24" s="18">
        <v>0.25</v>
      </c>
      <c r="E24" s="18">
        <f t="shared" si="2"/>
        <v>5.6749999999999998</v>
      </c>
      <c r="F24" s="18">
        <f>E24*$E$6+E23*$F$6+E22*$G$6+E21*$H$6+E20*I6+E19*J6</f>
        <v>2.8374999999999999</v>
      </c>
      <c r="K24" s="20"/>
    </row>
    <row r="25" spans="1:11">
      <c r="A25" s="17">
        <v>2022</v>
      </c>
      <c r="B25" s="115" t="s">
        <v>251</v>
      </c>
      <c r="C25" s="17">
        <v>2021</v>
      </c>
      <c r="D25" s="18">
        <v>0.25</v>
      </c>
      <c r="E25" s="18">
        <f t="shared" si="2"/>
        <v>5.6749999999999998</v>
      </c>
      <c r="F25" s="18">
        <f>E25*$E$6+E24*$F$6+E23*$G$6+E22*$H$6+E21*I6+E20*J6+E19*K6</f>
        <v>2.8374999999999999</v>
      </c>
      <c r="K25" s="20"/>
    </row>
    <row r="26" spans="1:11">
      <c r="D26" s="13"/>
      <c r="E26" s="14"/>
    </row>
    <row r="27" spans="1:11">
      <c r="D27" s="13"/>
      <c r="E27" s="14"/>
    </row>
    <row r="28" spans="1:11">
      <c r="D28" s="13"/>
      <c r="E28" s="14"/>
    </row>
  </sheetData>
  <mergeCells count="1">
    <mergeCell ref="D4:D6"/>
  </mergeCells>
  <hyperlinks>
    <hyperlink ref="C2" r:id="rId1" xr:uid="{64FD9494-3F6E-5147-8EB0-95E4BDFFE520}"/>
    <hyperlink ref="C1" r:id="rId2" xr:uid="{EFED54CB-4D12-504A-9980-AD890466D2E4}"/>
    <hyperlink ref="C3" r:id="rId3" xr:uid="{AE838E51-30BA-654C-9EFB-527B2458D2C7}"/>
  </hyperlinks>
  <pageMargins left="0.7" right="0.7" top="0.75" bottom="0.75" header="0.3" footer="0.3"/>
  <drawing r:id="rId4"/>
  <legacy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8CF2-90F4-F341-A7F0-904B38E27680}">
  <dimension ref="A1:M4"/>
  <sheetViews>
    <sheetView workbookViewId="0">
      <selection activeCell="A2" sqref="A2"/>
    </sheetView>
  </sheetViews>
  <sheetFormatPr defaultColWidth="10.625" defaultRowHeight="15.95"/>
  <sheetData>
    <row r="1" spans="1:13">
      <c r="A1" t="s">
        <v>308</v>
      </c>
      <c r="B1">
        <v>2019</v>
      </c>
      <c r="C1">
        <v>2020</v>
      </c>
      <c r="D1">
        <v>2021</v>
      </c>
      <c r="E1">
        <v>2022</v>
      </c>
      <c r="F1">
        <v>2023</v>
      </c>
      <c r="G1">
        <v>2024</v>
      </c>
      <c r="H1">
        <v>2025</v>
      </c>
      <c r="I1">
        <v>2026</v>
      </c>
      <c r="J1">
        <v>2027</v>
      </c>
      <c r="K1">
        <v>2028</v>
      </c>
      <c r="L1">
        <v>2029</v>
      </c>
      <c r="M1">
        <v>2030</v>
      </c>
    </row>
    <row r="2" spans="1:13">
      <c r="A2" t="s">
        <v>309</v>
      </c>
      <c r="B2">
        <v>21220</v>
      </c>
      <c r="C2">
        <v>22111</v>
      </c>
      <c r="D2">
        <v>23029</v>
      </c>
      <c r="E2">
        <v>23917</v>
      </c>
      <c r="F2">
        <v>24809</v>
      </c>
      <c r="G2">
        <v>25724</v>
      </c>
      <c r="H2">
        <v>26653</v>
      </c>
      <c r="I2">
        <v>27616</v>
      </c>
      <c r="J2">
        <v>28653</v>
      </c>
      <c r="K2">
        <v>29737</v>
      </c>
      <c r="L2">
        <v>30850</v>
      </c>
      <c r="M2">
        <v>32003</v>
      </c>
    </row>
    <row r="3" spans="1:13">
      <c r="A3" t="s">
        <v>310</v>
      </c>
      <c r="B3">
        <v>1403.5</v>
      </c>
      <c r="C3">
        <v>1459.6</v>
      </c>
      <c r="D3">
        <v>1501.9</v>
      </c>
      <c r="E3">
        <v>1540.9</v>
      </c>
      <c r="F3">
        <v>1580.5</v>
      </c>
      <c r="G3">
        <v>1621.8</v>
      </c>
      <c r="H3">
        <v>1663</v>
      </c>
      <c r="I3">
        <v>1704.6</v>
      </c>
      <c r="J3">
        <v>1747.5</v>
      </c>
      <c r="K3">
        <v>1791.5</v>
      </c>
      <c r="L3">
        <v>1836.1</v>
      </c>
      <c r="M3">
        <v>1881.9</v>
      </c>
    </row>
    <row r="4" spans="1:13">
      <c r="A4" t="s">
        <v>311</v>
      </c>
      <c r="B4">
        <v>2307.3000000000002</v>
      </c>
      <c r="C4">
        <v>2400.3000000000002</v>
      </c>
      <c r="D4">
        <v>2488.9</v>
      </c>
      <c r="E4">
        <v>2583.1999999999998</v>
      </c>
      <c r="F4">
        <v>2685.4</v>
      </c>
      <c r="G4">
        <v>2792</v>
      </c>
      <c r="H4">
        <v>2901.2</v>
      </c>
      <c r="I4">
        <v>3012.1</v>
      </c>
      <c r="J4">
        <v>3126.2</v>
      </c>
      <c r="K4">
        <v>3243.2</v>
      </c>
      <c r="L4">
        <v>3363.9</v>
      </c>
      <c r="M4">
        <v>3486.9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8FB3-8617-1847-9853-8341EEE7B86F}">
  <dimension ref="A1:M4"/>
  <sheetViews>
    <sheetView workbookViewId="0">
      <selection activeCell="B2" sqref="B2:L4"/>
    </sheetView>
  </sheetViews>
  <sheetFormatPr defaultColWidth="10.625" defaultRowHeight="15.95"/>
  <sheetData>
    <row r="1" spans="1:13">
      <c r="A1" t="s">
        <v>308</v>
      </c>
      <c r="B1">
        <v>2019</v>
      </c>
      <c r="C1">
        <v>2020</v>
      </c>
      <c r="D1">
        <v>2021</v>
      </c>
      <c r="E1">
        <v>2022</v>
      </c>
      <c r="F1">
        <v>2023</v>
      </c>
      <c r="G1">
        <v>2024</v>
      </c>
      <c r="H1">
        <v>2025</v>
      </c>
      <c r="I1">
        <v>2026</v>
      </c>
      <c r="J1">
        <v>2027</v>
      </c>
      <c r="K1">
        <v>2028</v>
      </c>
      <c r="L1">
        <v>2029</v>
      </c>
      <c r="M1">
        <v>2030</v>
      </c>
    </row>
    <row r="2" spans="1:13">
      <c r="A2" t="s">
        <v>309</v>
      </c>
      <c r="B2">
        <v>21219.9</v>
      </c>
      <c r="C2">
        <v>20590.7</v>
      </c>
      <c r="D2">
        <v>21080</v>
      </c>
    </row>
    <row r="3" spans="1:13">
      <c r="A3" t="s">
        <v>310</v>
      </c>
      <c r="B3">
        <v>1404</v>
      </c>
      <c r="C3">
        <v>1478</v>
      </c>
      <c r="D3">
        <v>1533</v>
      </c>
    </row>
    <row r="4" spans="1:13">
      <c r="A4" t="s">
        <v>311</v>
      </c>
      <c r="B4">
        <v>2307</v>
      </c>
      <c r="C4">
        <v>2305</v>
      </c>
      <c r="D4">
        <v>2286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A5DF-FA5A-5641-9407-0BFF3BB57FCF}">
  <dimension ref="A1:L27"/>
  <sheetViews>
    <sheetView zoomScale="65" workbookViewId="0">
      <selection activeCell="O32" sqref="O32"/>
    </sheetView>
  </sheetViews>
  <sheetFormatPr defaultColWidth="10.625" defaultRowHeight="15.95"/>
  <sheetData>
    <row r="1" spans="1:12">
      <c r="A1" s="1"/>
    </row>
    <row r="2" spans="1:12">
      <c r="D2">
        <v>2019</v>
      </c>
      <c r="E2">
        <v>2020</v>
      </c>
      <c r="F2">
        <v>2021</v>
      </c>
      <c r="G2">
        <v>2022</v>
      </c>
      <c r="H2">
        <v>2023</v>
      </c>
      <c r="I2">
        <v>2024</v>
      </c>
      <c r="J2">
        <v>2025</v>
      </c>
      <c r="K2">
        <v>2026</v>
      </c>
      <c r="L2">
        <v>2027</v>
      </c>
    </row>
    <row r="3" spans="1:12">
      <c r="A3" t="s">
        <v>1</v>
      </c>
      <c r="B3" t="s">
        <v>312</v>
      </c>
      <c r="C3" t="s">
        <v>313</v>
      </c>
      <c r="D3" s="7">
        <v>2608.8469999999998</v>
      </c>
      <c r="E3" s="7">
        <v>2734.0140000000001</v>
      </c>
      <c r="F3" s="7">
        <v>2867.57</v>
      </c>
      <c r="G3" s="7">
        <v>3087.7400000000002</v>
      </c>
      <c r="H3" s="7">
        <v>3217.16</v>
      </c>
      <c r="I3" s="7">
        <v>3342.3100000000004</v>
      </c>
      <c r="J3" s="7">
        <v>3595.72</v>
      </c>
      <c r="K3" s="7">
        <v>3818.7599999999998</v>
      </c>
      <c r="L3" s="7">
        <v>4017.3500000000004</v>
      </c>
    </row>
    <row r="4" spans="1:12">
      <c r="A4" t="s">
        <v>2</v>
      </c>
      <c r="B4" t="s">
        <v>314</v>
      </c>
      <c r="C4" t="s">
        <v>313</v>
      </c>
      <c r="D4" s="6">
        <v>1717.857</v>
      </c>
      <c r="E4" s="6">
        <v>1791.395</v>
      </c>
      <c r="F4" s="6">
        <v>1904.3630000000001</v>
      </c>
      <c r="G4" s="6">
        <v>1995.787</v>
      </c>
      <c r="H4" s="6">
        <v>2095.6280000000002</v>
      </c>
      <c r="I4" s="6">
        <v>2178.39</v>
      </c>
      <c r="J4" s="6">
        <v>2266.451</v>
      </c>
      <c r="K4" s="6">
        <v>2483.5729999999999</v>
      </c>
      <c r="L4" s="6">
        <v>2708.7040000000002</v>
      </c>
    </row>
    <row r="5" spans="1:12">
      <c r="A5" t="s">
        <v>3</v>
      </c>
      <c r="B5" t="s">
        <v>315</v>
      </c>
      <c r="C5" t="s">
        <v>313</v>
      </c>
      <c r="D5" s="6">
        <v>271.327</v>
      </c>
      <c r="E5" s="6">
        <v>304.77100000000002</v>
      </c>
      <c r="F5" s="6">
        <v>298.04599999999999</v>
      </c>
      <c r="G5" s="6">
        <v>304.31299999999999</v>
      </c>
      <c r="H5" s="6">
        <v>311.62700000000001</v>
      </c>
      <c r="I5" s="6">
        <v>317.41899999999998</v>
      </c>
      <c r="J5" s="6">
        <v>325.99900000000002</v>
      </c>
      <c r="K5" s="6">
        <v>339.74299999999999</v>
      </c>
      <c r="L5" s="6">
        <v>359.16500000000002</v>
      </c>
    </row>
    <row r="6" spans="1:12">
      <c r="A6" t="s">
        <v>4</v>
      </c>
      <c r="B6" t="s">
        <v>27</v>
      </c>
      <c r="C6" t="s">
        <v>313</v>
      </c>
      <c r="D6" s="6">
        <v>230.245</v>
      </c>
      <c r="E6" s="6">
        <v>233.78800000000001</v>
      </c>
      <c r="F6" s="6">
        <v>256.71199999999999</v>
      </c>
      <c r="G6" s="6">
        <v>291.74700000000001</v>
      </c>
      <c r="H6" s="6">
        <v>333.89499999999998</v>
      </c>
      <c r="I6" s="6">
        <v>362.428</v>
      </c>
      <c r="J6" s="6">
        <v>386.15199999999999</v>
      </c>
      <c r="K6" s="6">
        <v>384.91300000000001</v>
      </c>
      <c r="L6" s="6">
        <v>382.13799999999998</v>
      </c>
    </row>
    <row r="7" spans="1:12">
      <c r="A7" t="s">
        <v>5</v>
      </c>
      <c r="B7" t="s">
        <v>29</v>
      </c>
      <c r="C7" t="s">
        <v>313</v>
      </c>
      <c r="D7" s="6">
        <v>1243.3720000000001</v>
      </c>
      <c r="E7" s="6">
        <v>1302.3309999999999</v>
      </c>
      <c r="F7" s="6">
        <v>1356.3520000000001</v>
      </c>
      <c r="G7" s="6">
        <v>1408.539</v>
      </c>
      <c r="H7" s="6">
        <v>1463.7149999999999</v>
      </c>
      <c r="I7" s="6">
        <v>1523.1579999999999</v>
      </c>
      <c r="J7" s="6">
        <v>1583.605</v>
      </c>
      <c r="K7" s="6">
        <v>1642.366</v>
      </c>
      <c r="L7" s="6">
        <v>1703.42</v>
      </c>
    </row>
    <row r="8" spans="1:12">
      <c r="A8" t="s">
        <v>6</v>
      </c>
      <c r="B8" t="s">
        <v>36</v>
      </c>
      <c r="C8" t="s">
        <v>313</v>
      </c>
      <c r="D8" s="7">
        <v>775.40599999999995</v>
      </c>
      <c r="E8" s="7">
        <v>828.22199999999998</v>
      </c>
      <c r="F8" s="7">
        <v>885.96</v>
      </c>
      <c r="G8" s="7">
        <v>992.62699999999995</v>
      </c>
      <c r="H8" s="7">
        <v>1027.2270000000001</v>
      </c>
      <c r="I8" s="7">
        <v>1055.278</v>
      </c>
      <c r="J8" s="7">
        <v>1182.252</v>
      </c>
      <c r="K8" s="7">
        <v>1269.2719999999999</v>
      </c>
      <c r="L8" s="7">
        <v>1362.9860000000001</v>
      </c>
    </row>
    <row r="9" spans="1:12">
      <c r="A9" t="s">
        <v>7</v>
      </c>
      <c r="B9" t="s">
        <v>48</v>
      </c>
      <c r="C9" t="s">
        <v>313</v>
      </c>
      <c r="D9" s="7">
        <v>409.42099999999999</v>
      </c>
      <c r="E9" s="7">
        <v>423.15</v>
      </c>
      <c r="F9" s="7">
        <v>442.846</v>
      </c>
      <c r="G9" s="7">
        <v>465.267</v>
      </c>
      <c r="H9" s="7">
        <v>492.887</v>
      </c>
      <c r="I9" s="7">
        <v>522.05100000000004</v>
      </c>
      <c r="J9" s="7">
        <v>552.42999999999995</v>
      </c>
      <c r="K9" s="7">
        <v>584.70500000000004</v>
      </c>
      <c r="L9" s="7">
        <v>618.66200000000003</v>
      </c>
    </row>
    <row r="10" spans="1:12">
      <c r="A10" t="s">
        <v>8</v>
      </c>
      <c r="B10" t="s">
        <v>37</v>
      </c>
      <c r="C10" t="s">
        <v>313</v>
      </c>
      <c r="D10" s="7">
        <v>27.626999999999999</v>
      </c>
      <c r="E10" s="7">
        <v>28.533000000000001</v>
      </c>
      <c r="F10" s="7">
        <v>30.507000000000001</v>
      </c>
      <c r="G10" s="7">
        <v>34.828000000000003</v>
      </c>
      <c r="H10" s="7">
        <v>41.956000000000003</v>
      </c>
      <c r="I10" s="7">
        <v>46.265999999999998</v>
      </c>
      <c r="J10" s="7">
        <v>47.701000000000001</v>
      </c>
      <c r="K10" s="7">
        <v>50.38</v>
      </c>
      <c r="L10" s="7">
        <v>52.034999999999997</v>
      </c>
    </row>
    <row r="11" spans="1:12">
      <c r="A11" t="s">
        <v>220</v>
      </c>
      <c r="B11" t="s">
        <v>50</v>
      </c>
      <c r="C11" t="s">
        <v>313</v>
      </c>
      <c r="D11" s="7">
        <v>0</v>
      </c>
      <c r="E11" s="7">
        <v>0</v>
      </c>
      <c r="F11" s="7">
        <v>0</v>
      </c>
      <c r="G11" s="7">
        <v>0</v>
      </c>
      <c r="H11" s="7">
        <v>0</v>
      </c>
      <c r="I11" s="7">
        <v>0</v>
      </c>
      <c r="J11" s="7">
        <v>0</v>
      </c>
      <c r="K11" s="7">
        <v>0</v>
      </c>
      <c r="L11" s="7">
        <v>0</v>
      </c>
    </row>
    <row r="12" spans="1:12">
      <c r="A12" t="s">
        <v>310</v>
      </c>
      <c r="B12" t="s">
        <v>316</v>
      </c>
      <c r="C12" t="s">
        <v>313</v>
      </c>
      <c r="D12">
        <v>1403.5</v>
      </c>
      <c r="E12">
        <v>1459.6</v>
      </c>
      <c r="F12">
        <v>1501.9</v>
      </c>
      <c r="G12">
        <v>1540.9</v>
      </c>
      <c r="H12">
        <v>1580.5</v>
      </c>
      <c r="I12">
        <v>1621.8</v>
      </c>
      <c r="J12">
        <v>1663</v>
      </c>
      <c r="K12">
        <v>1704.6</v>
      </c>
      <c r="L12">
        <v>1747.5</v>
      </c>
    </row>
    <row r="13" spans="1:12">
      <c r="A13" t="s">
        <v>311</v>
      </c>
      <c r="B13" t="s">
        <v>317</v>
      </c>
      <c r="C13" t="s">
        <v>313</v>
      </c>
      <c r="D13">
        <v>2307.3000000000002</v>
      </c>
      <c r="E13">
        <v>2400.3000000000002</v>
      </c>
      <c r="F13">
        <v>2488.9</v>
      </c>
      <c r="G13">
        <v>2583.1999999999998</v>
      </c>
      <c r="H13">
        <v>2685.4</v>
      </c>
      <c r="I13">
        <v>2792</v>
      </c>
      <c r="J13">
        <v>2901.2</v>
      </c>
      <c r="K13">
        <v>3012.1</v>
      </c>
      <c r="L13">
        <v>3126.2</v>
      </c>
    </row>
    <row r="14" spans="1:12">
      <c r="A14" t="s">
        <v>309</v>
      </c>
      <c r="B14" t="s">
        <v>144</v>
      </c>
      <c r="C14" t="s">
        <v>313</v>
      </c>
      <c r="D14">
        <v>21220</v>
      </c>
      <c r="E14">
        <v>22111</v>
      </c>
      <c r="F14">
        <v>23029</v>
      </c>
      <c r="G14">
        <v>23917</v>
      </c>
      <c r="H14">
        <v>24809</v>
      </c>
      <c r="I14">
        <v>25724</v>
      </c>
      <c r="J14">
        <v>26653</v>
      </c>
      <c r="K14">
        <v>27616</v>
      </c>
      <c r="L14">
        <v>28653</v>
      </c>
    </row>
    <row r="16" spans="1:12">
      <c r="A16" t="s">
        <v>1</v>
      </c>
      <c r="B16" t="s">
        <v>312</v>
      </c>
      <c r="C16" t="s">
        <v>318</v>
      </c>
      <c r="D16" s="8">
        <v>2608.8469999999998</v>
      </c>
      <c r="E16" s="8">
        <v>3231.4440000000004</v>
      </c>
      <c r="F16" s="8">
        <v>2946.37</v>
      </c>
      <c r="G16" s="8">
        <v>3087.7400000000002</v>
      </c>
      <c r="H16" s="8">
        <v>3217.16</v>
      </c>
      <c r="I16" s="8">
        <v>3342.3100000000004</v>
      </c>
      <c r="J16" s="8">
        <v>3595.72</v>
      </c>
      <c r="K16" s="8">
        <v>3818.7599999999998</v>
      </c>
      <c r="L16" s="8">
        <v>4017.3500000000004</v>
      </c>
    </row>
    <row r="17" spans="1:12">
      <c r="A17" t="s">
        <v>222</v>
      </c>
      <c r="B17" t="s">
        <v>314</v>
      </c>
      <c r="C17" t="s">
        <v>318</v>
      </c>
      <c r="D17" s="8">
        <v>1717.857</v>
      </c>
      <c r="E17" s="8">
        <v>1791.395</v>
      </c>
      <c r="F17" s="8">
        <v>1904.3630000000001</v>
      </c>
      <c r="G17" s="8">
        <v>1995.787</v>
      </c>
      <c r="H17" s="8">
        <v>2095.6280000000002</v>
      </c>
      <c r="I17" s="8">
        <v>2178.39</v>
      </c>
      <c r="J17" s="8">
        <v>2266.451</v>
      </c>
      <c r="K17" s="8">
        <v>2483.5729999999999</v>
      </c>
      <c r="L17" s="8">
        <v>2708.7040000000002</v>
      </c>
    </row>
    <row r="18" spans="1:12">
      <c r="A18" t="s">
        <v>3</v>
      </c>
      <c r="B18" t="s">
        <v>315</v>
      </c>
      <c r="C18" t="s">
        <v>318</v>
      </c>
      <c r="D18" s="8">
        <v>271.327</v>
      </c>
      <c r="E18" s="8">
        <v>304.77100000000002</v>
      </c>
      <c r="F18" s="8">
        <v>298.04599999999999</v>
      </c>
      <c r="G18" s="8">
        <v>304.31299999999999</v>
      </c>
      <c r="H18" s="8">
        <v>311.62700000000001</v>
      </c>
      <c r="I18" s="8">
        <v>317.41899999999998</v>
      </c>
      <c r="J18" s="8">
        <v>325.99900000000002</v>
      </c>
      <c r="K18" s="8">
        <v>339.74299999999999</v>
      </c>
      <c r="L18" s="8">
        <v>359.16500000000002</v>
      </c>
    </row>
    <row r="19" spans="1:12">
      <c r="A19" t="s">
        <v>4</v>
      </c>
      <c r="B19" t="s">
        <v>27</v>
      </c>
      <c r="C19" t="s">
        <v>318</v>
      </c>
      <c r="D19" s="8">
        <v>230.245</v>
      </c>
      <c r="E19" s="8">
        <v>79.788000000000011</v>
      </c>
      <c r="F19" s="8">
        <v>173.71199999999999</v>
      </c>
      <c r="G19" s="8">
        <v>296.74700000000001</v>
      </c>
      <c r="H19" s="8">
        <v>338.89499999999998</v>
      </c>
      <c r="I19" s="8">
        <v>371.428</v>
      </c>
      <c r="J19" s="8">
        <v>399.15199999999999</v>
      </c>
      <c r="K19" s="8">
        <v>397.91300000000001</v>
      </c>
      <c r="L19" s="8">
        <v>382.13799999999998</v>
      </c>
    </row>
    <row r="20" spans="1:12">
      <c r="A20" t="s">
        <v>5</v>
      </c>
      <c r="B20" t="s">
        <v>29</v>
      </c>
      <c r="C20" t="s">
        <v>318</v>
      </c>
      <c r="D20" s="8">
        <v>1243.3720000000001</v>
      </c>
      <c r="E20" s="8">
        <v>1091.3309999999999</v>
      </c>
      <c r="F20" s="8">
        <v>1215.3520000000001</v>
      </c>
      <c r="G20" s="8">
        <v>1579.539</v>
      </c>
      <c r="H20" s="8">
        <v>1632.7149999999999</v>
      </c>
      <c r="I20" s="8">
        <v>1523.1579999999999</v>
      </c>
      <c r="J20" s="8">
        <v>1583.605</v>
      </c>
      <c r="K20" s="8">
        <v>1642.366</v>
      </c>
      <c r="L20" s="8">
        <v>1703.42</v>
      </c>
    </row>
    <row r="21" spans="1:12">
      <c r="A21" t="s">
        <v>6</v>
      </c>
      <c r="B21" t="s">
        <v>36</v>
      </c>
      <c r="C21" t="s">
        <v>318</v>
      </c>
      <c r="D21" s="8">
        <v>775.40599999999995</v>
      </c>
      <c r="E21" s="8">
        <v>828.22199999999998</v>
      </c>
      <c r="F21" s="8">
        <v>885.96</v>
      </c>
      <c r="G21" s="8">
        <v>992.62699999999995</v>
      </c>
      <c r="H21" s="8">
        <v>1027.2270000000001</v>
      </c>
      <c r="I21" s="8">
        <v>1055.278</v>
      </c>
      <c r="J21" s="8">
        <v>1182.252</v>
      </c>
      <c r="K21" s="8">
        <v>1269.2719999999999</v>
      </c>
      <c r="L21" s="8">
        <v>1362.9860000000001</v>
      </c>
    </row>
    <row r="22" spans="1:12">
      <c r="A22" t="s">
        <v>7</v>
      </c>
      <c r="B22" t="s">
        <v>48</v>
      </c>
      <c r="C22" t="s">
        <v>318</v>
      </c>
      <c r="D22" s="8">
        <v>409.42099999999999</v>
      </c>
      <c r="E22" s="8">
        <v>503.85</v>
      </c>
      <c r="F22" s="8">
        <v>505.846</v>
      </c>
      <c r="G22" s="8">
        <v>469.46699999999998</v>
      </c>
      <c r="H22" s="8">
        <v>494.08699999999999</v>
      </c>
      <c r="I22" s="8">
        <v>522.45100000000002</v>
      </c>
      <c r="J22" s="8">
        <v>552.42999999999995</v>
      </c>
      <c r="K22" s="8">
        <v>584.70500000000004</v>
      </c>
      <c r="L22" s="8">
        <v>618.66200000000003</v>
      </c>
    </row>
    <row r="23" spans="1:12">
      <c r="A23" t="s">
        <v>8</v>
      </c>
      <c r="B23" t="s">
        <v>37</v>
      </c>
      <c r="C23" t="s">
        <v>318</v>
      </c>
      <c r="D23" s="8">
        <v>27.626999999999999</v>
      </c>
      <c r="E23" s="8">
        <v>245.53300000000002</v>
      </c>
      <c r="F23" s="8">
        <v>75.507000000000005</v>
      </c>
      <c r="G23" s="8">
        <v>34.828000000000003</v>
      </c>
      <c r="H23" s="8">
        <v>41.956000000000003</v>
      </c>
      <c r="I23" s="8">
        <v>46.265999999999998</v>
      </c>
      <c r="J23" s="8">
        <v>47.701000000000001</v>
      </c>
      <c r="K23" s="8">
        <v>50.38</v>
      </c>
      <c r="L23" s="8">
        <v>52.034999999999997</v>
      </c>
    </row>
    <row r="24" spans="1:12">
      <c r="A24" t="s">
        <v>220</v>
      </c>
      <c r="B24" t="s">
        <v>50</v>
      </c>
      <c r="C24" t="s">
        <v>318</v>
      </c>
      <c r="D24" s="8">
        <v>0</v>
      </c>
      <c r="E24" s="8">
        <v>601.4</v>
      </c>
      <c r="F24" s="8">
        <v>-17.7</v>
      </c>
      <c r="G24" s="8">
        <v>0</v>
      </c>
      <c r="H24" s="8">
        <v>0</v>
      </c>
      <c r="I24" s="8">
        <v>0</v>
      </c>
      <c r="J24" s="8">
        <v>0</v>
      </c>
      <c r="K24" s="8">
        <v>0</v>
      </c>
      <c r="L24" s="8">
        <v>0</v>
      </c>
    </row>
    <row r="25" spans="1:12">
      <c r="A25" t="s">
        <v>310</v>
      </c>
      <c r="B25" t="s">
        <v>316</v>
      </c>
      <c r="C25" t="s">
        <v>318</v>
      </c>
      <c r="D25">
        <v>1404</v>
      </c>
      <c r="E25">
        <v>1478</v>
      </c>
      <c r="F25">
        <v>1533</v>
      </c>
    </row>
    <row r="26" spans="1:12">
      <c r="A26" t="s">
        <v>311</v>
      </c>
      <c r="B26" t="s">
        <v>317</v>
      </c>
      <c r="C26" t="s">
        <v>318</v>
      </c>
      <c r="D26">
        <v>2307</v>
      </c>
      <c r="E26">
        <v>2305</v>
      </c>
      <c r="F26">
        <v>2286</v>
      </c>
    </row>
    <row r="27" spans="1:12">
      <c r="A27" t="s">
        <v>309</v>
      </c>
      <c r="B27" t="s">
        <v>144</v>
      </c>
      <c r="C27" t="s">
        <v>318</v>
      </c>
      <c r="D27">
        <v>21219.9</v>
      </c>
      <c r="E27">
        <v>20590.7</v>
      </c>
      <c r="F27">
        <v>21080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17742-AC7C-504A-BBFA-B0C7946072C4}">
  <dimension ref="A1"/>
  <sheetViews>
    <sheetView workbookViewId="0">
      <selection activeCell="M26" sqref="M26"/>
    </sheetView>
  </sheetViews>
  <sheetFormatPr defaultColWidth="10.625" defaultRowHeight="15.9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EEAD-96E3-9241-857B-9DBA1E3E9E18}">
  <dimension ref="A1:L25"/>
  <sheetViews>
    <sheetView workbookViewId="0">
      <pane ySplit="6" topLeftCell="A7" activePane="bottomLeft" state="frozen"/>
      <selection pane="bottomLeft" activeCell="E16" sqref="E16"/>
    </sheetView>
  </sheetViews>
  <sheetFormatPr defaultColWidth="10.625" defaultRowHeight="15.95"/>
  <cols>
    <col min="1" max="1" width="14.625" customWidth="1"/>
    <col min="2" max="2" width="23" customWidth="1"/>
    <col min="3" max="3" width="21.375" customWidth="1"/>
    <col min="4" max="4" width="35.875" customWidth="1"/>
    <col min="5" max="5" width="14.875" customWidth="1"/>
    <col min="6" max="6" width="12.875" customWidth="1"/>
  </cols>
  <sheetData>
    <row r="1" spans="1:12">
      <c r="B1" t="s">
        <v>224</v>
      </c>
      <c r="C1" s="9" t="s">
        <v>225</v>
      </c>
    </row>
    <row r="2" spans="1:12">
      <c r="C2" s="9"/>
    </row>
    <row r="3" spans="1:12" ht="18" thickBot="1">
      <c r="B3" s="116" t="s">
        <v>234</v>
      </c>
      <c r="C3" s="28" t="s">
        <v>235</v>
      </c>
      <c r="D3" s="119" t="s">
        <v>229</v>
      </c>
      <c r="E3" s="33" t="s">
        <v>230</v>
      </c>
      <c r="F3" s="34" t="s">
        <v>231</v>
      </c>
      <c r="G3" s="34" t="s">
        <v>232</v>
      </c>
      <c r="H3" s="34" t="s">
        <v>233</v>
      </c>
      <c r="I3" s="34" t="s">
        <v>268</v>
      </c>
      <c r="J3" s="34" t="s">
        <v>269</v>
      </c>
      <c r="K3" s="34" t="s">
        <v>319</v>
      </c>
      <c r="L3" s="34" t="s">
        <v>320</v>
      </c>
    </row>
    <row r="4" spans="1:12" ht="17.100000000000001" thickTop="1">
      <c r="B4" s="31" t="s">
        <v>238</v>
      </c>
      <c r="C4" s="26">
        <v>-0.4</v>
      </c>
      <c r="D4" s="121"/>
      <c r="E4" s="25">
        <f>$C$4/12</f>
        <v>-3.3333333333333333E-2</v>
      </c>
      <c r="F4" s="25">
        <f t="shared" ref="F4:L4" si="0">$C$4/12</f>
        <v>-3.3333333333333333E-2</v>
      </c>
      <c r="G4" s="25">
        <f t="shared" si="0"/>
        <v>-3.3333333333333333E-2</v>
      </c>
      <c r="H4" s="25">
        <f t="shared" si="0"/>
        <v>-3.3333333333333333E-2</v>
      </c>
      <c r="I4" s="25">
        <f t="shared" si="0"/>
        <v>-3.3333333333333333E-2</v>
      </c>
      <c r="J4" s="25">
        <f t="shared" si="0"/>
        <v>-3.3333333333333333E-2</v>
      </c>
      <c r="K4" s="25">
        <f t="shared" si="0"/>
        <v>-3.3333333333333333E-2</v>
      </c>
      <c r="L4" s="25">
        <f t="shared" si="0"/>
        <v>-3.3333333333333333E-2</v>
      </c>
    </row>
    <row r="6" spans="1:12">
      <c r="A6" t="s">
        <v>168</v>
      </c>
      <c r="B6" t="s">
        <v>169</v>
      </c>
      <c r="C6" t="s">
        <v>170</v>
      </c>
      <c r="D6" t="s">
        <v>171</v>
      </c>
      <c r="E6">
        <v>2020</v>
      </c>
      <c r="F6">
        <v>2021</v>
      </c>
      <c r="G6">
        <v>2022</v>
      </c>
      <c r="H6">
        <v>2023</v>
      </c>
      <c r="I6">
        <v>2024</v>
      </c>
      <c r="J6">
        <v>2025</v>
      </c>
      <c r="K6">
        <v>2026</v>
      </c>
    </row>
    <row r="7" spans="1:12" ht="48">
      <c r="A7" t="s">
        <v>173</v>
      </c>
      <c r="B7" t="s">
        <v>213</v>
      </c>
      <c r="C7" s="2" t="s">
        <v>214</v>
      </c>
      <c r="D7" s="2" t="s">
        <v>215</v>
      </c>
      <c r="E7">
        <v>-80</v>
      </c>
      <c r="F7">
        <v>-9</v>
      </c>
      <c r="G7">
        <v>3</v>
      </c>
      <c r="H7">
        <v>4</v>
      </c>
      <c r="I7">
        <v>9</v>
      </c>
      <c r="J7">
        <v>13</v>
      </c>
      <c r="K7">
        <v>13</v>
      </c>
      <c r="L7">
        <v>0</v>
      </c>
    </row>
    <row r="8" spans="1:12" ht="48">
      <c r="A8" t="s">
        <v>173</v>
      </c>
      <c r="B8" t="s">
        <v>216</v>
      </c>
      <c r="C8" s="2" t="s">
        <v>214</v>
      </c>
      <c r="D8" s="2" t="s">
        <v>215</v>
      </c>
      <c r="E8">
        <v>-74</v>
      </c>
      <c r="F8">
        <v>-74</v>
      </c>
      <c r="G8">
        <v>2</v>
      </c>
      <c r="H8">
        <v>1</v>
      </c>
      <c r="I8">
        <v>0</v>
      </c>
      <c r="J8">
        <v>0</v>
      </c>
      <c r="K8">
        <v>0</v>
      </c>
      <c r="L8">
        <v>0</v>
      </c>
    </row>
    <row r="10" spans="1:12" ht="33.950000000000003" customHeight="1">
      <c r="A10" t="s">
        <v>34</v>
      </c>
      <c r="E10">
        <f>SUM(E7:E9)</f>
        <v>-154</v>
      </c>
      <c r="F10">
        <f t="shared" ref="F10:J10" si="1">SUM(F7:F9)</f>
        <v>-83</v>
      </c>
      <c r="G10">
        <f t="shared" si="1"/>
        <v>5</v>
      </c>
      <c r="H10">
        <f t="shared" si="1"/>
        <v>5</v>
      </c>
      <c r="I10">
        <f t="shared" si="1"/>
        <v>9</v>
      </c>
      <c r="J10">
        <f t="shared" si="1"/>
        <v>13</v>
      </c>
      <c r="K10">
        <f t="shared" ref="K10:L10" si="2">SUM(K7:K9)</f>
        <v>13</v>
      </c>
      <c r="L10">
        <f t="shared" si="2"/>
        <v>0</v>
      </c>
    </row>
    <row r="11" spans="1:12" ht="33.950000000000003" customHeight="1">
      <c r="A11" t="s">
        <v>321</v>
      </c>
    </row>
    <row r="12" spans="1:12">
      <c r="A12" s="12"/>
      <c r="B12" s="10"/>
      <c r="C12" s="10"/>
    </row>
    <row r="13" spans="1:12">
      <c r="A13" t="s">
        <v>241</v>
      </c>
    </row>
    <row r="14" spans="1:12" ht="68.099999999999994">
      <c r="A14" s="15" t="s">
        <v>242</v>
      </c>
      <c r="B14" s="16" t="s">
        <v>243</v>
      </c>
      <c r="C14" s="15" t="s">
        <v>244</v>
      </c>
      <c r="D14" s="15" t="s">
        <v>245</v>
      </c>
      <c r="E14" s="15" t="s">
        <v>246</v>
      </c>
      <c r="F14" s="11" t="s">
        <v>322</v>
      </c>
      <c r="K14" s="114"/>
    </row>
    <row r="15" spans="1:12">
      <c r="A15" s="17">
        <v>2020</v>
      </c>
      <c r="B15" s="115" t="s">
        <v>248</v>
      </c>
      <c r="C15" s="17">
        <v>2020</v>
      </c>
      <c r="E15" s="18"/>
      <c r="F15" s="18"/>
      <c r="K15" s="21"/>
    </row>
    <row r="16" spans="1:12">
      <c r="A16" s="17">
        <v>2020</v>
      </c>
      <c r="B16" s="115" t="s">
        <v>249</v>
      </c>
      <c r="C16" s="17">
        <v>2020</v>
      </c>
      <c r="D16" s="18">
        <f>1/12</f>
        <v>8.3333333333333329E-2</v>
      </c>
      <c r="E16" s="18">
        <f>$E$10*D16</f>
        <v>-12.833333333333332</v>
      </c>
      <c r="F16" s="18">
        <f>($E$16)*$E$4</f>
        <v>0.42777777777777776</v>
      </c>
      <c r="K16" s="23"/>
    </row>
    <row r="17" spans="1:11">
      <c r="A17" s="17">
        <v>2020</v>
      </c>
      <c r="B17" s="115" t="s">
        <v>250</v>
      </c>
      <c r="C17" s="17">
        <v>2020</v>
      </c>
      <c r="D17" s="18">
        <f t="shared" ref="D17:D22" si="3">1/12</f>
        <v>8.3333333333333329E-2</v>
      </c>
      <c r="E17" s="18">
        <f>$E$10*D17</f>
        <v>-12.833333333333332</v>
      </c>
      <c r="F17" s="18">
        <f>($E$16)*$F$4+$E$17*$E$4</f>
        <v>0.85555555555555551</v>
      </c>
      <c r="K17" s="23"/>
    </row>
    <row r="18" spans="1:11">
      <c r="A18" s="17">
        <v>2021</v>
      </c>
      <c r="B18" s="115" t="s">
        <v>251</v>
      </c>
      <c r="C18" s="17">
        <v>2020</v>
      </c>
      <c r="D18" s="18">
        <f t="shared" si="3"/>
        <v>8.3333333333333329E-2</v>
      </c>
      <c r="E18" s="18">
        <f>$F$10*D18</f>
        <v>-6.9166666666666661</v>
      </c>
      <c r="F18" s="18">
        <f>$E18*E4+$E17*F4+$E16*G4</f>
        <v>1.086111111111111</v>
      </c>
      <c r="K18" s="23"/>
    </row>
    <row r="19" spans="1:11">
      <c r="A19" s="17">
        <v>2021</v>
      </c>
      <c r="B19" s="115" t="s">
        <v>248</v>
      </c>
      <c r="C19" s="17">
        <v>2021</v>
      </c>
      <c r="D19" s="18">
        <f t="shared" si="3"/>
        <v>8.3333333333333329E-2</v>
      </c>
      <c r="E19" s="18">
        <f t="shared" ref="E19:E22" si="4">$F$10*D19</f>
        <v>-6.9166666666666661</v>
      </c>
      <c r="F19" s="18">
        <f>$E19*$E$4+$E18*$F$4+$E17*$G$4+E16*$H$4</f>
        <v>1.3166666666666667</v>
      </c>
      <c r="K19" s="23"/>
    </row>
    <row r="20" spans="1:11">
      <c r="A20" s="17">
        <v>2021</v>
      </c>
      <c r="B20" s="115" t="s">
        <v>249</v>
      </c>
      <c r="C20" s="17">
        <v>2021</v>
      </c>
      <c r="D20" s="18">
        <f t="shared" si="3"/>
        <v>8.3333333333333329E-2</v>
      </c>
      <c r="E20" s="18">
        <f t="shared" si="4"/>
        <v>-6.9166666666666661</v>
      </c>
      <c r="F20" s="18">
        <f>$E20*$E$4+$E19*$F$4+$E18*$G$4+E17*$H$4+E16*I4</f>
        <v>1.5472222222222223</v>
      </c>
      <c r="K20" s="20"/>
    </row>
    <row r="21" spans="1:11">
      <c r="A21" s="17">
        <v>2021</v>
      </c>
      <c r="B21" s="115" t="s">
        <v>250</v>
      </c>
      <c r="C21" s="17">
        <v>2021</v>
      </c>
      <c r="D21" s="18">
        <f t="shared" si="3"/>
        <v>8.3333333333333329E-2</v>
      </c>
      <c r="E21" s="18">
        <f t="shared" si="4"/>
        <v>-6.9166666666666661</v>
      </c>
      <c r="F21" s="18">
        <f>$E21*$E$4+$E20*$F$4+$E19*$G$4+E18*$H$4+$E17*$I$4+$E16*$J$4</f>
        <v>1.7777777777777777</v>
      </c>
      <c r="K21" s="20"/>
    </row>
    <row r="22" spans="1:11">
      <c r="A22" s="17">
        <v>2022</v>
      </c>
      <c r="B22" s="115" t="s">
        <v>251</v>
      </c>
      <c r="C22" s="17">
        <v>2021</v>
      </c>
      <c r="D22" s="18">
        <f t="shared" si="3"/>
        <v>8.3333333333333329E-2</v>
      </c>
      <c r="E22" s="18">
        <f t="shared" si="4"/>
        <v>-6.9166666666666661</v>
      </c>
      <c r="F22" s="18">
        <f>$E22*$E$4+$E21*$F$4+$E20*$G$4+E19*$H$4+$E18*$I$4+$E17*$J$4+E16*K4</f>
        <v>2.0083333333333333</v>
      </c>
      <c r="K22" s="20"/>
    </row>
    <row r="23" spans="1:11">
      <c r="D23" s="13"/>
      <c r="E23" s="14"/>
    </row>
    <row r="24" spans="1:11">
      <c r="D24" s="13"/>
      <c r="E24" s="14"/>
    </row>
    <row r="25" spans="1:11">
      <c r="D25" s="13"/>
      <c r="E25" s="14"/>
    </row>
  </sheetData>
  <mergeCells count="1">
    <mergeCell ref="D3:D4"/>
  </mergeCells>
  <hyperlinks>
    <hyperlink ref="C1" r:id="rId1" xr:uid="{58D4AC52-1894-2745-B77E-2844BE47FD64}"/>
  </hyperlinks>
  <pageMargins left="0.7" right="0.7" top="0.75" bottom="0.75" header="0.3" footer="0.3"/>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8EF8DB-4AA2-401D-A9E0-D9176145FC77}"/>
</file>

<file path=customXml/itemProps2.xml><?xml version="1.0" encoding="utf-8"?>
<ds:datastoreItem xmlns:ds="http://schemas.openxmlformats.org/officeDocument/2006/customXml" ds:itemID="{0F849E93-5E21-43C1-B9F5-12F56B856C8B}"/>
</file>

<file path=customXml/itemProps3.xml><?xml version="1.0" encoding="utf-8"?>
<ds:datastoreItem xmlns:ds="http://schemas.openxmlformats.org/officeDocument/2006/customXml" ds:itemID="{DE61D6D0-D0A8-4228-BF36-888B91913F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 Belz</dc:creator>
  <cp:keywords/>
  <dc:description/>
  <cp:lastModifiedBy>Manuel Alcala Kovalski</cp:lastModifiedBy>
  <cp:revision/>
  <dcterms:created xsi:type="dcterms:W3CDTF">2020-05-19T20:43:19Z</dcterms:created>
  <dcterms:modified xsi:type="dcterms:W3CDTF">2020-08-25T14:39:28Z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ies>
</file>