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5FF34EB7-4C8F-F94D-A511-67B71E49E333}" xr6:coauthVersionLast="46" xr6:coauthVersionMax="46" xr10:uidLastSave="{00000000-0000-0000-0000-000000000000}"/>
  <bookViews>
    <workbookView xWindow="0" yWindow="500" windowWidth="33600" windowHeight="1950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3" i="1" l="1"/>
  <c r="M83" i="1" s="1"/>
  <c r="N73" i="1"/>
  <c r="M72" i="1"/>
  <c r="L71" i="1"/>
  <c r="L72" i="1"/>
  <c r="L69" i="1" s="1"/>
  <c r="O90" i="1"/>
  <c r="O91" i="1"/>
  <c r="O92" i="1"/>
  <c r="D22" i="5"/>
  <c r="D29" i="5"/>
  <c r="D36" i="5"/>
  <c r="D42" i="5"/>
  <c r="D48" i="5"/>
  <c r="D55" i="5"/>
  <c r="O74" i="1"/>
  <c r="P74" i="1"/>
  <c r="Q74" i="1"/>
  <c r="R74" i="1"/>
  <c r="S74" i="1"/>
  <c r="O89" i="1" l="1"/>
  <c r="L8" i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L73" i="1"/>
  <c r="I62" i="5"/>
  <c r="O8" i="9"/>
  <c r="O7" i="9"/>
  <c r="O6" i="9"/>
  <c r="O5" i="9"/>
  <c r="M3" i="9"/>
  <c r="L3" i="9"/>
  <c r="K3" i="9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58" i="1"/>
  <c r="N47" i="1"/>
  <c r="N40" i="1"/>
  <c r="N11" i="1"/>
  <c r="N6" i="1"/>
  <c r="N30" i="1" s="1"/>
  <c r="G41" i="5" s="1"/>
  <c r="G43" i="5" s="1"/>
  <c r="N88" i="1"/>
  <c r="N83" i="1" l="1"/>
  <c r="F21" i="5"/>
  <c r="F24" i="5" s="1"/>
  <c r="G47" i="5"/>
  <c r="G50" i="5" s="1"/>
  <c r="N55" i="1"/>
  <c r="K4" i="9"/>
  <c r="N50" i="1"/>
  <c r="N31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P92" i="1" s="1"/>
  <c r="C8" i="16"/>
  <c r="Q91" i="1" s="1"/>
  <c r="C7" i="16"/>
  <c r="C14" i="16"/>
  <c r="C12" i="16"/>
  <c r="P64" i="1" s="1"/>
  <c r="C11" i="16"/>
  <c r="C6" i="16"/>
  <c r="C5" i="16"/>
  <c r="T80" i="1" s="1"/>
  <c r="C4" i="16"/>
  <c r="O37" i="1" s="1"/>
  <c r="P5" i="9" s="1"/>
  <c r="C3" i="16"/>
  <c r="O45" i="1" s="1"/>
  <c r="C2" i="16"/>
  <c r="R92" i="1"/>
  <c r="AD93" i="1"/>
  <c r="AC93" i="1"/>
  <c r="AI93" i="1"/>
  <c r="AJ93" i="1"/>
  <c r="AK93" i="1"/>
  <c r="W94" i="1"/>
  <c r="X94" i="1"/>
  <c r="Y94" i="1"/>
  <c r="Z94" i="1"/>
  <c r="P79" i="1" l="1"/>
  <c r="P90" i="1"/>
  <c r="O79" i="1"/>
  <c r="W79" i="1"/>
  <c r="W80" i="1"/>
  <c r="T66" i="1"/>
  <c r="X80" i="1"/>
  <c r="Q90" i="1"/>
  <c r="P63" i="1"/>
  <c r="O63" i="1"/>
  <c r="Q92" i="1"/>
  <c r="Q89" i="1" s="1"/>
  <c r="Z80" i="1"/>
  <c r="X79" i="1"/>
  <c r="V81" i="1"/>
  <c r="Y79" i="1"/>
  <c r="W81" i="1"/>
  <c r="Z79" i="1"/>
  <c r="X81" i="1"/>
  <c r="Y80" i="1"/>
  <c r="O80" i="1"/>
  <c r="Y81" i="1"/>
  <c r="R90" i="1"/>
  <c r="O65" i="1"/>
  <c r="P80" i="1"/>
  <c r="Z81" i="1"/>
  <c r="P65" i="1"/>
  <c r="Q80" i="1"/>
  <c r="Q65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O64" i="1"/>
  <c r="U66" i="1"/>
  <c r="Q64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P89" i="1" s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8" i="1" l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V18" i="4"/>
  <c r="U46" i="1" s="1"/>
  <c r="M11" i="9" s="1"/>
  <c r="U18" i="4"/>
  <c r="T46" i="1" s="1"/>
  <c r="M10" i="9" s="1"/>
  <c r="T18" i="4"/>
  <c r="S46" i="1" s="1"/>
  <c r="M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K11" i="9" s="1"/>
  <c r="V40" i="1"/>
  <c r="K12" i="9" s="1"/>
  <c r="S40" i="1"/>
  <c r="K9" i="9" s="1"/>
  <c r="T40" i="1"/>
  <c r="K10" i="9" s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H15" i="7"/>
  <c r="H13" i="7" s="1"/>
  <c r="AJ100" i="1" s="1"/>
  <c r="K15" i="7"/>
  <c r="K13" i="7" s="1"/>
  <c r="G15" i="7"/>
  <c r="G13" i="7" s="1"/>
  <c r="AI100" i="1" s="1"/>
  <c r="I15" i="7"/>
  <c r="I13" i="7" s="1"/>
  <c r="AK100" i="1" s="1"/>
  <c r="K83" i="1"/>
  <c r="T107" i="1"/>
  <c r="J15" i="7" l="1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L15" i="7"/>
  <c r="L13" i="7" s="1"/>
  <c r="AD100" i="1"/>
  <c r="F111" i="1"/>
  <c r="F113" i="1" s="1"/>
  <c r="L47" i="1"/>
  <c r="L6" i="10" l="1"/>
  <c r="G24" i="11" s="1"/>
  <c r="G27" i="11" s="1"/>
  <c r="O100" i="1"/>
  <c r="O93" i="1" s="1"/>
  <c r="O95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L5" i="9" s="1"/>
  <c r="O17" i="4"/>
  <c r="N43" i="1" s="1"/>
  <c r="W68" i="5"/>
  <c r="V71" i="5"/>
  <c r="R42" i="1"/>
  <c r="L8" i="9" s="1"/>
  <c r="M33" i="4"/>
  <c r="M37" i="4" s="1"/>
  <c r="AF43" i="1"/>
  <c r="L34" i="4"/>
  <c r="L38" i="4"/>
  <c r="L18" i="4" s="1"/>
  <c r="P18" i="4"/>
  <c r="O46" i="1" s="1"/>
  <c r="M5" i="9" s="1"/>
  <c r="O18" i="4"/>
  <c r="R18" i="4"/>
  <c r="Q46" i="1" s="1"/>
  <c r="M7" i="9" s="1"/>
  <c r="N42" i="1" l="1"/>
  <c r="L4" i="9" s="1"/>
  <c r="N94" i="1"/>
  <c r="N46" i="1"/>
  <c r="M17" i="4"/>
  <c r="L43" i="1" s="1"/>
  <c r="L42" i="1" s="1"/>
  <c r="L2" i="9" s="1"/>
  <c r="P40" i="1"/>
  <c r="K6" i="9" s="1"/>
  <c r="Q40" i="1"/>
  <c r="K7" i="9" s="1"/>
  <c r="AE43" i="1"/>
  <c r="X24" i="11"/>
  <c r="W27" i="11"/>
  <c r="R40" i="1"/>
  <c r="K8" i="9" s="1"/>
  <c r="O40" i="1"/>
  <c r="K5" i="9" s="1"/>
  <c r="M34" i="4"/>
  <c r="X68" i="5"/>
  <c r="W71" i="5"/>
  <c r="N33" i="4"/>
  <c r="N10" i="4"/>
  <c r="M38" i="4"/>
  <c r="M18" i="4" s="1"/>
  <c r="L46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M4" i="9" l="1"/>
  <c r="N111" i="1"/>
  <c r="AF40" i="1"/>
  <c r="AE46" i="1"/>
  <c r="N37" i="4"/>
  <c r="N38" i="4" s="1"/>
  <c r="N18" i="4" s="1"/>
  <c r="L94" i="1"/>
  <c r="E54" i="5" s="1"/>
  <c r="L40" i="1"/>
  <c r="K2" i="9" s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71" i="5" s="1"/>
  <c r="H47" i="5"/>
  <c r="H50" i="5" s="1"/>
  <c r="I68" i="5" l="1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E2" i="12" a="1"/>
  <c r="S30" i="1"/>
  <c r="T30" i="1" s="1"/>
  <c r="U30" i="1" s="1"/>
  <c r="V30" i="1" s="1"/>
  <c r="K41" i="5"/>
  <c r="K43" i="5" s="1"/>
  <c r="E3" i="9" s="1" a="1"/>
  <c r="D7" i="12"/>
  <c r="S26" i="1"/>
  <c r="T27" i="1"/>
  <c r="E14" i="9" l="1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E15" i="12"/>
  <c r="E16" i="12"/>
  <c r="E21" i="12"/>
  <c r="E19" i="12"/>
  <c r="E11" i="12"/>
  <c r="E8" i="12"/>
  <c r="E20" i="12"/>
  <c r="E17" i="12"/>
  <c r="E14" i="12"/>
  <c r="E23" i="12"/>
  <c r="E12" i="12"/>
  <c r="E13" i="12"/>
  <c r="E2" i="12"/>
  <c r="E3" i="12"/>
  <c r="E10" i="12"/>
  <c r="E22" i="12"/>
  <c r="E18" i="12"/>
  <c r="E9" i="12"/>
  <c r="E4" i="12"/>
  <c r="E5" i="12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6" i="12"/>
  <c r="U27" i="1"/>
  <c r="T26" i="1"/>
  <c r="E7" i="12"/>
  <c r="E8" i="9"/>
  <c r="V27" i="1" l="1"/>
  <c r="V26" i="1" s="1"/>
  <c r="U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<sst xmlns="http://schemas.openxmlformats.org/spreadsheetml/2006/main" count="1013" uniqueCount="382">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</sst>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tabSelected="1" zoomScale="134" zoomScaleNormal="110" workbookViewId="0">
      <pane xSplit="2" ySplit="3" topLeftCell="J59" activePane="bottomRight" state="frozen"/>
      <selection pane="topRight" activeCell="C1" sqref="C1"/>
      <selection pane="bottomLeft" activeCell="A4" sqref="A4"/>
      <selection pane="bottomRight" activeCell="O72" sqref="O72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28" t="s">
        <v>372</v>
      </c>
      <c r="B1" s="328"/>
      <c r="C1" s="268"/>
      <c r="D1" s="268"/>
      <c r="E1" s="35"/>
      <c r="N1" t="s">
        <v>374</v>
      </c>
      <c r="AC1" s="334" t="s">
        <v>248</v>
      </c>
      <c r="AD1" s="334"/>
      <c r="AE1" s="332" t="s">
        <v>246</v>
      </c>
      <c r="AF1" s="333"/>
      <c r="AG1" t="s">
        <v>28</v>
      </c>
      <c r="AI1" s="330" t="s">
        <v>279</v>
      </c>
      <c r="AJ1" s="330"/>
      <c r="AK1" s="330"/>
      <c r="AL1" s="330"/>
      <c r="AM1" s="329" t="s">
        <v>277</v>
      </c>
      <c r="AN1" s="329"/>
      <c r="AO1" s="329"/>
      <c r="AP1" s="329"/>
    </row>
    <row r="2" spans="1:43" ht="23" customHeight="1" x14ac:dyDescent="0.2">
      <c r="F2" s="327" t="s">
        <v>21</v>
      </c>
      <c r="G2" s="327"/>
      <c r="H2" s="327"/>
      <c r="I2" s="327"/>
      <c r="J2" s="327" t="s">
        <v>9</v>
      </c>
      <c r="K2" s="327"/>
      <c r="L2" s="327"/>
      <c r="M2" s="327"/>
      <c r="N2" s="327" t="s">
        <v>10</v>
      </c>
      <c r="O2" s="327"/>
      <c r="P2" s="327"/>
      <c r="Q2" s="327"/>
      <c r="R2" s="327" t="s">
        <v>11</v>
      </c>
      <c r="S2" s="327"/>
      <c r="T2" s="327"/>
      <c r="U2" s="327"/>
      <c r="V2" s="327" t="s">
        <v>266</v>
      </c>
      <c r="W2" s="327"/>
      <c r="X2" s="327"/>
      <c r="Y2" s="327"/>
      <c r="Z2" s="221"/>
      <c r="AA2" s="283"/>
      <c r="AB2" s="221"/>
      <c r="AC2" s="327" t="s">
        <v>102</v>
      </c>
      <c r="AD2" s="327"/>
      <c r="AE2" s="327"/>
      <c r="AF2" s="327"/>
      <c r="AG2" s="327"/>
      <c r="AH2" s="327"/>
      <c r="AI2" s="327"/>
      <c r="AJ2" s="327"/>
      <c r="AK2" s="327"/>
      <c r="AL2" s="331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247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266</v>
      </c>
      <c r="AN3" s="97" t="s">
        <v>12</v>
      </c>
      <c r="AO3" s="97" t="s">
        <v>11</v>
      </c>
      <c r="AP3" s="97" t="s">
        <v>266</v>
      </c>
    </row>
    <row r="4" spans="1:43" ht="19" x14ac:dyDescent="0.25">
      <c r="A4" s="326" t="s">
        <v>262</v>
      </c>
      <c r="B4" s="326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215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2">
      <c r="A11" s="176" t="s">
        <v>257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281</v>
      </c>
      <c r="C12" t="s">
        <v>294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377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373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281</v>
      </c>
      <c r="C15" t="s">
        <v>295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377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215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27</v>
      </c>
      <c r="B18" t="s">
        <v>281</v>
      </c>
      <c r="C18" t="s">
        <v>296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377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215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281</v>
      </c>
      <c r="C21" t="s">
        <v>297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377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215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263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264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298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299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300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301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265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281</v>
      </c>
      <c r="C34" t="s">
        <v>302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</v>
      </c>
      <c r="B35" t="s">
        <v>281</v>
      </c>
      <c r="C35" t="s">
        <v>303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ht="16" x14ac:dyDescent="0.2">
      <c r="A36" s="93" t="s">
        <v>339</v>
      </c>
      <c r="B36" t="s">
        <v>281</v>
      </c>
      <c r="C36" t="s">
        <v>304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340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347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351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333</v>
      </c>
      <c r="B41" t="s">
        <v>281</v>
      </c>
      <c r="C41" t="s">
        <v>305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212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345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ht="32" x14ac:dyDescent="0.2">
      <c r="A47" s="86" t="s">
        <v>147</v>
      </c>
      <c r="F47" s="202"/>
      <c r="G47" s="202"/>
      <c r="H47" s="202"/>
      <c r="I47" s="202"/>
      <c r="J47" s="202">
        <v>0</v>
      </c>
      <c r="K47" s="202">
        <v>0</v>
      </c>
      <c r="L47" s="202">
        <f>SUM(L48:L49)</f>
        <v>179900</v>
      </c>
      <c r="M47" s="301">
        <v>85400</v>
      </c>
      <c r="N47" s="303">
        <f>SUM(N48:N49)</f>
        <v>45300</v>
      </c>
      <c r="O47" s="87">
        <f t="shared" ref="O47:R47" si="34">SUM(O48:O49)</f>
        <v>43377.595548489669</v>
      </c>
      <c r="P47" s="87">
        <f t="shared" si="34"/>
        <v>43000</v>
      </c>
      <c r="Q47" s="87">
        <f t="shared" si="34"/>
        <v>43000</v>
      </c>
      <c r="R47" s="87">
        <f t="shared" si="34"/>
        <v>15000</v>
      </c>
      <c r="S47" s="87"/>
      <c r="T47" s="87"/>
      <c r="U47" s="87"/>
      <c r="V47" s="3"/>
      <c r="W47" s="44"/>
      <c r="X47" s="3"/>
      <c r="Y47" s="3"/>
      <c r="Z47" s="3"/>
      <c r="AA47" s="3"/>
      <c r="AB47" s="3"/>
      <c r="AC47" s="3"/>
      <c r="AD47" s="45">
        <f>AVERAGE(J47:M47)/1000</f>
        <v>66.325000000000003</v>
      </c>
      <c r="AE47" s="45">
        <f>AVERAGE(N47:Q47)/1000</f>
        <v>43.669398887122412</v>
      </c>
      <c r="AF47" s="45">
        <f t="shared" ref="AF47" si="35">AVERAGE(R47:U47)/1000</f>
        <v>15</v>
      </c>
      <c r="AG47" s="3"/>
      <c r="AI47" s="3">
        <f>'figuring out social benefits'!G48</f>
        <v>105</v>
      </c>
      <c r="AJ47" s="3"/>
      <c r="AK47" s="3"/>
      <c r="AL47" s="3"/>
      <c r="AM47" s="182"/>
    </row>
    <row r="48" spans="1:39" ht="16" x14ac:dyDescent="0.2">
      <c r="A48" s="117" t="s">
        <v>205</v>
      </c>
      <c r="B48" t="s">
        <v>281</v>
      </c>
      <c r="C48" t="s">
        <v>306</v>
      </c>
      <c r="D48"/>
      <c r="F48" s="202"/>
      <c r="G48" s="202"/>
      <c r="H48" s="202"/>
      <c r="I48" s="202"/>
      <c r="J48" s="202"/>
      <c r="K48" s="202"/>
      <c r="L48" s="202">
        <v>19000</v>
      </c>
      <c r="M48" s="301">
        <v>27000</v>
      </c>
      <c r="N48" s="303">
        <f>VLOOKUP($C$48,'Haver NA'!$A$1:$J$34,10,0)</f>
        <v>10800</v>
      </c>
      <c r="O48" s="87">
        <v>377.5955484896661</v>
      </c>
      <c r="P48" s="87">
        <v>0</v>
      </c>
      <c r="Q48" s="87">
        <v>0</v>
      </c>
      <c r="R48" s="87">
        <v>0</v>
      </c>
      <c r="S48" s="87"/>
      <c r="T48" s="87"/>
      <c r="U48" s="87"/>
      <c r="V48" s="87"/>
      <c r="W48" s="133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I48" s="3"/>
      <c r="AJ48" s="3"/>
      <c r="AK48" s="3"/>
      <c r="AL48" s="3"/>
      <c r="AM48" s="182"/>
    </row>
    <row r="49" spans="1:41" ht="16" x14ac:dyDescent="0.2">
      <c r="A49" s="117" t="s">
        <v>206</v>
      </c>
      <c r="B49" t="s">
        <v>281</v>
      </c>
      <c r="C49" t="s">
        <v>307</v>
      </c>
      <c r="D49"/>
      <c r="F49" s="202"/>
      <c r="G49" s="202"/>
      <c r="H49" s="202"/>
      <c r="I49" s="202"/>
      <c r="J49" s="202"/>
      <c r="K49" s="202"/>
      <c r="L49" s="202">
        <v>160900</v>
      </c>
      <c r="M49" s="301">
        <v>58400</v>
      </c>
      <c r="N49" s="303">
        <f>VLOOKUP($C$49,'Haver NA'!$A$1:$J$34,10,0)</f>
        <v>34500</v>
      </c>
      <c r="O49" s="87">
        <v>43000</v>
      </c>
      <c r="P49" s="87">
        <v>43000</v>
      </c>
      <c r="Q49" s="87">
        <v>43000</v>
      </c>
      <c r="R49" s="87">
        <v>15000</v>
      </c>
      <c r="S49" s="87"/>
      <c r="T49" s="87"/>
      <c r="U49" s="87"/>
      <c r="V49" s="87"/>
      <c r="W49" s="133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I49" s="3"/>
      <c r="AJ49" s="3"/>
      <c r="AK49" s="3"/>
      <c r="AL49" s="3"/>
      <c r="AM49" s="182"/>
    </row>
    <row r="50" spans="1:41" ht="32" x14ac:dyDescent="0.2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6">O50*(1+P52)</f>
        <v>1650848.87398125</v>
      </c>
      <c r="Q50" s="88">
        <f t="shared" si="36"/>
        <v>1638467.5074263907</v>
      </c>
      <c r="R50" s="88">
        <f>Q50*(1+R52)</f>
        <v>1663044.5200377863</v>
      </c>
      <c r="S50" s="88">
        <f t="shared" ref="S50:U50" si="37">R50*(1+S52)</f>
        <v>1687990.187838353</v>
      </c>
      <c r="T50" s="88">
        <f t="shared" si="37"/>
        <v>1713310.0406559282</v>
      </c>
      <c r="U50" s="88">
        <f t="shared" si="37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215</v>
      </c>
      <c r="C51" s="269"/>
      <c r="D51" s="269"/>
      <c r="F51" s="225"/>
      <c r="G51" s="227">
        <f>G50/F50-1</f>
        <v>4.3899160317375507E-2</v>
      </c>
      <c r="H51" s="227">
        <f t="shared" ref="H51:L51" si="38">H50/G50-1</f>
        <v>3.4867401440725754E-3</v>
      </c>
      <c r="I51" s="227">
        <f t="shared" si="38"/>
        <v>3.5163841628156334E-3</v>
      </c>
      <c r="J51" s="227">
        <f t="shared" si="38"/>
        <v>5.2735975988749129E-3</v>
      </c>
      <c r="K51" s="227">
        <f t="shared" si="38"/>
        <v>3.4509222105193249E-2</v>
      </c>
      <c r="L51" s="227">
        <f t="shared" si="38"/>
        <v>4.7166587697893059E-2</v>
      </c>
      <c r="M51" s="227">
        <v>1.2783825552366457E-2</v>
      </c>
      <c r="N51" s="227">
        <f t="shared" ref="N51" si="39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269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281</v>
      </c>
      <c r="C54" t="s">
        <v>308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40">O55+AVERAGE($H$54:$K$54)</f>
        <v>794083.58333333337</v>
      </c>
      <c r="P54" s="144">
        <f t="shared" si="40"/>
        <v>794083.58333333337</v>
      </c>
      <c r="Q54" s="144">
        <f t="shared" si="40"/>
        <v>144083.58333333331</v>
      </c>
      <c r="R54" s="144">
        <f t="shared" si="40"/>
        <v>122750.25</v>
      </c>
      <c r="S54" s="144">
        <f t="shared" si="40"/>
        <v>77330.25</v>
      </c>
      <c r="T54" s="144">
        <f t="shared" si="40"/>
        <v>77330.25</v>
      </c>
      <c r="U54" s="144">
        <f t="shared" si="40"/>
        <v>77330.25</v>
      </c>
      <c r="V54" s="144">
        <f t="shared" si="40"/>
        <v>77330.25</v>
      </c>
      <c r="W54" s="144">
        <f t="shared" si="40"/>
        <v>74830.25</v>
      </c>
      <c r="X54" s="144">
        <f t="shared" si="40"/>
        <v>74830.25</v>
      </c>
      <c r="Y54" s="144">
        <f t="shared" si="40"/>
        <v>74830.25</v>
      </c>
      <c r="Z54" s="144">
        <f t="shared" si="40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1">N57+N58+N63</f>
        <v>473700</v>
      </c>
      <c r="O55" s="116">
        <f>O57+O58+SUM(O63:O66)</f>
        <v>719253.33333333337</v>
      </c>
      <c r="P55" s="116">
        <f t="shared" ref="P55:V55" si="42">P57+P58+SUM(P63:P66)</f>
        <v>719253.33333333337</v>
      </c>
      <c r="Q55" s="116">
        <f t="shared" si="42"/>
        <v>69253.333333333328</v>
      </c>
      <c r="R55" s="116">
        <f t="shared" si="42"/>
        <v>47920</v>
      </c>
      <c r="S55" s="116">
        <f t="shared" si="42"/>
        <v>2500</v>
      </c>
      <c r="T55" s="116">
        <f t="shared" si="42"/>
        <v>2500</v>
      </c>
      <c r="U55" s="116">
        <f t="shared" si="42"/>
        <v>2500</v>
      </c>
      <c r="V55" s="116">
        <f t="shared" si="42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337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335</v>
      </c>
      <c r="C57" t="s">
        <v>309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272</v>
      </c>
      <c r="C58" t="s">
        <v>334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282</v>
      </c>
      <c r="B59" s="185" t="s">
        <v>281</v>
      </c>
      <c r="C59" t="s">
        <v>310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283</v>
      </c>
      <c r="B60" s="185" t="s">
        <v>281</v>
      </c>
      <c r="C60" t="s">
        <v>311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284</v>
      </c>
      <c r="B61" s="185" t="s">
        <v>281</v>
      </c>
      <c r="C61" t="s">
        <v>312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338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336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349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283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352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281</v>
      </c>
      <c r="C68" t="s">
        <v>313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C69"/>
      <c r="D69"/>
      <c r="F69" s="197"/>
      <c r="G69" s="197"/>
      <c r="H69" s="197"/>
      <c r="I69" s="202"/>
      <c r="J69" s="202"/>
      <c r="K69" s="202"/>
      <c r="L69" s="202">
        <f>L72-L75-L76-L77</f>
        <v>562900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2">
      <c r="A70" s="35" t="s">
        <v>228</v>
      </c>
      <c r="F70" s="203">
        <f t="shared" ref="F70:L70" si="43">F68-F93</f>
        <v>196851</v>
      </c>
      <c r="G70" s="203">
        <f t="shared" si="43"/>
        <v>189684</v>
      </c>
      <c r="H70" s="203">
        <f t="shared" si="43"/>
        <v>192875</v>
      </c>
      <c r="I70" s="203">
        <f t="shared" si="43"/>
        <v>191507</v>
      </c>
      <c r="J70" s="203">
        <f t="shared" si="43"/>
        <v>203997</v>
      </c>
      <c r="K70" s="203">
        <f t="shared" si="43"/>
        <v>204376</v>
      </c>
      <c r="L70" s="203">
        <f t="shared" si="43"/>
        <v>884250</v>
      </c>
      <c r="M70" s="301">
        <v>242100</v>
      </c>
      <c r="N70" s="308">
        <f>N68-N93</f>
        <v>225951</v>
      </c>
      <c r="O70" s="116"/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2">
      <c r="A71" s="136" t="s">
        <v>229</v>
      </c>
      <c r="F71" s="197"/>
      <c r="G71" s="197"/>
      <c r="H71" s="197"/>
      <c r="I71" s="202"/>
      <c r="J71" s="202"/>
      <c r="K71" s="202"/>
      <c r="L71" s="202">
        <f>L70-L72</f>
        <v>230950</v>
      </c>
      <c r="M71" s="303">
        <v>203600</v>
      </c>
      <c r="N71" s="308">
        <f>N70-N72</f>
        <v>196951</v>
      </c>
      <c r="O71" s="116">
        <f>N71*(1+O87)</f>
        <v>197738.804</v>
      </c>
      <c r="P71" s="116">
        <f t="shared" ref="P71:Z71" si="44">O71*(1+P87)</f>
        <v>198529.75921600001</v>
      </c>
      <c r="Q71" s="116">
        <f t="shared" si="44"/>
        <v>199323.878252864</v>
      </c>
      <c r="R71" s="116">
        <f t="shared" si="44"/>
        <v>200121.17376587546</v>
      </c>
      <c r="S71" s="116">
        <f t="shared" si="44"/>
        <v>200921.65846093895</v>
      </c>
      <c r="T71" s="116">
        <f t="shared" si="44"/>
        <v>201725.34509478271</v>
      </c>
      <c r="U71" s="116">
        <f t="shared" si="44"/>
        <v>202532.24647516184</v>
      </c>
      <c r="V71" s="116">
        <f t="shared" si="44"/>
        <v>203342.37546106247</v>
      </c>
      <c r="W71" s="116">
        <f t="shared" si="44"/>
        <v>204155.74496290673</v>
      </c>
      <c r="X71" s="116">
        <f t="shared" si="44"/>
        <v>204972.36794275834</v>
      </c>
      <c r="Y71" s="116">
        <f t="shared" si="44"/>
        <v>205792.25741452936</v>
      </c>
      <c r="Z71" s="116">
        <f t="shared" si="44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2">
      <c r="A72" s="137" t="s">
        <v>209</v>
      </c>
      <c r="B72" s="138" t="s">
        <v>281</v>
      </c>
      <c r="C72" t="s">
        <v>314</v>
      </c>
      <c r="D72"/>
      <c r="F72" s="204"/>
      <c r="G72" s="204"/>
      <c r="H72" s="204"/>
      <c r="I72" s="205"/>
      <c r="J72" s="205"/>
      <c r="K72" s="205"/>
      <c r="L72" s="205">
        <f>597.9*1000 +L77+L76</f>
        <v>653300</v>
      </c>
      <c r="M72" s="205">
        <f>M75+M76+M77</f>
        <v>87800</v>
      </c>
      <c r="N72" s="205">
        <f>VLOOKUP($C$72,'Haver NA'!$A$1:$J$34,10,0)</f>
        <v>29000</v>
      </c>
      <c r="O72" s="139"/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16" x14ac:dyDescent="0.2">
      <c r="A73" s="134" t="s">
        <v>210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 t="shared" ref="M73:N73" si="45">SUM(M75:M77)</f>
        <v>87800</v>
      </c>
      <c r="N73" s="206">
        <f t="shared" si="45"/>
        <v>87200</v>
      </c>
      <c r="O73" s="116">
        <f t="shared" ref="O73:Z73" si="46">O74+O78</f>
        <v>149000</v>
      </c>
      <c r="P73" s="116">
        <f t="shared" si="46"/>
        <v>121000</v>
      </c>
      <c r="Q73" s="116">
        <f t="shared" si="46"/>
        <v>121000</v>
      </c>
      <c r="R73" s="116">
        <f t="shared" si="46"/>
        <v>115000</v>
      </c>
      <c r="S73" s="116">
        <f t="shared" si="46"/>
        <v>109000</v>
      </c>
      <c r="T73" s="116">
        <f t="shared" si="46"/>
        <v>109000</v>
      </c>
      <c r="U73" s="116">
        <f t="shared" si="46"/>
        <v>109000</v>
      </c>
      <c r="V73" s="116">
        <f t="shared" si="46"/>
        <v>109000</v>
      </c>
      <c r="W73" s="116">
        <f t="shared" si="46"/>
        <v>109000</v>
      </c>
      <c r="X73" s="116">
        <f t="shared" si="46"/>
        <v>59000</v>
      </c>
      <c r="Y73" s="116">
        <f t="shared" si="46"/>
        <v>59000</v>
      </c>
      <c r="Z73" s="116">
        <f t="shared" si="46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ht="16" x14ac:dyDescent="0.2">
      <c r="A74" s="219" t="s">
        <v>341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>SUM(O75:O77)</f>
        <v>90000</v>
      </c>
      <c r="P74" s="116">
        <f t="shared" ref="P74:Z74" si="47">SUM(P75:P77)</f>
        <v>62000</v>
      </c>
      <c r="Q74" s="116">
        <f t="shared" si="47"/>
        <v>62000</v>
      </c>
      <c r="R74" s="116">
        <f t="shared" si="47"/>
        <v>56000</v>
      </c>
      <c r="S74" s="116">
        <f t="shared" si="47"/>
        <v>50000</v>
      </c>
      <c r="T74" s="116">
        <f t="shared" si="47"/>
        <v>50000</v>
      </c>
      <c r="U74" s="116">
        <f t="shared" si="47"/>
        <v>50000</v>
      </c>
      <c r="V74" s="116">
        <f t="shared" si="47"/>
        <v>50000</v>
      </c>
      <c r="W74" s="116">
        <f t="shared" si="47"/>
        <v>50000</v>
      </c>
      <c r="X74" s="116">
        <f t="shared" si="47"/>
        <v>0</v>
      </c>
      <c r="Y74" s="116">
        <f t="shared" si="47"/>
        <v>0</v>
      </c>
      <c r="Z74" s="116">
        <f t="shared" si="47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197</v>
      </c>
      <c r="C75" s="35" t="s">
        <v>378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60000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2">
      <c r="A76" s="113" t="s">
        <v>198</v>
      </c>
      <c r="C76" s="35" t="s">
        <v>379</v>
      </c>
      <c r="F76" s="197"/>
      <c r="G76" s="197"/>
      <c r="H76" s="197"/>
      <c r="I76" s="202"/>
      <c r="J76" s="202"/>
      <c r="K76" s="202"/>
      <c r="L76" s="202">
        <v>28400</v>
      </c>
      <c r="M76" s="301">
        <v>15800</v>
      </c>
      <c r="N76" s="308">
        <v>15200</v>
      </c>
      <c r="O76" s="116">
        <v>18000</v>
      </c>
      <c r="P76" s="116">
        <v>0</v>
      </c>
      <c r="Q76" s="116">
        <v>0</v>
      </c>
      <c r="R76" s="116">
        <v>0</v>
      </c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M76" s="233"/>
    </row>
    <row r="77" spans="1:39" s="35" customFormat="1" x14ac:dyDescent="0.2">
      <c r="A77" s="113" t="s">
        <v>201</v>
      </c>
      <c r="C77" s="35" t="s">
        <v>380</v>
      </c>
      <c r="F77" s="197"/>
      <c r="G77" s="197"/>
      <c r="H77" s="197"/>
      <c r="I77" s="202"/>
      <c r="J77" s="202"/>
      <c r="K77" s="202"/>
      <c r="L77" s="202">
        <v>27000</v>
      </c>
      <c r="M77" s="301">
        <v>27000</v>
      </c>
      <c r="N77" s="308">
        <v>12000</v>
      </c>
      <c r="O77" s="116">
        <v>12000</v>
      </c>
      <c r="P77" s="116">
        <v>12000</v>
      </c>
      <c r="Q77" s="116">
        <v>12000</v>
      </c>
      <c r="R77" s="116">
        <v>6000</v>
      </c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M77" s="233"/>
    </row>
    <row r="78" spans="1:39" s="35" customFormat="1" x14ac:dyDescent="0.2">
      <c r="A78" s="220" t="s">
        <v>342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59000</v>
      </c>
      <c r="P78" s="116">
        <f t="shared" ref="P78:Z78" si="48">SUM(P79:P82)</f>
        <v>59000</v>
      </c>
      <c r="Q78" s="116">
        <f t="shared" si="48"/>
        <v>59000</v>
      </c>
      <c r="R78" s="116">
        <f t="shared" si="48"/>
        <v>59000</v>
      </c>
      <c r="S78" s="116">
        <f t="shared" si="48"/>
        <v>59000</v>
      </c>
      <c r="T78" s="116">
        <f t="shared" si="48"/>
        <v>59000</v>
      </c>
      <c r="U78" s="116">
        <f t="shared" si="48"/>
        <v>59000</v>
      </c>
      <c r="V78" s="116">
        <f t="shared" si="48"/>
        <v>59000</v>
      </c>
      <c r="W78" s="116">
        <f t="shared" si="48"/>
        <v>59000</v>
      </c>
      <c r="X78" s="116">
        <f t="shared" si="48"/>
        <v>59000</v>
      </c>
      <c r="Y78" s="116">
        <f t="shared" si="48"/>
        <v>59000</v>
      </c>
      <c r="Z78" s="116">
        <f t="shared" si="48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2">
      <c r="A79" s="282" t="s">
        <v>343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344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</f>
        <v>27333.333333333332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348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2">
      <c r="A82" s="282" t="s">
        <v>350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2">
      <c r="A83" s="145" t="s">
        <v>217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>L71+L73</f>
        <v>321350</v>
      </c>
      <c r="M83" s="206">
        <f>M71+M73</f>
        <v>291400</v>
      </c>
      <c r="N83" s="308">
        <f>N71+N73</f>
        <v>284151</v>
      </c>
      <c r="O83" s="144">
        <f t="shared" ref="O83:Z83" si="49">O71+O73</f>
        <v>346738.804</v>
      </c>
      <c r="P83" s="144">
        <f t="shared" si="49"/>
        <v>319529.75921599998</v>
      </c>
      <c r="Q83" s="144">
        <f t="shared" si="49"/>
        <v>320323.878252864</v>
      </c>
      <c r="R83" s="144">
        <f t="shared" si="49"/>
        <v>315121.17376587546</v>
      </c>
      <c r="S83" s="144">
        <f t="shared" si="49"/>
        <v>309921.65846093895</v>
      </c>
      <c r="T83" s="144">
        <f t="shared" si="49"/>
        <v>310725.34509478271</v>
      </c>
      <c r="U83" s="144">
        <f t="shared" si="49"/>
        <v>311532.24647516187</v>
      </c>
      <c r="V83" s="144">
        <f t="shared" si="49"/>
        <v>312342.37546106247</v>
      </c>
      <c r="W83" s="144">
        <f t="shared" si="49"/>
        <v>313155.7449629067</v>
      </c>
      <c r="X83" s="144">
        <f t="shared" si="49"/>
        <v>263972.36794275837</v>
      </c>
      <c r="Y83" s="144">
        <f t="shared" si="49"/>
        <v>264792.25741452933</v>
      </c>
      <c r="Z83" s="144">
        <f t="shared" si="49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2">
      <c r="A85" s="35" t="s">
        <v>17</v>
      </c>
      <c r="B85" s="35" t="s">
        <v>281</v>
      </c>
      <c r="C85" t="s">
        <v>315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203</v>
      </c>
      <c r="B86" s="35" t="s">
        <v>281</v>
      </c>
      <c r="C86" t="s">
        <v>316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2">
      <c r="A87" s="114" t="s">
        <v>381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15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2">
      <c r="A89" s="114" t="s">
        <v>357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50">SUM(P90:P92)</f>
        <v>71400</v>
      </c>
      <c r="Q89" s="102">
        <f t="shared" si="50"/>
        <v>30600</v>
      </c>
      <c r="R89" s="102">
        <f t="shared" si="50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2">
      <c r="A90" s="284" t="s">
        <v>353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354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2">
      <c r="A92" s="284" t="s">
        <v>355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2">
      <c r="A93" s="35" t="s">
        <v>204</v>
      </c>
      <c r="B93" s="35" t="s">
        <v>281</v>
      </c>
      <c r="C93" t="s">
        <v>317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51">O100*0.74</f>
        <v>507477.24811825115</v>
      </c>
      <c r="P93" s="116">
        <f t="shared" si="51"/>
        <v>512541.31638321205</v>
      </c>
      <c r="Q93" s="116">
        <f t="shared" si="51"/>
        <v>512541.31638321205</v>
      </c>
      <c r="R93" s="116">
        <f t="shared" si="51"/>
        <v>512541.31638321205</v>
      </c>
      <c r="S93" s="116">
        <f t="shared" si="51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2">
      <c r="A94" s="141" t="s">
        <v>161</v>
      </c>
      <c r="B94" s="141"/>
      <c r="E94" s="141"/>
      <c r="F94" s="201">
        <f t="shared" ref="F94:L94" si="52">F50+F47+F36+F42</f>
        <v>1440187</v>
      </c>
      <c r="G94" s="201">
        <f t="shared" si="52"/>
        <v>1503410</v>
      </c>
      <c r="H94" s="201">
        <f t="shared" si="52"/>
        <v>1508652</v>
      </c>
      <c r="I94" s="201">
        <f t="shared" si="52"/>
        <v>1513957</v>
      </c>
      <c r="J94" s="201">
        <f t="shared" si="52"/>
        <v>1521941</v>
      </c>
      <c r="K94" s="201">
        <f t="shared" si="52"/>
        <v>1574462</v>
      </c>
      <c r="L94" s="201">
        <f t="shared" si="52"/>
        <v>3729557.333333333</v>
      </c>
      <c r="M94" s="301">
        <v>2466001</v>
      </c>
      <c r="N94" s="306">
        <f>N50+N47+N36+N42+N37</f>
        <v>2027793</v>
      </c>
      <c r="O94" s="142">
        <f t="shared" ref="O94:Z94" si="53">O50+O47+O36+O42+O37+O38+O39</f>
        <v>3107701.3980484894</v>
      </c>
      <c r="P94" s="142">
        <f t="shared" si="53"/>
        <v>1874848.87398125</v>
      </c>
      <c r="Q94" s="142">
        <f t="shared" si="53"/>
        <v>1686467.5074263907</v>
      </c>
      <c r="R94" s="142">
        <f t="shared" si="53"/>
        <v>1683044.5200377863</v>
      </c>
      <c r="S94" s="142">
        <f t="shared" si="53"/>
        <v>1687990.187838353</v>
      </c>
      <c r="T94" s="142">
        <f t="shared" si="53"/>
        <v>1713310.0406559282</v>
      </c>
      <c r="U94" s="142">
        <f t="shared" si="53"/>
        <v>1739009.691265767</v>
      </c>
      <c r="V94" s="142">
        <f t="shared" si="53"/>
        <v>1756399.7881784246</v>
      </c>
      <c r="W94" s="142">
        <f t="shared" si="53"/>
        <v>0</v>
      </c>
      <c r="X94" s="142">
        <f t="shared" si="53"/>
        <v>0</v>
      </c>
      <c r="Y94" s="142">
        <f t="shared" si="53"/>
        <v>0</v>
      </c>
      <c r="Z94" s="142">
        <f t="shared" si="53"/>
        <v>0</v>
      </c>
      <c r="AM94" s="233"/>
    </row>
    <row r="95" spans="1:39" s="35" customFormat="1" x14ac:dyDescent="0.2">
      <c r="A95" s="141" t="s">
        <v>214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4">N93+N35</f>
        <v>1372787</v>
      </c>
      <c r="O95" s="143">
        <f t="shared" si="54"/>
        <v>1390610.1625906522</v>
      </c>
      <c r="P95" s="143">
        <f t="shared" si="54"/>
        <v>1418489.158978964</v>
      </c>
      <c r="Q95" s="143">
        <f t="shared" si="54"/>
        <v>1441583.4808422038</v>
      </c>
      <c r="R95" s="143">
        <f t="shared" si="54"/>
        <v>1483962.7404801806</v>
      </c>
      <c r="S95" s="143">
        <f t="shared" si="54"/>
        <v>1515727.7827888038</v>
      </c>
      <c r="T95" s="143">
        <f t="shared" si="54"/>
        <v>1506974.123618965</v>
      </c>
      <c r="U95" s="143">
        <f t="shared" si="54"/>
        <v>1540850.5361376633</v>
      </c>
      <c r="V95" s="143">
        <f t="shared" si="54"/>
        <v>1551631.6801380017</v>
      </c>
      <c r="W95" s="143">
        <f t="shared" si="54"/>
        <v>1091537.5543621723</v>
      </c>
      <c r="X95" s="143">
        <f t="shared" si="54"/>
        <v>1102537.0783156503</v>
      </c>
      <c r="Y95" s="143">
        <f t="shared" si="54"/>
        <v>1113647.4454798999</v>
      </c>
      <c r="Z95" s="143">
        <f t="shared" si="54"/>
        <v>0</v>
      </c>
      <c r="AM95" s="233"/>
    </row>
    <row r="96" spans="1:39" s="35" customFormat="1" x14ac:dyDescent="0.2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2">
      <c r="A97" s="35" t="s">
        <v>15</v>
      </c>
      <c r="B97" s="35" t="s">
        <v>281</v>
      </c>
      <c r="C97" t="s">
        <v>318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5">O98+O100</f>
        <v>831250.83502466371</v>
      </c>
      <c r="P97" s="133">
        <f t="shared" si="55"/>
        <v>838457.84744285408</v>
      </c>
      <c r="Q97" s="133">
        <f t="shared" si="55"/>
        <v>839187.01967747905</v>
      </c>
      <c r="R97" s="133">
        <f t="shared" si="55"/>
        <v>840286.24682117626</v>
      </c>
      <c r="S97" s="133">
        <f t="shared" si="55"/>
        <v>841762.8752842095</v>
      </c>
      <c r="T97" s="133">
        <f t="shared" si="55"/>
        <v>843107.97501111636</v>
      </c>
      <c r="U97" s="133">
        <f t="shared" si="55"/>
        <v>844539.45728929248</v>
      </c>
      <c r="V97" s="133">
        <f t="shared" ref="V97" si="56">V98+V100</f>
        <v>846032.64138980373</v>
      </c>
      <c r="AM97" s="233"/>
    </row>
    <row r="98" spans="1:39" s="35" customFormat="1" x14ac:dyDescent="0.2">
      <c r="A98" s="35" t="s">
        <v>230</v>
      </c>
      <c r="F98" s="203">
        <f t="shared" ref="F98:K98" si="57">F97-F100</f>
        <v>139025</v>
      </c>
      <c r="G98" s="203">
        <f t="shared" si="57"/>
        <v>139342</v>
      </c>
      <c r="H98" s="203">
        <f t="shared" si="57"/>
        <v>140228</v>
      </c>
      <c r="I98" s="203">
        <f t="shared" si="57"/>
        <v>141105</v>
      </c>
      <c r="J98" s="203">
        <f t="shared" si="57"/>
        <v>141335</v>
      </c>
      <c r="K98" s="203">
        <f t="shared" si="57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8">O98*(1+P110)</f>
        <v>145834.44692499997</v>
      </c>
      <c r="Q98" s="133">
        <f t="shared" si="58"/>
        <v>146563.61915962494</v>
      </c>
      <c r="R98" s="133">
        <f t="shared" si="58"/>
        <v>147662.84630332215</v>
      </c>
      <c r="S98" s="133">
        <f t="shared" si="58"/>
        <v>149139.47476635536</v>
      </c>
      <c r="T98" s="133">
        <f t="shared" ref="T98:V98" si="59">S98*(1+T109)</f>
        <v>150484.57449326222</v>
      </c>
      <c r="U98" s="133">
        <f t="shared" si="59"/>
        <v>151916.05677143831</v>
      </c>
      <c r="V98" s="133">
        <f t="shared" si="59"/>
        <v>153409.24087194959</v>
      </c>
      <c r="AM98" s="233"/>
    </row>
    <row r="99" spans="1:39" s="35" customFormat="1" x14ac:dyDescent="0.2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2">
      <c r="A100" s="35" t="s">
        <v>227</v>
      </c>
      <c r="B100" s="35" t="s">
        <v>281</v>
      </c>
      <c r="C100" t="s">
        <v>319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60">Q100*(1+R101)</f>
        <v>692623.40051785414</v>
      </c>
      <c r="S100" s="135">
        <f t="shared" si="60"/>
        <v>692623.40051785414</v>
      </c>
      <c r="T100" s="135">
        <f t="shared" si="60"/>
        <v>692623.40051785414</v>
      </c>
      <c r="U100" s="135">
        <f t="shared" si="60"/>
        <v>692623.40051785414</v>
      </c>
      <c r="V100" s="135">
        <f t="shared" si="60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2">
      <c r="A101" s="169" t="s">
        <v>269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15">
      <c r="A102" s="153" t="s">
        <v>222</v>
      </c>
      <c r="F102" s="208">
        <f t="shared" ref="F102:L102" si="61">F93/F100</f>
        <v>0.66058231423538405</v>
      </c>
      <c r="G102" s="208">
        <f t="shared" si="61"/>
        <v>0.6749214177505789</v>
      </c>
      <c r="H102" s="208">
        <f t="shared" si="61"/>
        <v>0.68242012696430432</v>
      </c>
      <c r="I102" s="208">
        <f t="shared" si="61"/>
        <v>0.6730637268687778</v>
      </c>
      <c r="J102" s="208">
        <f t="shared" si="61"/>
        <v>0.66395699382859508</v>
      </c>
      <c r="K102" s="208">
        <f t="shared" si="61"/>
        <v>0.67846773573296415</v>
      </c>
      <c r="L102" s="208">
        <f t="shared" si="61"/>
        <v>0.76648081779484256</v>
      </c>
      <c r="M102" s="208">
        <v>0.71094027669909299</v>
      </c>
      <c r="N102" s="208">
        <f t="shared" ref="N102" si="62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2">
      <c r="A103" s="35" t="s">
        <v>18</v>
      </c>
      <c r="B103" s="35" t="s">
        <v>281</v>
      </c>
      <c r="C103" t="s">
        <v>320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3">O103*(1+P105)</f>
        <v>2031.5173022625379</v>
      </c>
      <c r="Q103" s="35">
        <f t="shared" si="63"/>
        <v>2046.001536440413</v>
      </c>
      <c r="R103" s="35">
        <f t="shared" si="63"/>
        <v>2056.0370415493694</v>
      </c>
      <c r="S103" s="35">
        <f t="shared" si="63"/>
        <v>2065.9690878427696</v>
      </c>
      <c r="T103" s="35">
        <f t="shared" si="63"/>
        <v>2073.2112049317075</v>
      </c>
      <c r="U103" s="35">
        <f t="shared" si="63"/>
        <v>2077.6599340006264</v>
      </c>
      <c r="V103" s="35">
        <f t="shared" si="63"/>
        <v>2079.3152750495265</v>
      </c>
      <c r="AM103" s="233"/>
    </row>
    <row r="104" spans="1:39" s="185" customFormat="1" x14ac:dyDescent="0.2">
      <c r="A104" s="169" t="s">
        <v>285</v>
      </c>
      <c r="B104" s="35"/>
      <c r="C104" s="35"/>
      <c r="D104" s="35"/>
      <c r="F104" s="200"/>
      <c r="G104" s="200">
        <f t="shared" ref="G104:L104" si="64">(G103/F103)-1</f>
        <v>7.8113264233139468E-3</v>
      </c>
      <c r="H104" s="200">
        <f t="shared" si="64"/>
        <v>6.3596164356336526E-3</v>
      </c>
      <c r="I104" s="200">
        <f t="shared" si="64"/>
        <v>1.3823747222907468E-3</v>
      </c>
      <c r="J104" s="200">
        <f t="shared" si="64"/>
        <v>3.5990731154167399E-3</v>
      </c>
      <c r="K104" s="200">
        <f t="shared" si="64"/>
        <v>2.6527805069758159E-3</v>
      </c>
      <c r="L104" s="200">
        <f t="shared" si="64"/>
        <v>-1.36697697207252E-2</v>
      </c>
      <c r="M104" s="302">
        <v>-9.9592668024439668E-3</v>
      </c>
      <c r="N104" s="324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2">
      <c r="A105" s="169" t="s">
        <v>286</v>
      </c>
      <c r="B105" s="35" t="s">
        <v>281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2">
      <c r="A106" s="35" t="s">
        <v>216</v>
      </c>
      <c r="B106" s="35" t="s">
        <v>281</v>
      </c>
      <c r="C106" t="s">
        <v>321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2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5">O107*(1+P110)</f>
        <v>0</v>
      </c>
      <c r="Q107">
        <f t="shared" si="65"/>
        <v>0</v>
      </c>
      <c r="R107">
        <f t="shared" si="65"/>
        <v>0</v>
      </c>
      <c r="S107">
        <f t="shared" si="65"/>
        <v>0</v>
      </c>
      <c r="T107">
        <f>S107*(1+T109)</f>
        <v>0</v>
      </c>
      <c r="U107">
        <f t="shared" ref="U107:V107" si="66">T107*(1+U109)</f>
        <v>0</v>
      </c>
      <c r="V107">
        <f t="shared" si="66"/>
        <v>0</v>
      </c>
      <c r="W107"/>
      <c r="X107"/>
      <c r="Y107"/>
      <c r="AM107" s="233"/>
    </row>
    <row r="108" spans="1:39" s="185" customFormat="1" x14ac:dyDescent="0.2">
      <c r="A108" s="169" t="s">
        <v>285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7">(K106/J106)-1</f>
        <v>1.0265546788835067E-2</v>
      </c>
      <c r="L108" s="200">
        <f t="shared" ref="L108" si="68">(L106/K106)-1</f>
        <v>-1.9776620759153429E-2</v>
      </c>
      <c r="M108" s="302">
        <v>-8.3608921686818549E-3</v>
      </c>
      <c r="N108" s="324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2">
      <c r="A109" s="169" t="s">
        <v>286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2">
      <c r="A110" s="169" t="s">
        <v>373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2">
      <c r="A111" s="35" t="s">
        <v>163</v>
      </c>
      <c r="F111" s="201">
        <f t="shared" ref="F111:L111" si="69">F97+F46-F93</f>
        <v>339220</v>
      </c>
      <c r="G111" s="201">
        <f t="shared" si="69"/>
        <v>334185</v>
      </c>
      <c r="H111" s="201">
        <f t="shared" si="69"/>
        <v>335532</v>
      </c>
      <c r="I111" s="201">
        <f t="shared" si="69"/>
        <v>344546</v>
      </c>
      <c r="J111" s="201">
        <f t="shared" si="69"/>
        <v>349558</v>
      </c>
      <c r="K111" s="201">
        <f t="shared" si="69"/>
        <v>343658</v>
      </c>
      <c r="L111" s="201">
        <f t="shared" si="69"/>
        <v>560584.66666666674</v>
      </c>
      <c r="M111" s="301">
        <v>528408</v>
      </c>
      <c r="N111" s="306">
        <f t="shared" ref="N111:Y111" si="70">N97+N46-N93</f>
        <v>343247</v>
      </c>
      <c r="O111" s="215">
        <f t="shared" si="70"/>
        <v>383773.58690641256</v>
      </c>
      <c r="P111" s="215">
        <f t="shared" si="70"/>
        <v>369916.53105964203</v>
      </c>
      <c r="Q111" s="215">
        <f t="shared" si="70"/>
        <v>370645.703294267</v>
      </c>
      <c r="R111" s="215">
        <f t="shared" si="70"/>
        <v>371744.93043796421</v>
      </c>
      <c r="S111" s="215">
        <f t="shared" si="70"/>
        <v>373221.55890099745</v>
      </c>
      <c r="T111" s="215">
        <f t="shared" si="70"/>
        <v>416124.06265897548</v>
      </c>
      <c r="U111" s="215">
        <f t="shared" si="70"/>
        <v>417555.5449371516</v>
      </c>
      <c r="V111" s="215">
        <f t="shared" si="70"/>
        <v>419048.72903766285</v>
      </c>
      <c r="W111" s="215">
        <f t="shared" si="70"/>
        <v>0</v>
      </c>
      <c r="X111" s="215">
        <f t="shared" si="70"/>
        <v>0</v>
      </c>
      <c r="Y111" s="215">
        <f t="shared" si="70"/>
        <v>0</v>
      </c>
      <c r="AM111" s="233"/>
    </row>
    <row r="112" spans="1:39" s="35" customFormat="1" x14ac:dyDescent="0.2">
      <c r="A112" s="141" t="s">
        <v>213</v>
      </c>
      <c r="B112" s="141"/>
      <c r="E112" s="141"/>
      <c r="F112" s="201">
        <f t="shared" ref="F112:L112" si="71">F100-F93</f>
        <v>200195</v>
      </c>
      <c r="G112" s="201">
        <f t="shared" si="71"/>
        <v>194843</v>
      </c>
      <c r="H112" s="201">
        <f t="shared" si="71"/>
        <v>195304</v>
      </c>
      <c r="I112" s="201">
        <f t="shared" si="71"/>
        <v>203441</v>
      </c>
      <c r="J112" s="201">
        <f t="shared" si="71"/>
        <v>208223</v>
      </c>
      <c r="K112" s="201">
        <f t="shared" si="71"/>
        <v>200667</v>
      </c>
      <c r="L112" s="201">
        <f t="shared" si="71"/>
        <v>156183</v>
      </c>
      <c r="M112" s="301">
        <v>197631</v>
      </c>
      <c r="N112" s="306">
        <f>N100-N93</f>
        <v>161439</v>
      </c>
      <c r="O112" s="142">
        <f t="shared" ref="O112:Y112" si="72">O100-O93</f>
        <v>178302.81690641254</v>
      </c>
      <c r="P112" s="142">
        <f t="shared" si="72"/>
        <v>180082.08413464209</v>
      </c>
      <c r="Q112" s="142">
        <f t="shared" si="72"/>
        <v>180082.08413464209</v>
      </c>
      <c r="R112" s="142">
        <f t="shared" si="72"/>
        <v>180082.08413464209</v>
      </c>
      <c r="S112" s="142">
        <f t="shared" si="72"/>
        <v>180082.08413464209</v>
      </c>
      <c r="T112" s="142">
        <f t="shared" si="72"/>
        <v>221639.48816571326</v>
      </c>
      <c r="U112" s="142">
        <f t="shared" si="72"/>
        <v>221639.48816571326</v>
      </c>
      <c r="V112" s="142">
        <f t="shared" si="72"/>
        <v>221639.48816571326</v>
      </c>
      <c r="W112" s="142">
        <f t="shared" si="72"/>
        <v>0</v>
      </c>
      <c r="X112" s="142">
        <f t="shared" si="72"/>
        <v>0</v>
      </c>
      <c r="Y112" s="142">
        <f t="shared" si="72"/>
        <v>0</v>
      </c>
      <c r="AM112" s="233"/>
    </row>
    <row r="113" spans="1:39" s="141" customFormat="1" x14ac:dyDescent="0.2">
      <c r="A113" s="141" t="s">
        <v>231</v>
      </c>
      <c r="C113" s="35"/>
      <c r="D113" s="35"/>
      <c r="F113" s="201">
        <f t="shared" ref="F113:K113" si="73">F111-F112</f>
        <v>139025</v>
      </c>
      <c r="G113" s="201">
        <f t="shared" si="73"/>
        <v>139342</v>
      </c>
      <c r="H113" s="201">
        <f t="shared" si="73"/>
        <v>140228</v>
      </c>
      <c r="I113" s="201">
        <f t="shared" si="73"/>
        <v>141105</v>
      </c>
      <c r="J113" s="201">
        <f t="shared" si="73"/>
        <v>141335</v>
      </c>
      <c r="K113" s="201">
        <f t="shared" si="73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4">O111-O112</f>
        <v>205470.77000000002</v>
      </c>
      <c r="P113" s="142">
        <f t="shared" si="74"/>
        <v>189834.44692499994</v>
      </c>
      <c r="Q113" s="142">
        <f t="shared" si="74"/>
        <v>190563.61915962491</v>
      </c>
      <c r="R113" s="142">
        <f t="shared" si="74"/>
        <v>191662.84630332212</v>
      </c>
      <c r="S113" s="142">
        <f t="shared" si="74"/>
        <v>193139.47476635536</v>
      </c>
      <c r="T113" s="142">
        <f t="shared" si="74"/>
        <v>194484.57449326222</v>
      </c>
      <c r="U113" s="142">
        <f t="shared" si="74"/>
        <v>195916.05677143834</v>
      </c>
      <c r="V113" s="142">
        <f t="shared" si="74"/>
        <v>197409.24087194959</v>
      </c>
      <c r="W113" s="142">
        <f t="shared" si="74"/>
        <v>0</v>
      </c>
      <c r="X113" s="142">
        <f t="shared" si="74"/>
        <v>0</v>
      </c>
      <c r="Y113" s="142">
        <f t="shared" si="74"/>
        <v>0</v>
      </c>
      <c r="AM113" s="256"/>
    </row>
    <row r="114" spans="1:39" s="35" customFormat="1" x14ac:dyDescent="0.2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2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2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356</v>
      </c>
      <c r="B1" s="97" t="s">
        <v>358</v>
      </c>
      <c r="C1" s="97" t="s">
        <v>359</v>
      </c>
    </row>
    <row r="2" spans="1:3" x14ac:dyDescent="0.2">
      <c r="A2" s="289" t="s">
        <v>361</v>
      </c>
      <c r="B2" s="289">
        <v>325</v>
      </c>
      <c r="C2" s="290">
        <f>B2*1000</f>
        <v>325000</v>
      </c>
    </row>
    <row r="3" spans="1:3" x14ac:dyDescent="0.2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363</v>
      </c>
      <c r="B6" s="289">
        <v>63</v>
      </c>
      <c r="C6" s="290">
        <f t="shared" si="0"/>
        <v>63000</v>
      </c>
    </row>
    <row r="7" spans="1:3" x14ac:dyDescent="0.2">
      <c r="A7" s="291" t="s">
        <v>353</v>
      </c>
      <c r="B7">
        <v>22</v>
      </c>
      <c r="C7" s="290">
        <f>B7*1000</f>
        <v>22000</v>
      </c>
    </row>
    <row r="8" spans="1:3" x14ac:dyDescent="0.2">
      <c r="A8" s="176" t="s">
        <v>354</v>
      </c>
      <c r="B8">
        <v>20</v>
      </c>
      <c r="C8" s="290">
        <f>B8*1000</f>
        <v>20000</v>
      </c>
    </row>
    <row r="9" spans="1:3" x14ac:dyDescent="0.2">
      <c r="A9" s="176" t="s">
        <v>355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364</v>
      </c>
      <c r="B11" s="289">
        <v>45</v>
      </c>
      <c r="C11" s="290">
        <f t="shared" si="0"/>
        <v>45000</v>
      </c>
    </row>
    <row r="12" spans="1:3" x14ac:dyDescent="0.2">
      <c r="A12" s="291" t="s">
        <v>365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366</v>
      </c>
      <c r="B14" s="289">
        <v>80</v>
      </c>
      <c r="C14" s="290">
        <f t="shared" si="0"/>
        <v>80000</v>
      </c>
    </row>
    <row r="15" spans="1:3" x14ac:dyDescent="0.2">
      <c r="A15" s="291" t="s">
        <v>347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367</v>
      </c>
      <c r="B17">
        <v>30</v>
      </c>
      <c r="C17" s="290">
        <f t="shared" si="0"/>
        <v>30000</v>
      </c>
    </row>
    <row r="18" spans="1:3" x14ac:dyDescent="0.2">
      <c r="A18" s="291" t="s">
        <v>368</v>
      </c>
      <c r="B18">
        <v>20</v>
      </c>
      <c r="C18" s="290">
        <f t="shared" si="0"/>
        <v>20000</v>
      </c>
    </row>
    <row r="19" spans="1:3" x14ac:dyDescent="0.2">
      <c r="A19" s="291" t="s">
        <v>369</v>
      </c>
      <c r="B19">
        <v>5</v>
      </c>
      <c r="C19" s="290">
        <f t="shared" si="0"/>
        <v>5000</v>
      </c>
    </row>
    <row r="20" spans="1:3" ht="16" thickBot="1" x14ac:dyDescent="0.25">
      <c r="A20" s="293" t="s">
        <v>370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30" zoomScaleNormal="130" workbookViewId="0">
      <pane xSplit="2" ySplit="8" topLeftCell="C51" activePane="bottomRight" state="frozen"/>
      <selection pane="topRight" activeCell="C1" sqref="C1"/>
      <selection pane="bottomLeft" activeCell="A9" sqref="A9"/>
      <selection pane="bottomRight" activeCell="E68" sqref="E68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35" t="s">
        <v>207</v>
      </c>
      <c r="B1" s="336"/>
      <c r="C1" s="35"/>
      <c r="H1"/>
      <c r="I1" s="240"/>
      <c r="J1" s="343" t="s">
        <v>280</v>
      </c>
      <c r="V1" s="327"/>
      <c r="W1" s="327"/>
      <c r="X1" s="327"/>
      <c r="Y1" s="327"/>
    </row>
    <row r="2" spans="1:50" x14ac:dyDescent="0.2">
      <c r="A2" s="337" t="s">
        <v>191</v>
      </c>
      <c r="B2" s="126"/>
      <c r="C2" t="s">
        <v>192</v>
      </c>
      <c r="I2" s="241"/>
      <c r="J2" s="343"/>
    </row>
    <row r="3" spans="1:50" x14ac:dyDescent="0.2">
      <c r="A3" s="338"/>
      <c r="B3" s="127"/>
      <c r="C3" t="s">
        <v>193</v>
      </c>
      <c r="I3" s="241"/>
      <c r="J3" s="343"/>
    </row>
    <row r="4" spans="1:50" x14ac:dyDescent="0.2">
      <c r="A4" s="338"/>
      <c r="B4" s="128"/>
      <c r="C4" t="s">
        <v>194</v>
      </c>
    </row>
    <row r="5" spans="1:50" x14ac:dyDescent="0.2">
      <c r="A5" s="339"/>
      <c r="B5" s="129"/>
      <c r="C5" t="s">
        <v>181</v>
      </c>
    </row>
    <row r="7" spans="1:50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274</v>
      </c>
      <c r="T7" s="341"/>
      <c r="U7" s="341"/>
      <c r="V7" s="341"/>
      <c r="W7" s="340" t="s">
        <v>275</v>
      </c>
      <c r="X7" s="341"/>
      <c r="Y7" s="341"/>
      <c r="Z7" s="341"/>
      <c r="AA7" s="222" t="s">
        <v>276</v>
      </c>
    </row>
    <row r="8" spans="1:50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50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2">
      <c r="B17" t="s">
        <v>195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2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222.38398180893643</v>
      </c>
      <c r="O21" s="149">
        <f t="shared" ref="O21:AA21" si="0">N21*(1+O23)</f>
        <v>219.97510963898975</v>
      </c>
      <c r="P21" s="104">
        <f t="shared" si="0"/>
        <v>217.56623746904302</v>
      </c>
      <c r="Q21" s="104">
        <f t="shared" si="0"/>
        <v>215.15736529909634</v>
      </c>
      <c r="R21" s="104">
        <f t="shared" si="0"/>
        <v>212.74849312914972</v>
      </c>
      <c r="S21" s="149">
        <f t="shared" si="0"/>
        <v>214.00672523264191</v>
      </c>
      <c r="T21" s="104">
        <f t="shared" si="0"/>
        <v>215.26495733613436</v>
      </c>
      <c r="U21" s="104">
        <f t="shared" si="0"/>
        <v>216.5231894396268</v>
      </c>
      <c r="V21" s="104">
        <f t="shared" si="0"/>
        <v>217.78142154311925</v>
      </c>
      <c r="W21" s="149">
        <f t="shared" si="0"/>
        <v>221.01783327030444</v>
      </c>
      <c r="X21" s="104">
        <f t="shared" si="0"/>
        <v>224.25424499748959</v>
      </c>
      <c r="Y21" s="104">
        <f t="shared" si="0"/>
        <v>227.49065672467492</v>
      </c>
      <c r="Z21" s="104">
        <f t="shared" si="0"/>
        <v>230.72706845186019</v>
      </c>
      <c r="AA21" s="149">
        <f t="shared" si="0"/>
        <v>233.9500717241782</v>
      </c>
      <c r="AB21" s="95"/>
    </row>
    <row r="22" spans="1:47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15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14.491993784139481</v>
      </c>
      <c r="I24" s="217">
        <f t="shared" ref="I24" si="19">I21-I22</f>
        <v>10.308903433636999</v>
      </c>
      <c r="J24" s="217">
        <f t="shared" ref="J24" si="20">J21-J22</f>
        <v>6.1258130831341759</v>
      </c>
      <c r="K24" s="150">
        <f t="shared" ref="K24:AA24" si="21">K21-K22</f>
        <v>5.5355405576544001</v>
      </c>
      <c r="L24" s="217">
        <f t="shared" si="21"/>
        <v>46.502672063245768</v>
      </c>
      <c r="M24" s="239">
        <f t="shared" si="21"/>
        <v>45.912399537766049</v>
      </c>
      <c r="N24" s="217">
        <f t="shared" si="21"/>
        <v>46.066620655509439</v>
      </c>
      <c r="O24" s="150">
        <f t="shared" si="21"/>
        <v>45.567625181294545</v>
      </c>
      <c r="P24" s="217">
        <f t="shared" si="21"/>
        <v>45.068629707079623</v>
      </c>
      <c r="Q24" s="217">
        <f t="shared" si="21"/>
        <v>44.569634232864729</v>
      </c>
      <c r="R24" s="217">
        <f t="shared" si="21"/>
        <v>44.070638758649835</v>
      </c>
      <c r="S24" s="150">
        <f t="shared" si="21"/>
        <v>44.331280287489619</v>
      </c>
      <c r="T24" s="217">
        <f t="shared" si="21"/>
        <v>44.59192181632946</v>
      </c>
      <c r="U24" s="217">
        <f t="shared" si="21"/>
        <v>44.852563345169301</v>
      </c>
      <c r="V24" s="217">
        <f t="shared" si="21"/>
        <v>45.113204874009142</v>
      </c>
      <c r="W24" s="150">
        <f t="shared" si="21"/>
        <v>45.783624344460833</v>
      </c>
      <c r="X24" s="217">
        <f t="shared" si="21"/>
        <v>46.454043814912495</v>
      </c>
      <c r="Y24" s="217">
        <f t="shared" si="21"/>
        <v>47.124463285364214</v>
      </c>
      <c r="Z24" s="217">
        <f t="shared" si="21"/>
        <v>47.794882755815905</v>
      </c>
      <c r="AA24" s="150">
        <f t="shared" si="21"/>
        <v>48.462524678177488</v>
      </c>
      <c r="AB24" s="244"/>
    </row>
    <row r="25" spans="1:47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2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7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15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7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1472.4838694599159</v>
      </c>
      <c r="L47" s="104">
        <f t="shared" ref="L47:AA47" si="50">K47*(1+L49)</f>
        <v>1503.3842580776295</v>
      </c>
      <c r="M47" s="104">
        <f t="shared" si="50"/>
        <v>1534.2846466953417</v>
      </c>
      <c r="N47" s="104">
        <f t="shared" si="50"/>
        <v>1565.1850353130551</v>
      </c>
      <c r="O47" s="149">
        <f t="shared" si="50"/>
        <v>1577.9212081553392</v>
      </c>
      <c r="P47" s="104">
        <f t="shared" si="50"/>
        <v>1590.6573809976228</v>
      </c>
      <c r="Q47" s="104">
        <f t="shared" si="50"/>
        <v>1603.3935538399071</v>
      </c>
      <c r="R47" s="104">
        <f t="shared" si="50"/>
        <v>1616.1297266821898</v>
      </c>
      <c r="S47" s="149">
        <f t="shared" si="50"/>
        <v>1627.0642612135953</v>
      </c>
      <c r="T47" s="104">
        <f t="shared" si="50"/>
        <v>1637.9987957449996</v>
      </c>
      <c r="U47" s="104">
        <f t="shared" si="50"/>
        <v>1648.9333302764039</v>
      </c>
      <c r="V47" s="104">
        <f t="shared" si="50"/>
        <v>1659.8678648078082</v>
      </c>
      <c r="W47" s="149">
        <f t="shared" si="50"/>
        <v>1700.4813043393915</v>
      </c>
      <c r="X47" s="104">
        <f t="shared" si="50"/>
        <v>1741.0947438709736</v>
      </c>
      <c r="Y47" s="104">
        <f t="shared" si="50"/>
        <v>1781.7081834025557</v>
      </c>
      <c r="Z47" s="104">
        <f t="shared" si="50"/>
        <v>1822.3216229341388</v>
      </c>
      <c r="AA47" s="149">
        <f t="shared" si="50"/>
        <v>1852.6998677107395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15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25.381437624588216</v>
      </c>
      <c r="I50" s="217">
        <f t="shared" ref="I50" si="72">I47-I48</f>
        <v>60.824709046836006</v>
      </c>
      <c r="J50" s="239">
        <f t="shared" ref="J50" si="73">J47-J48</f>
        <v>91.483305944011818</v>
      </c>
      <c r="K50" s="150">
        <f t="shared" ref="K50:AA50" si="74">K47-K48</f>
        <v>93.444253570889032</v>
      </c>
      <c r="L50" s="217">
        <f t="shared" si="74"/>
        <v>95.405201197766473</v>
      </c>
      <c r="M50" s="217">
        <f t="shared" si="74"/>
        <v>97.366148824643687</v>
      </c>
      <c r="N50" s="217">
        <f t="shared" si="74"/>
        <v>99.327096451521129</v>
      </c>
      <c r="O50" s="150">
        <f t="shared" si="74"/>
        <v>100.1353376752661</v>
      </c>
      <c r="P50" s="217">
        <f t="shared" si="74"/>
        <v>100.94357889901084</v>
      </c>
      <c r="Q50" s="217">
        <f t="shared" si="74"/>
        <v>101.75182012275604</v>
      </c>
      <c r="R50" s="217">
        <f t="shared" si="74"/>
        <v>102.56006134650079</v>
      </c>
      <c r="S50" s="150">
        <f t="shared" si="74"/>
        <v>103.25397008032428</v>
      </c>
      <c r="T50" s="217">
        <f t="shared" si="74"/>
        <v>103.94787881414754</v>
      </c>
      <c r="U50" s="217">
        <f t="shared" si="74"/>
        <v>104.64178754797103</v>
      </c>
      <c r="V50" s="217">
        <f t="shared" si="74"/>
        <v>105.3356962817943</v>
      </c>
      <c r="W50" s="150">
        <f t="shared" si="74"/>
        <v>107.91303693773443</v>
      </c>
      <c r="X50" s="217">
        <f t="shared" si="74"/>
        <v>110.49037759367457</v>
      </c>
      <c r="Y50" s="217">
        <f t="shared" si="74"/>
        <v>113.0677182496147</v>
      </c>
      <c r="Z50" s="217">
        <f t="shared" si="74"/>
        <v>115.64505890555483</v>
      </c>
      <c r="AA50" s="150">
        <f t="shared" si="74"/>
        <v>117.57287113278448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3107.7013980484894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794.08358333333342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15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main!L83/1000</f>
        <v>321.35000000000002</v>
      </c>
      <c r="F68" s="218">
        <f>main!M83/1000</f>
        <v>291.39999999999998</v>
      </c>
      <c r="G68" s="151">
        <f>main!N83/1000</f>
        <v>284.15100000000001</v>
      </c>
      <c r="H68" s="218">
        <f>main!O83/1000</f>
        <v>346.73880400000002</v>
      </c>
      <c r="I68" s="218">
        <f>main!P83/1000</f>
        <v>319.529759216</v>
      </c>
      <c r="J68" s="218">
        <f>main!Q83/1000</f>
        <v>320.32387825286401</v>
      </c>
      <c r="K68" s="151">
        <f>main!R83/1000</f>
        <v>315.12117376587548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 t="shared" si="105"/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15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-9.2000000000000455</v>
      </c>
      <c r="G71" s="150">
        <f t="shared" ref="G71:K71" si="118">G68-G69</f>
        <v>-19.800000000000011</v>
      </c>
      <c r="H71" s="217">
        <f t="shared" si="118"/>
        <v>89.585217722945004</v>
      </c>
      <c r="I71" s="217">
        <f t="shared" si="118"/>
        <v>91.070987120173811</v>
      </c>
      <c r="J71" s="217">
        <f t="shared" si="118"/>
        <v>108.2731768418378</v>
      </c>
      <c r="K71" s="150">
        <f t="shared" si="118"/>
        <v>97.918975558200771</v>
      </c>
      <c r="L71" s="217">
        <f t="shared" ref="L71:N71" si="119">L68-L69</f>
        <v>86.862558765131354</v>
      </c>
      <c r="M71" s="217">
        <f t="shared" si="119"/>
        <v>82.127767407325109</v>
      </c>
      <c r="N71" s="217">
        <f t="shared" si="119"/>
        <v>77.353129721712861</v>
      </c>
      <c r="O71" s="150">
        <f t="shared" ref="O71:AA71" si="120">O68-O69</f>
        <v>64.474970584203191</v>
      </c>
      <c r="P71" s="250">
        <f t="shared" si="120"/>
        <v>51.59860482993048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G1" activePane="topRight" state="frozen"/>
      <selection pane="topRight" activeCell="O5" sqref="O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321.35000000000002</v>
      </c>
      <c r="K2" s="102">
        <f>main!L$40/1000</f>
        <v>1084</v>
      </c>
      <c r="L2" s="102">
        <f>main!L$42/1000</f>
        <v>822.93333333333328</v>
      </c>
      <c r="M2" s="102">
        <f>main!L$46/1000</f>
        <v>261.06666666666672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-9.2000000000000455</v>
      </c>
      <c r="J3" s="102">
        <f>'add-ons calculations'!F68</f>
        <v>291.39999999999998</v>
      </c>
      <c r="K3" s="102">
        <f>main!M$40/1000</f>
        <v>881.35400000000004</v>
      </c>
      <c r="L3" s="102">
        <f>main!M$42/1000</f>
        <v>695.2</v>
      </c>
      <c r="M3" s="102">
        <f>main!M$46/1000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-19.800000000000011</v>
      </c>
      <c r="J4" s="151">
        <f>'add-ons calculations'!G68</f>
        <v>284.15100000000001</v>
      </c>
      <c r="K4" s="102">
        <f>main!N$40/1000</f>
        <v>338.26900000000001</v>
      </c>
      <c r="L4" s="102">
        <f>main!N$42/1000</f>
        <v>301.60000000000002</v>
      </c>
      <c r="M4" s="102">
        <f>main!N$46/1000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14.491993784139481</v>
      </c>
      <c r="C5">
        <v>82.282942388641018</v>
      </c>
      <c r="D5">
        <v>-18.249119132365195</v>
      </c>
      <c r="E5">
        <v>22.921577670592825</v>
      </c>
      <c r="F5">
        <v>25.381437624588216</v>
      </c>
      <c r="G5">
        <v>1287.8874972143794</v>
      </c>
      <c r="H5">
        <v>181.40020106674513</v>
      </c>
      <c r="I5">
        <v>89.585217722945004</v>
      </c>
      <c r="K5" s="102">
        <f>main!O$40/1000</f>
        <v>724</v>
      </c>
      <c r="L5" s="102">
        <f>main!O$42/1000</f>
        <v>664</v>
      </c>
      <c r="M5" s="102">
        <f>main!O$46/1000</f>
        <v>60</v>
      </c>
      <c r="N5">
        <v>59</v>
      </c>
      <c r="O5">
        <f>71400/1000</f>
        <v>71.400000000000006</v>
      </c>
      <c r="P5" s="296">
        <f>main!$O$37/1000</f>
        <v>664</v>
      </c>
    </row>
    <row r="6" spans="1:16" x14ac:dyDescent="0.2">
      <c r="A6" s="188">
        <v>44377</v>
      </c>
      <c r="B6">
        <v>10.308903433636999</v>
      </c>
      <c r="C6">
        <v>89.353669827281948</v>
      </c>
      <c r="D6">
        <v>-29.295528487588854</v>
      </c>
      <c r="E6">
        <v>22.760036045087944</v>
      </c>
      <c r="F6">
        <v>60.824709046836006</v>
      </c>
      <c r="G6">
        <v>251.22365666746987</v>
      </c>
      <c r="H6">
        <v>178.52885638089663</v>
      </c>
      <c r="I6">
        <v>91.070987120173811</v>
      </c>
      <c r="K6" s="323">
        <f>main!P$40/1000</f>
        <v>152</v>
      </c>
      <c r="L6" s="102">
        <f>main!P$42/1000</f>
        <v>108</v>
      </c>
      <c r="M6" s="102">
        <f>main!P$46/1000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6.1258130831341759</v>
      </c>
      <c r="C7">
        <v>110.72575134117292</v>
      </c>
      <c r="D7">
        <v>-34.116917561397258</v>
      </c>
      <c r="E7">
        <v>22.928994365806858</v>
      </c>
      <c r="F7">
        <v>91.483305944011818</v>
      </c>
      <c r="G7">
        <v>199.35773501319068</v>
      </c>
      <c r="H7">
        <v>-474.40846011939709</v>
      </c>
      <c r="I7">
        <v>108.2731768418378</v>
      </c>
      <c r="K7" s="102">
        <f>main!Q$40/1000</f>
        <v>44</v>
      </c>
      <c r="L7" s="102">
        <f>main!Q$42</f>
        <v>0</v>
      </c>
      <c r="M7" s="102">
        <f>main!Q$46/1000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5.5355405576544001</v>
      </c>
      <c r="C8">
        <v>98.17289763461801</v>
      </c>
      <c r="D8">
        <v>-30.059208161437255</v>
      </c>
      <c r="E8">
        <v>23.39852299466142</v>
      </c>
      <c r="F8">
        <v>93.444253570889032</v>
      </c>
      <c r="G8">
        <v>157.47974440731628</v>
      </c>
      <c r="H8">
        <v>-498.7387987375219</v>
      </c>
      <c r="I8">
        <v>97.918975558200771</v>
      </c>
      <c r="K8" s="102">
        <f>main!R$40/1000</f>
        <v>44</v>
      </c>
      <c r="L8" s="102">
        <f>main!R$42</f>
        <v>0</v>
      </c>
      <c r="M8" s="102">
        <f>main!R$46/1000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46.502672063245768</v>
      </c>
      <c r="C9">
        <v>83.866064612314361</v>
      </c>
      <c r="D9">
        <v>0</v>
      </c>
      <c r="E9">
        <v>0</v>
      </c>
      <c r="F9">
        <v>95.405201197766473</v>
      </c>
      <c r="G9">
        <v>158.70723906824014</v>
      </c>
      <c r="H9">
        <v>-547.1903606870228</v>
      </c>
      <c r="I9">
        <v>86.862558765131354</v>
      </c>
      <c r="K9" s="102">
        <f>main!S$40/1000</f>
        <v>44</v>
      </c>
      <c r="L9" s="102">
        <f>main!S$42</f>
        <v>0</v>
      </c>
      <c r="M9" s="102">
        <f>main!S$46/1000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45.912399537766049</v>
      </c>
      <c r="C10">
        <v>96.38873274839203</v>
      </c>
      <c r="D10">
        <v>0</v>
      </c>
      <c r="E10">
        <v>0</v>
      </c>
      <c r="F10">
        <v>97.366148824643687</v>
      </c>
      <c r="G10">
        <v>158.19073805116454</v>
      </c>
      <c r="H10">
        <v>-549.83002927139501</v>
      </c>
      <c r="I10">
        <v>82.127767407325109</v>
      </c>
      <c r="K10" s="102">
        <f>main!T$40/1000</f>
        <v>44</v>
      </c>
      <c r="L10" s="102">
        <f>main!T$42</f>
        <v>0</v>
      </c>
      <c r="M10" s="102">
        <f>main!T$46/1000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46.066620655509439</v>
      </c>
      <c r="C11">
        <v>108.23854020959135</v>
      </c>
      <c r="D11">
        <v>0</v>
      </c>
      <c r="E11">
        <v>0</v>
      </c>
      <c r="F11">
        <v>99.327096451521129</v>
      </c>
      <c r="G11">
        <v>155.25936244187733</v>
      </c>
      <c r="H11">
        <v>-552.4284100259805</v>
      </c>
      <c r="I11">
        <v>77.353129721712861</v>
      </c>
      <c r="K11" s="102">
        <f>main!U$40/1000</f>
        <v>44</v>
      </c>
      <c r="L11" s="102">
        <f>main!U$42</f>
        <v>0</v>
      </c>
      <c r="M11" s="102">
        <f>main!U$46/1000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45.567625181294545</v>
      </c>
      <c r="C12">
        <v>119.30558501006593</v>
      </c>
      <c r="D12">
        <v>0</v>
      </c>
      <c r="E12">
        <v>0</v>
      </c>
      <c r="F12">
        <v>100.1353376752661</v>
      </c>
      <c r="G12">
        <v>155.33284803552056</v>
      </c>
      <c r="H12">
        <v>-555.01027564865115</v>
      </c>
      <c r="I12">
        <v>64.474970584203191</v>
      </c>
      <c r="K12" s="102">
        <f>main!V$40/1000</f>
        <v>44</v>
      </c>
      <c r="L12" s="102">
        <f>main!V$42</f>
        <v>0</v>
      </c>
      <c r="M12" s="102">
        <f>main!V$46/1000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45.068629707079623</v>
      </c>
      <c r="C13">
        <v>130.18422882157338</v>
      </c>
      <c r="D13">
        <v>0</v>
      </c>
      <c r="E13">
        <v>0</v>
      </c>
      <c r="F13">
        <v>100.94357889901084</v>
      </c>
      <c r="G13">
        <v>155.5071465700205</v>
      </c>
      <c r="H13">
        <v>-557.58663622735014</v>
      </c>
      <c r="I13">
        <v>51.59860482993048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44.569634232864729</v>
      </c>
      <c r="C14">
        <v>141.6549900269753</v>
      </c>
      <c r="D14">
        <v>0</v>
      </c>
      <c r="E14">
        <v>0</v>
      </c>
      <c r="F14">
        <v>101.75182012275604</v>
      </c>
      <c r="G14">
        <v>155.75039098680099</v>
      </c>
      <c r="H14">
        <v>-560.17125437200662</v>
      </c>
      <c r="I14">
        <v>55.115350410659346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44.070638758649835</v>
      </c>
      <c r="C15">
        <v>153.07192237838635</v>
      </c>
      <c r="D15">
        <v>0</v>
      </c>
      <c r="E15">
        <v>0</v>
      </c>
      <c r="F15">
        <v>102.56006134650079</v>
      </c>
      <c r="G15">
        <v>156.19117934771998</v>
      </c>
      <c r="H15">
        <v>-562.78064521453507</v>
      </c>
      <c r="I15">
        <v>41.140887976761235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44.331280287489619</v>
      </c>
      <c r="C16">
        <v>152.92993797639971</v>
      </c>
      <c r="D16">
        <v>0</v>
      </c>
      <c r="E16">
        <v>0</v>
      </c>
      <c r="F16">
        <v>103.25397008032428</v>
      </c>
      <c r="G16">
        <v>157.82060816439548</v>
      </c>
      <c r="H16">
        <v>-565.41480875493562</v>
      </c>
      <c r="I16">
        <v>36.20171054730281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44.59192181632946</v>
      </c>
      <c r="C17">
        <v>153.110926698355</v>
      </c>
      <c r="D17">
        <v>0</v>
      </c>
      <c r="E17">
        <v>0</v>
      </c>
      <c r="F17">
        <v>103.94787881414754</v>
      </c>
      <c r="G17">
        <v>159.3837158227152</v>
      </c>
      <c r="H17">
        <v>-568.06548742725101</v>
      </c>
      <c r="I17">
        <v>36.828990157049986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44.852563345169301</v>
      </c>
      <c r="C18">
        <v>153.58797411725675</v>
      </c>
      <c r="D18">
        <v>0</v>
      </c>
      <c r="E18">
        <v>0</v>
      </c>
      <c r="F18">
        <v>104.64178754797103</v>
      </c>
      <c r="G18">
        <v>160.63759358658922</v>
      </c>
      <c r="H18">
        <v>-570.71066105559476</v>
      </c>
      <c r="I18">
        <v>37.463678233921371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45.113204874009142</v>
      </c>
      <c r="C19">
        <v>154.49565236808115</v>
      </c>
      <c r="D19">
        <v>0</v>
      </c>
      <c r="E19">
        <v>0</v>
      </c>
      <c r="F19">
        <v>105.3356962817943</v>
      </c>
      <c r="G19">
        <v>161.7019229101536</v>
      </c>
      <c r="H19">
        <v>-573.36409224989586</v>
      </c>
      <c r="I19">
        <v>38.110892014683543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45.783624344460833</v>
      </c>
      <c r="C20">
        <v>153.89533516396961</v>
      </c>
      <c r="D20">
        <v>0</v>
      </c>
      <c r="E20">
        <v>0</v>
      </c>
      <c r="F20">
        <v>107.91303693773443</v>
      </c>
      <c r="G20">
        <v>165.36037422478853</v>
      </c>
      <c r="H20">
        <v>-576.02302848816862</v>
      </c>
      <c r="I20">
        <v>38.157160115537408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46.454043814912495</v>
      </c>
      <c r="C21">
        <v>153.24118910586807</v>
      </c>
      <c r="D21">
        <v>0</v>
      </c>
      <c r="E21">
        <v>0</v>
      </c>
      <c r="F21">
        <v>110.49037759367457</v>
      </c>
      <c r="G21">
        <v>168.39490836958566</v>
      </c>
      <c r="H21">
        <v>-578.67921220445555</v>
      </c>
      <c r="I21">
        <v>38.208074215356021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47.124463285364214</v>
      </c>
      <c r="C22">
        <v>152.8023584637275</v>
      </c>
      <c r="D22">
        <v>0</v>
      </c>
      <c r="E22">
        <v>0</v>
      </c>
      <c r="F22">
        <v>113.0677182496147</v>
      </c>
      <c r="G22">
        <v>170.87673605644864</v>
      </c>
      <c r="H22">
        <v>-581.30236565691303</v>
      </c>
      <c r="I22">
        <v>38.264934161420854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47.794882755815905</v>
      </c>
      <c r="C23">
        <v>152.60575766454329</v>
      </c>
      <c r="D23">
        <v>0</v>
      </c>
      <c r="E23">
        <v>0</v>
      </c>
      <c r="F23">
        <v>115.64505890555483</v>
      </c>
      <c r="G23">
        <v>172.74637807665476</v>
      </c>
      <c r="H23">
        <v>-583.90625145546994</v>
      </c>
      <c r="I23">
        <v>38.326825369819289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48.462524678177488</v>
      </c>
      <c r="C24">
        <v>152.31820617542058</v>
      </c>
      <c r="D24">
        <v>0</v>
      </c>
      <c r="E24">
        <v>0</v>
      </c>
      <c r="F24">
        <v>117.57287113278448</v>
      </c>
      <c r="G24">
        <v>173.70686178614119</v>
      </c>
      <c r="H24">
        <v>-586.4908696001263</v>
      </c>
      <c r="I24">
        <v>38.401387580592541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27" t="s">
        <v>21</v>
      </c>
      <c r="E1" s="327"/>
      <c r="F1" s="327"/>
      <c r="G1" s="327"/>
      <c r="H1" s="327" t="s">
        <v>9</v>
      </c>
      <c r="I1" s="327"/>
      <c r="J1" s="327"/>
      <c r="K1" s="327"/>
      <c r="L1" s="327" t="s">
        <v>10</v>
      </c>
      <c r="M1" s="327"/>
      <c r="N1" s="327"/>
      <c r="O1" s="327"/>
      <c r="P1" s="327" t="s">
        <v>11</v>
      </c>
      <c r="Q1" s="327"/>
      <c r="R1" s="327"/>
      <c r="S1" s="327"/>
      <c r="T1" s="327" t="s">
        <v>266</v>
      </c>
      <c r="U1" s="327"/>
      <c r="V1" s="327"/>
      <c r="W1" s="327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2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35" t="s">
        <v>207</v>
      </c>
      <c r="B1" s="336"/>
      <c r="C1" s="35"/>
      <c r="I1" s="240"/>
      <c r="J1" s="343" t="s">
        <v>280</v>
      </c>
      <c r="V1" s="327"/>
      <c r="W1" s="327"/>
      <c r="X1" s="327"/>
      <c r="Y1" s="327"/>
    </row>
    <row r="2" spans="1:27" x14ac:dyDescent="0.2">
      <c r="A2" s="337" t="s">
        <v>191</v>
      </c>
      <c r="B2" s="126"/>
      <c r="C2" t="s">
        <v>192</v>
      </c>
      <c r="H2" s="95"/>
      <c r="I2" s="241"/>
      <c r="J2" s="343"/>
    </row>
    <row r="3" spans="1:27" x14ac:dyDescent="0.2">
      <c r="A3" s="338"/>
      <c r="B3" s="127"/>
      <c r="C3" t="s">
        <v>193</v>
      </c>
      <c r="H3" s="95"/>
      <c r="I3" s="241"/>
      <c r="J3" s="343"/>
    </row>
    <row r="4" spans="1:27" x14ac:dyDescent="0.2">
      <c r="A4" s="338"/>
      <c r="B4" s="128"/>
      <c r="C4" t="s">
        <v>194</v>
      </c>
      <c r="H4" s="95"/>
      <c r="I4" s="95"/>
      <c r="J4" s="95"/>
    </row>
    <row r="5" spans="1:27" x14ac:dyDescent="0.2">
      <c r="A5" s="339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274</v>
      </c>
      <c r="T7" s="341"/>
      <c r="U7" s="341"/>
      <c r="V7" s="341"/>
      <c r="W7" s="340" t="s">
        <v>275</v>
      </c>
      <c r="X7" s="341"/>
      <c r="Y7" s="341"/>
      <c r="Z7" s="341"/>
      <c r="AA7" s="222" t="s">
        <v>276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-9.2000000000000455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-19.800000000000011</v>
      </c>
    </row>
    <row r="4" spans="1:9" x14ac:dyDescent="0.2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181.40020106674513</v>
      </c>
      <c r="I4" s="259">
        <v>89.585217722945004</v>
      </c>
    </row>
    <row r="5" spans="1:9" x14ac:dyDescent="0.2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178.52885638089663</v>
      </c>
      <c r="I5" s="259">
        <v>91.070987120173811</v>
      </c>
    </row>
    <row r="6" spans="1:9" x14ac:dyDescent="0.2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-474.40846011939709</v>
      </c>
      <c r="I6" s="259">
        <v>108.2731768418378</v>
      </c>
    </row>
    <row r="7" spans="1:9" x14ac:dyDescent="0.2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-498.7387987375219</v>
      </c>
      <c r="I7" s="259">
        <v>97.918975558200771</v>
      </c>
    </row>
    <row r="8" spans="1:9" x14ac:dyDescent="0.2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-547.1903606870228</v>
      </c>
      <c r="I8" s="259">
        <v>86.862558765131354</v>
      </c>
    </row>
    <row r="9" spans="1:9" x14ac:dyDescent="0.2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-549.83002927139501</v>
      </c>
      <c r="I9" s="259">
        <v>82.127767407325109</v>
      </c>
    </row>
    <row r="10" spans="1:9" x14ac:dyDescent="0.2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-552.4284100259805</v>
      </c>
      <c r="I10" s="259">
        <v>77.353129721712861</v>
      </c>
    </row>
    <row r="11" spans="1:9" x14ac:dyDescent="0.2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-555.01027564865115</v>
      </c>
      <c r="I11" s="259">
        <v>64.474970584203191</v>
      </c>
    </row>
    <row r="12" spans="1:9" x14ac:dyDescent="0.2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-557.58663622735014</v>
      </c>
      <c r="I12" s="259">
        <v>51.59860482993048</v>
      </c>
    </row>
    <row r="13" spans="1:9" x14ac:dyDescent="0.2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-560.17125437200662</v>
      </c>
      <c r="I13" s="259">
        <v>55.115350410659346</v>
      </c>
    </row>
    <row r="14" spans="1:9" x14ac:dyDescent="0.2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-562.78064521453507</v>
      </c>
      <c r="I14" s="259">
        <v>41.140887976761235</v>
      </c>
    </row>
    <row r="15" spans="1:9" x14ac:dyDescent="0.2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-565.41480875493562</v>
      </c>
      <c r="I15" s="259">
        <v>36.20171054730281</v>
      </c>
    </row>
    <row r="16" spans="1:9" x14ac:dyDescent="0.2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-568.06548742725101</v>
      </c>
      <c r="I16" s="259">
        <v>36.828990157049986</v>
      </c>
    </row>
    <row r="17" spans="1:9" x14ac:dyDescent="0.2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-570.71066105559476</v>
      </c>
      <c r="I17" s="259">
        <v>37.463678233921371</v>
      </c>
    </row>
    <row r="18" spans="1:9" x14ac:dyDescent="0.2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-573.36409224989586</v>
      </c>
      <c r="I18" s="259">
        <v>38.110892014683543</v>
      </c>
    </row>
    <row r="19" spans="1:9" x14ac:dyDescent="0.2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-576.02302848816862</v>
      </c>
      <c r="I19" s="259">
        <v>38.157160115537408</v>
      </c>
    </row>
    <row r="20" spans="1:9" x14ac:dyDescent="0.2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-578.67921220445555</v>
      </c>
      <c r="I20" s="259">
        <v>38.208074215356021</v>
      </c>
    </row>
    <row r="21" spans="1:9" x14ac:dyDescent="0.2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-581.30236565691303</v>
      </c>
      <c r="I21" s="259">
        <v>38.264934161420854</v>
      </c>
    </row>
    <row r="22" spans="1:9" x14ac:dyDescent="0.2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-583.90625145546994</v>
      </c>
      <c r="I22" s="259">
        <v>38.326825369819289</v>
      </c>
    </row>
    <row r="23" spans="1:9" x14ac:dyDescent="0.2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375</v>
      </c>
    </row>
    <row r="2" spans="1:10" x14ac:dyDescent="0.2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304</v>
      </c>
      <c r="H15">
        <v>1078100</v>
      </c>
      <c r="I15">
        <v>15600</v>
      </c>
      <c r="J15">
        <v>5000</v>
      </c>
    </row>
    <row r="16" spans="1:10" x14ac:dyDescent="0.2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306</v>
      </c>
      <c r="H17">
        <v>19100</v>
      </c>
      <c r="I17">
        <v>27000</v>
      </c>
      <c r="J17">
        <v>10800</v>
      </c>
    </row>
    <row r="18" spans="1:10" x14ac:dyDescent="0.2">
      <c r="A18" t="s">
        <v>307</v>
      </c>
      <c r="H18">
        <v>160900</v>
      </c>
      <c r="I18">
        <v>58400</v>
      </c>
      <c r="J18">
        <v>34500</v>
      </c>
    </row>
    <row r="19" spans="1:10" x14ac:dyDescent="0.2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309</v>
      </c>
      <c r="H20">
        <v>609300</v>
      </c>
      <c r="I20">
        <v>865600</v>
      </c>
      <c r="J20">
        <v>260300</v>
      </c>
    </row>
    <row r="21" spans="1:10" x14ac:dyDescent="0.2">
      <c r="A21" t="s">
        <v>310</v>
      </c>
      <c r="H21">
        <v>63800</v>
      </c>
      <c r="I21">
        <v>15000</v>
      </c>
      <c r="J21">
        <v>100</v>
      </c>
    </row>
    <row r="22" spans="1:10" x14ac:dyDescent="0.2">
      <c r="A22" t="s">
        <v>311</v>
      </c>
      <c r="H22">
        <v>73300</v>
      </c>
      <c r="I22">
        <v>73300</v>
      </c>
      <c r="J22">
        <v>73300</v>
      </c>
    </row>
    <row r="23" spans="1:10" x14ac:dyDescent="0.2">
      <c r="A23" t="s">
        <v>312</v>
      </c>
      <c r="H23">
        <v>140000</v>
      </c>
      <c r="I23">
        <v>140000</v>
      </c>
      <c r="J23">
        <v>140000</v>
      </c>
    </row>
    <row r="24" spans="1:10" x14ac:dyDescent="0.2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334</v>
      </c>
      <c r="H33">
        <v>277100</v>
      </c>
      <c r="I33">
        <v>228300</v>
      </c>
      <c r="J33">
        <v>213400</v>
      </c>
    </row>
    <row r="34" spans="1:10" x14ac:dyDescent="0.2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288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7"/>
      <c r="S8" s="348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5"/>
      <c r="N11" s="325"/>
      <c r="O11" s="325"/>
      <c r="P11" s="325"/>
      <c r="Q11" s="325"/>
      <c r="R11" s="3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221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28" t="s">
        <v>207</v>
      </c>
      <c r="B1" s="328"/>
      <c r="C1" s="35"/>
      <c r="H1"/>
      <c r="I1"/>
      <c r="J1"/>
      <c r="X1" t="s">
        <v>28</v>
      </c>
      <c r="Z1" s="349" t="s">
        <v>84</v>
      </c>
      <c r="AA1" s="349"/>
      <c r="AB1" s="349"/>
      <c r="AC1" s="327"/>
      <c r="AD1" s="327"/>
      <c r="AE1" s="327"/>
      <c r="AF1" s="327"/>
    </row>
    <row r="2" spans="1:32" x14ac:dyDescent="0.2">
      <c r="A2" s="350" t="s">
        <v>191</v>
      </c>
      <c r="B2" s="107"/>
      <c r="C2" t="s">
        <v>192</v>
      </c>
    </row>
    <row r="3" spans="1:32" x14ac:dyDescent="0.2">
      <c r="A3" s="350"/>
      <c r="B3" s="108"/>
      <c r="C3" t="s">
        <v>193</v>
      </c>
    </row>
    <row r="4" spans="1:32" x14ac:dyDescent="0.2">
      <c r="A4" s="350"/>
      <c r="B4" s="109"/>
      <c r="C4" t="s">
        <v>194</v>
      </c>
    </row>
    <row r="5" spans="1:32" x14ac:dyDescent="0.2">
      <c r="A5" s="350"/>
      <c r="B5" s="98"/>
      <c r="C5" t="s">
        <v>181</v>
      </c>
    </row>
    <row r="7" spans="1:32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2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794.08358333333342</v>
      </c>
      <c r="J70" s="102">
        <f>main!Q54/1000</f>
        <v>144.08358333333331</v>
      </c>
      <c r="K70" s="102">
        <f>main!R54/1000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51" t="s">
        <v>104</v>
      </c>
      <c r="B2" s="351"/>
      <c r="C2" s="351"/>
      <c r="D2" s="351"/>
      <c r="E2" s="351"/>
      <c r="F2" s="351"/>
      <c r="G2" s="351"/>
      <c r="H2" s="351"/>
      <c r="I2" s="351"/>
      <c r="J2" s="351"/>
      <c r="K2" s="77"/>
    </row>
    <row r="3" spans="1:24" x14ac:dyDescent="0.2">
      <c r="A3" s="351" t="s">
        <v>105</v>
      </c>
      <c r="B3" s="351"/>
      <c r="C3" s="351"/>
      <c r="D3" s="351"/>
      <c r="E3" s="351"/>
      <c r="F3" s="351"/>
      <c r="G3" s="351"/>
      <c r="H3" s="351"/>
      <c r="I3" s="351"/>
      <c r="J3" s="351"/>
      <c r="K3" s="77"/>
    </row>
    <row r="4" spans="1:24" ht="16" thickBot="1" x14ac:dyDescent="0.25">
      <c r="A4" s="352"/>
      <c r="B4" s="352"/>
      <c r="C4" s="352"/>
      <c r="D4" s="352"/>
      <c r="E4" s="352"/>
      <c r="F4" s="352"/>
      <c r="G4" s="352"/>
      <c r="H4" s="352"/>
      <c r="I4" s="352"/>
      <c r="J4" s="352"/>
      <c r="K4" s="357" t="s">
        <v>160</v>
      </c>
      <c r="L4" s="357"/>
      <c r="M4" s="357"/>
      <c r="N4" s="357"/>
    </row>
    <row r="5" spans="1:24" x14ac:dyDescent="0.2">
      <c r="A5" s="47"/>
      <c r="B5" s="48"/>
      <c r="C5" s="353" t="s">
        <v>106</v>
      </c>
      <c r="D5" s="354"/>
      <c r="E5" s="354"/>
      <c r="F5" s="354"/>
      <c r="G5" s="354"/>
      <c r="H5" s="354"/>
      <c r="I5" s="354"/>
      <c r="J5" s="355"/>
      <c r="K5" s="78"/>
      <c r="L5" s="356" t="s">
        <v>107</v>
      </c>
      <c r="M5" s="327"/>
      <c r="N5" s="327"/>
    </row>
    <row r="6" spans="1:24" x14ac:dyDescent="0.2">
      <c r="A6" s="1" t="s">
        <v>109</v>
      </c>
      <c r="B6" s="49"/>
      <c r="C6" s="359">
        <v>2020</v>
      </c>
      <c r="D6" s="360"/>
      <c r="E6" s="360"/>
      <c r="F6" s="360"/>
      <c r="G6" s="360"/>
      <c r="H6" s="360"/>
      <c r="I6" s="360"/>
      <c r="J6" s="361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7" t="s">
        <v>9</v>
      </c>
      <c r="L22" s="327"/>
      <c r="M22" s="327"/>
      <c r="N22" s="327"/>
      <c r="O22" s="327" t="s">
        <v>10</v>
      </c>
      <c r="P22" s="327"/>
      <c r="Q22" s="327"/>
      <c r="R22" s="327"/>
      <c r="S22" s="327" t="s">
        <v>11</v>
      </c>
      <c r="T22" s="327"/>
      <c r="U22" s="327"/>
      <c r="V22" s="327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62" t="s">
        <v>108</v>
      </c>
      <c r="L23" s="362"/>
      <c r="M23" s="362"/>
      <c r="N23" s="362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58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58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8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8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8" t="s">
        <v>141</v>
      </c>
      <c r="J33" s="85" t="s">
        <v>258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58"/>
      <c r="J34" t="s">
        <v>259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376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6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66" t="s">
        <v>87</v>
      </c>
      <c r="F6" s="366"/>
      <c r="G6" s="366"/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</row>
    <row r="7" spans="1:18" x14ac:dyDescent="0.2">
      <c r="A7" s="363" t="s">
        <v>88</v>
      </c>
      <c r="B7" s="363"/>
      <c r="C7" s="363"/>
      <c r="D7" s="363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63" t="s">
        <v>89</v>
      </c>
      <c r="C8" s="363"/>
      <c r="D8" s="363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63" t="s">
        <v>90</v>
      </c>
      <c r="C9" s="363"/>
      <c r="D9" s="363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63" t="s">
        <v>91</v>
      </c>
      <c r="C10" s="363"/>
      <c r="D10" s="363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63" t="s">
        <v>58</v>
      </c>
      <c r="C11" s="363"/>
      <c r="D11" s="363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63" t="s">
        <v>34</v>
      </c>
      <c r="D13" s="363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63" t="s">
        <v>89</v>
      </c>
      <c r="C19" s="363"/>
      <c r="D19" s="363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63" t="s">
        <v>90</v>
      </c>
      <c r="C20" s="363"/>
      <c r="D20" s="363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63" t="s">
        <v>91</v>
      </c>
      <c r="C21" s="363"/>
      <c r="D21" s="363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63" t="s">
        <v>58</v>
      </c>
      <c r="C22" s="363"/>
      <c r="D22" s="363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64" t="s">
        <v>95</v>
      </c>
      <c r="I27" s="364"/>
      <c r="J27" s="364"/>
      <c r="K27" s="364"/>
      <c r="L27" s="364"/>
      <c r="M27" s="364"/>
      <c r="N27" s="364"/>
      <c r="O27" s="364"/>
      <c r="P27" s="364"/>
      <c r="Q27" s="364"/>
      <c r="R27" s="364"/>
      <c r="S27" s="364"/>
      <c r="T27" s="364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65" t="s">
        <v>99</v>
      </c>
      <c r="G37" s="365"/>
      <c r="H37" s="365"/>
      <c r="I37" s="365"/>
      <c r="J37" s="365"/>
      <c r="K37" s="365"/>
      <c r="L37" s="365"/>
      <c r="M37" s="365"/>
      <c r="N37" s="365"/>
      <c r="O37" s="365"/>
      <c r="P37" s="365"/>
      <c r="Q37" s="365"/>
      <c r="R37" s="365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64" t="s">
        <v>101</v>
      </c>
      <c r="G48" s="364"/>
      <c r="H48" s="364"/>
      <c r="I48" s="364"/>
      <c r="J48" s="364"/>
      <c r="K48" s="364"/>
      <c r="L48" s="364"/>
      <c r="M48" s="364"/>
      <c r="N48" s="364"/>
      <c r="O48" s="364"/>
      <c r="P48" s="364"/>
      <c r="Q48" s="364"/>
      <c r="R48" s="364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7" t="s">
        <v>34</v>
      </c>
      <c r="S8" s="348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67" t="s">
        <v>42</v>
      </c>
      <c r="E75" s="368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2021-04-07T00:29:27Z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