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illa\The Brookings Institution\Hutchins Center Team - Documents\Projects\Fiscal Impact\COVID-19 Changes\September\"/>
    </mc:Choice>
  </mc:AlternateContent>
  <xr:revisionPtr revIDLastSave="735" documentId="8_{01C61C03-31F5-43D2-ADFF-55C441715C17}" xr6:coauthVersionLast="44" xr6:coauthVersionMax="44" xr10:uidLastSave="{444770DB-CEA7-4AB9-9A98-DEAE0E6D7FB7}"/>
  <bookViews>
    <workbookView xWindow="28680" yWindow="-120" windowWidth="29040" windowHeight="15840" xr2:uid="{BAFE3F49-3B7E-4387-938E-5F3D7AC6DAFE}"/>
  </bookViews>
  <sheets>
    <sheet name="main" sheetId="1" r:id="rId1"/>
    <sheet name="add-ons" sheetId="5" r:id="rId2"/>
    <sheet name="add-ons - Kadija b4" sheetId="6" state="hidden" r:id="rId3"/>
    <sheet name="figuring out UI" sheetId="4" r:id="rId4"/>
    <sheet name="figuring NIPA tax changes" sheetId="3" r:id="rId5"/>
    <sheet name="figuring out social benefit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8" i="5" l="1"/>
  <c r="I35" i="1"/>
  <c r="J31" i="1"/>
  <c r="K35" i="1"/>
  <c r="J35" i="1"/>
  <c r="L46" i="1"/>
  <c r="M46" i="1" s="1"/>
  <c r="N46" i="1" s="1"/>
  <c r="O46" i="1" s="1"/>
  <c r="P46" i="1" s="1"/>
  <c r="Q46" i="1" s="1"/>
  <c r="R46" i="1" s="1"/>
  <c r="S46" i="1" s="1"/>
  <c r="K46" i="1"/>
  <c r="L44" i="1"/>
  <c r="M44" i="1" s="1"/>
  <c r="N44" i="1" s="1"/>
  <c r="O44" i="1" s="1"/>
  <c r="P44" i="1" s="1"/>
  <c r="Q44" i="1" s="1"/>
  <c r="R44" i="1" s="1"/>
  <c r="S44" i="1" s="1"/>
  <c r="K44" i="1"/>
  <c r="J49" i="1"/>
  <c r="K49" i="1"/>
  <c r="L49" i="1"/>
  <c r="M49" i="1"/>
  <c r="N49" i="1"/>
  <c r="O49" i="1"/>
  <c r="P49" i="1"/>
  <c r="Q49" i="1"/>
  <c r="R49" i="1"/>
  <c r="S49" i="1"/>
  <c r="I49" i="1"/>
  <c r="D24" i="5" l="1"/>
  <c r="D25" i="5"/>
  <c r="F50" i="5"/>
  <c r="E50" i="5"/>
  <c r="E24" i="5"/>
  <c r="K42" i="1"/>
  <c r="J42" i="1"/>
  <c r="K40" i="1"/>
  <c r="D50" i="1"/>
  <c r="K51" i="1"/>
  <c r="J51" i="1"/>
  <c r="K19" i="1"/>
  <c r="J19" i="1"/>
  <c r="K31" i="1" l="1"/>
  <c r="K81" i="6"/>
  <c r="J81" i="6"/>
  <c r="I81" i="6"/>
  <c r="H81" i="6"/>
  <c r="G81" i="6"/>
  <c r="F81" i="6"/>
  <c r="E81" i="6"/>
  <c r="D81" i="6"/>
  <c r="K77" i="6"/>
  <c r="J77" i="6"/>
  <c r="I77" i="6"/>
  <c r="H77" i="6"/>
  <c r="G77" i="6"/>
  <c r="F77" i="6"/>
  <c r="D76" i="6"/>
  <c r="D80" i="6" s="1"/>
  <c r="K71" i="6"/>
  <c r="J71" i="6"/>
  <c r="I71" i="6"/>
  <c r="H71" i="6"/>
  <c r="G71" i="6"/>
  <c r="F71" i="6"/>
  <c r="E71" i="6"/>
  <c r="D71" i="6"/>
  <c r="E70" i="6"/>
  <c r="K65" i="6"/>
  <c r="J65" i="6"/>
  <c r="I65" i="6"/>
  <c r="H65" i="6"/>
  <c r="G65" i="6"/>
  <c r="F65" i="6"/>
  <c r="E65" i="6"/>
  <c r="D65" i="6"/>
  <c r="D62" i="6" s="1"/>
  <c r="E62" i="6"/>
  <c r="F62" i="6" s="1"/>
  <c r="K57" i="6"/>
  <c r="J57" i="6"/>
  <c r="I57" i="6"/>
  <c r="H57" i="6"/>
  <c r="G57" i="6"/>
  <c r="F57" i="6"/>
  <c r="E57" i="6"/>
  <c r="F54" i="6" s="1"/>
  <c r="D57" i="6"/>
  <c r="D56" i="6"/>
  <c r="D54" i="6"/>
  <c r="E54" i="6" s="1"/>
  <c r="E56" i="6" s="1"/>
  <c r="K49" i="6"/>
  <c r="J49" i="6"/>
  <c r="I49" i="6"/>
  <c r="H49" i="6"/>
  <c r="G49" i="6"/>
  <c r="F49" i="6"/>
  <c r="E49" i="6"/>
  <c r="D49" i="6"/>
  <c r="F48" i="6"/>
  <c r="F50" i="6" s="1"/>
  <c r="K42" i="6"/>
  <c r="J42" i="6"/>
  <c r="I42" i="6"/>
  <c r="H42" i="6"/>
  <c r="G42" i="6"/>
  <c r="F42" i="6"/>
  <c r="E42" i="6"/>
  <c r="D42" i="6"/>
  <c r="F41" i="6"/>
  <c r="G41" i="6" s="1"/>
  <c r="K35" i="6"/>
  <c r="J35" i="6"/>
  <c r="I35" i="6"/>
  <c r="H35" i="6"/>
  <c r="G35" i="6"/>
  <c r="F35" i="6"/>
  <c r="E35" i="6"/>
  <c r="D35" i="6"/>
  <c r="G33" i="6"/>
  <c r="F33" i="6"/>
  <c r="E32" i="6"/>
  <c r="E34" i="6" s="1"/>
  <c r="D32" i="6"/>
  <c r="K27" i="6"/>
  <c r="J27" i="6"/>
  <c r="I27" i="6"/>
  <c r="H27" i="6"/>
  <c r="G27" i="6"/>
  <c r="F27" i="6"/>
  <c r="E27" i="6"/>
  <c r="E24" i="6" s="1"/>
  <c r="E26" i="6" s="1"/>
  <c r="D27" i="6"/>
  <c r="D24" i="6"/>
  <c r="E62" i="5"/>
  <c r="L39" i="1"/>
  <c r="M39" i="1"/>
  <c r="N39" i="1"/>
  <c r="O39" i="1"/>
  <c r="P39" i="1"/>
  <c r="Q39" i="1"/>
  <c r="R39" i="1"/>
  <c r="S39" i="1"/>
  <c r="T39" i="1"/>
  <c r="K39" i="1"/>
  <c r="K29" i="1" s="1"/>
  <c r="L29" i="1" s="1"/>
  <c r="M29" i="1" s="1"/>
  <c r="N29" i="1" s="1"/>
  <c r="O29" i="1" s="1"/>
  <c r="P29" i="1" s="1"/>
  <c r="M19" i="1"/>
  <c r="N19" i="1"/>
  <c r="O19" i="1"/>
  <c r="P19" i="1"/>
  <c r="L19" i="1"/>
  <c r="K28" i="1" l="1"/>
  <c r="G54" i="6"/>
  <c r="F56" i="6"/>
  <c r="F58" i="6" s="1"/>
  <c r="G43" i="6"/>
  <c r="H41" i="6"/>
  <c r="G62" i="6"/>
  <c r="F64" i="6"/>
  <c r="F66" i="6" s="1"/>
  <c r="G48" i="6"/>
  <c r="F24" i="6"/>
  <c r="F26" i="6" s="1"/>
  <c r="F28" i="6" s="1"/>
  <c r="F43" i="6"/>
  <c r="E64" i="6"/>
  <c r="E76" i="6"/>
  <c r="E80" i="6" s="1"/>
  <c r="F76" i="6"/>
  <c r="F80" i="6" s="1"/>
  <c r="F82" i="6" s="1"/>
  <c r="F32" i="6"/>
  <c r="G32" i="6" l="1"/>
  <c r="F34" i="6"/>
  <c r="F36" i="6" s="1"/>
  <c r="G50" i="6"/>
  <c r="H48" i="6"/>
  <c r="H62" i="6"/>
  <c r="G64" i="6"/>
  <c r="G66" i="6" s="1"/>
  <c r="G24" i="6"/>
  <c r="G76" i="6"/>
  <c r="G56" i="6"/>
  <c r="G58" i="6" s="1"/>
  <c r="H54" i="6"/>
  <c r="I41" i="6"/>
  <c r="H43" i="6"/>
  <c r="G80" i="6" l="1"/>
  <c r="G82" i="6" s="1"/>
  <c r="H76" i="6"/>
  <c r="H50" i="6"/>
  <c r="I48" i="6"/>
  <c r="I43" i="6"/>
  <c r="J41" i="6"/>
  <c r="I62" i="6"/>
  <c r="H64" i="6"/>
  <c r="H66" i="6" s="1"/>
  <c r="G26" i="6"/>
  <c r="G28" i="6" s="1"/>
  <c r="H24" i="6"/>
  <c r="H56" i="6"/>
  <c r="H58" i="6" s="1"/>
  <c r="I54" i="6"/>
  <c r="G34" i="6"/>
  <c r="G36" i="6" s="1"/>
  <c r="H32" i="6"/>
  <c r="J43" i="6" l="1"/>
  <c r="K41" i="6"/>
  <c r="K43" i="6" s="1"/>
  <c r="J48" i="6"/>
  <c r="I50" i="6"/>
  <c r="I64" i="6"/>
  <c r="I66" i="6" s="1"/>
  <c r="J62" i="6"/>
  <c r="H34" i="6"/>
  <c r="H36" i="6" s="1"/>
  <c r="I32" i="6"/>
  <c r="I56" i="6"/>
  <c r="I58" i="6" s="1"/>
  <c r="J54" i="6"/>
  <c r="H80" i="6"/>
  <c r="H82" i="6" s="1"/>
  <c r="I76" i="6"/>
  <c r="H26" i="6"/>
  <c r="H28" i="6" s="1"/>
  <c r="I24" i="6"/>
  <c r="J32" i="6" l="1"/>
  <c r="I34" i="6"/>
  <c r="I36" i="6" s="1"/>
  <c r="J64" i="6"/>
  <c r="J66" i="6" s="1"/>
  <c r="K62" i="6"/>
  <c r="K64" i="6" s="1"/>
  <c r="K66" i="6" s="1"/>
  <c r="I26" i="6"/>
  <c r="I28" i="6" s="1"/>
  <c r="J24" i="6"/>
  <c r="K48" i="6"/>
  <c r="K50" i="6" s="1"/>
  <c r="J50" i="6"/>
  <c r="I80" i="6"/>
  <c r="I82" i="6" s="1"/>
  <c r="J76" i="6"/>
  <c r="K54" i="6"/>
  <c r="K56" i="6" s="1"/>
  <c r="K58" i="6" s="1"/>
  <c r="J56" i="6"/>
  <c r="J58" i="6" s="1"/>
  <c r="K24" i="6" l="1"/>
  <c r="K26" i="6" s="1"/>
  <c r="K28" i="6" s="1"/>
  <c r="J26" i="6"/>
  <c r="J28" i="6" s="1"/>
  <c r="J80" i="6"/>
  <c r="J82" i="6" s="1"/>
  <c r="K76" i="6"/>
  <c r="K80" i="6" s="1"/>
  <c r="K82" i="6" s="1"/>
  <c r="J34" i="6"/>
  <c r="J36" i="6" s="1"/>
  <c r="K32" i="6"/>
  <c r="K34" i="6" s="1"/>
  <c r="K36" i="6" s="1"/>
  <c r="L31" i="1" l="1"/>
  <c r="M31" i="1"/>
  <c r="N31" i="1"/>
  <c r="O31" i="1"/>
  <c r="P31" i="1"/>
  <c r="L25" i="1"/>
  <c r="M25" i="1"/>
  <c r="N25" i="1"/>
  <c r="O25" i="1"/>
  <c r="P25" i="1"/>
  <c r="K25" i="1"/>
  <c r="E69" i="5"/>
  <c r="F69" i="5"/>
  <c r="F70" i="5" s="1"/>
  <c r="G69" i="5"/>
  <c r="H69" i="5"/>
  <c r="I69" i="5"/>
  <c r="J69" i="5"/>
  <c r="K69" i="5"/>
  <c r="D69" i="5"/>
  <c r="E63" i="5"/>
  <c r="F63" i="5"/>
  <c r="G63" i="5"/>
  <c r="H63" i="5"/>
  <c r="I63" i="5"/>
  <c r="J63" i="5"/>
  <c r="K63" i="5"/>
  <c r="D63" i="5"/>
  <c r="E57" i="5"/>
  <c r="F57" i="5"/>
  <c r="G57" i="5"/>
  <c r="H57" i="5"/>
  <c r="I57" i="5"/>
  <c r="J57" i="5"/>
  <c r="K57" i="5"/>
  <c r="D57" i="5"/>
  <c r="E51" i="5"/>
  <c r="F51" i="5"/>
  <c r="G51" i="5"/>
  <c r="H51" i="5"/>
  <c r="I51" i="5"/>
  <c r="J51" i="5"/>
  <c r="K51" i="5"/>
  <c r="D51" i="5"/>
  <c r="E31" i="5"/>
  <c r="F31" i="5"/>
  <c r="G31" i="5"/>
  <c r="H31" i="5"/>
  <c r="I31" i="5"/>
  <c r="J31" i="5"/>
  <c r="K31" i="5"/>
  <c r="D31" i="5"/>
  <c r="E25" i="5"/>
  <c r="F25" i="5"/>
  <c r="G25" i="5"/>
  <c r="H25" i="5"/>
  <c r="I25" i="5"/>
  <c r="J25" i="5"/>
  <c r="K25" i="5"/>
  <c r="E45" i="5"/>
  <c r="F45" i="5"/>
  <c r="G45" i="5"/>
  <c r="H45" i="5"/>
  <c r="I45" i="5"/>
  <c r="J45" i="5"/>
  <c r="K45" i="5"/>
  <c r="D45" i="5"/>
  <c r="F44" i="5"/>
  <c r="E38" i="5"/>
  <c r="F38" i="5"/>
  <c r="G38" i="5"/>
  <c r="H38" i="5"/>
  <c r="I38" i="5"/>
  <c r="J38" i="5"/>
  <c r="K38" i="5"/>
  <c r="D38" i="5"/>
  <c r="F37" i="5"/>
  <c r="G37" i="5" s="1"/>
  <c r="N13" i="1"/>
  <c r="M13" i="1"/>
  <c r="K13" i="1"/>
  <c r="L17" i="1"/>
  <c r="K17" i="1"/>
  <c r="F46" i="5" l="1"/>
  <c r="G62" i="5"/>
  <c r="G64" i="5" s="1"/>
  <c r="G70" i="6"/>
  <c r="G72" i="6" s="1"/>
  <c r="I70" i="6"/>
  <c r="I72" i="6" s="1"/>
  <c r="I62" i="5"/>
  <c r="I64" i="5" s="1"/>
  <c r="F62" i="5"/>
  <c r="F64" i="5" s="1"/>
  <c r="F70" i="6"/>
  <c r="F72" i="6" s="1"/>
  <c r="H70" i="6"/>
  <c r="H72" i="6" s="1"/>
  <c r="H62" i="5"/>
  <c r="H64" i="5" s="1"/>
  <c r="K70" i="6"/>
  <c r="K72" i="6" s="1"/>
  <c r="K62" i="5"/>
  <c r="K64" i="5" s="1"/>
  <c r="J62" i="5"/>
  <c r="J64" i="5" s="1"/>
  <c r="J70" i="6"/>
  <c r="J72" i="6" s="1"/>
  <c r="L28" i="1"/>
  <c r="G44" i="5"/>
  <c r="G46" i="5" s="1"/>
  <c r="H37" i="5"/>
  <c r="G39" i="5"/>
  <c r="F39" i="5"/>
  <c r="F52" i="5" l="1"/>
  <c r="M28" i="1"/>
  <c r="H44" i="5"/>
  <c r="I44" i="5" s="1"/>
  <c r="I37" i="5"/>
  <c r="H39" i="5"/>
  <c r="N28" i="1" l="1"/>
  <c r="H46" i="5"/>
  <c r="J44" i="5"/>
  <c r="I46" i="5"/>
  <c r="J37" i="5"/>
  <c r="I39" i="5"/>
  <c r="P28" i="1" l="1"/>
  <c r="O28" i="1"/>
  <c r="K44" i="5"/>
  <c r="K46" i="5" s="1"/>
  <c r="J46" i="5"/>
  <c r="K37" i="5"/>
  <c r="K39" i="5" s="1"/>
  <c r="J39" i="5"/>
  <c r="E50" i="1" l="1"/>
  <c r="F50" i="1"/>
  <c r="G50" i="1"/>
  <c r="H50" i="1"/>
  <c r="I50" i="1"/>
  <c r="L8" i="4"/>
  <c r="T23" i="1" l="1"/>
  <c r="E9" i="1"/>
  <c r="F9" i="1"/>
  <c r="G9" i="1"/>
  <c r="H9" i="1"/>
  <c r="I9" i="1"/>
  <c r="J9" i="1"/>
  <c r="D9" i="1"/>
  <c r="V19" i="1"/>
  <c r="W19" i="1"/>
  <c r="X42" i="2"/>
  <c r="F47" i="2"/>
  <c r="X41" i="2"/>
  <c r="X40" i="2"/>
  <c r="X38" i="2"/>
  <c r="X37" i="2"/>
  <c r="X36" i="2"/>
  <c r="X35" i="2"/>
  <c r="X34" i="2"/>
  <c r="Q16" i="1"/>
  <c r="R16" i="1"/>
  <c r="S16" i="1"/>
  <c r="J22" i="1"/>
  <c r="I22" i="1"/>
  <c r="I41" i="1" s="1"/>
  <c r="D56" i="5" s="1"/>
  <c r="H22" i="1"/>
  <c r="H41" i="1" s="1"/>
  <c r="U19" i="1"/>
  <c r="G48" i="2"/>
  <c r="Z19" i="1" s="1"/>
  <c r="G47" i="2"/>
  <c r="U13" i="1"/>
  <c r="Q18" i="1"/>
  <c r="R18" i="1"/>
  <c r="S18" i="1"/>
  <c r="K37" i="4"/>
  <c r="K17" i="4" s="1"/>
  <c r="R38" i="4"/>
  <c r="R18" i="4" s="1"/>
  <c r="P18" i="1" s="1"/>
  <c r="J37" i="4"/>
  <c r="J17" i="4" s="1"/>
  <c r="Q33" i="4"/>
  <c r="Q26" i="4" s="1"/>
  <c r="P33" i="4"/>
  <c r="P26" i="4" s="1"/>
  <c r="O33" i="4"/>
  <c r="O26" i="4" s="1"/>
  <c r="N33" i="4"/>
  <c r="N26" i="4" s="1"/>
  <c r="N13" i="4"/>
  <c r="N12" i="4"/>
  <c r="N11" i="4"/>
  <c r="N10" i="4"/>
  <c r="M13" i="4"/>
  <c r="M31" i="4" s="1"/>
  <c r="L13" i="4"/>
  <c r="L31" i="4"/>
  <c r="F29" i="4"/>
  <c r="F30" i="4"/>
  <c r="F32" i="4" s="1"/>
  <c r="G30" i="4"/>
  <c r="H30" i="4"/>
  <c r="F31" i="4"/>
  <c r="G31" i="4"/>
  <c r="H31" i="4"/>
  <c r="H32" i="4"/>
  <c r="J26" i="4"/>
  <c r="J34" i="4" s="1"/>
  <c r="K30" i="4"/>
  <c r="L12" i="4"/>
  <c r="L30" i="4" s="1"/>
  <c r="M30" i="4" s="1"/>
  <c r="M12" i="4" s="1"/>
  <c r="K29" i="4"/>
  <c r="L11" i="4"/>
  <c r="L29" i="4" s="1"/>
  <c r="M29" i="4" s="1"/>
  <c r="M11" i="4" s="1"/>
  <c r="K28" i="4"/>
  <c r="L10" i="4"/>
  <c r="I23" i="1" l="1"/>
  <c r="H23" i="1"/>
  <c r="S14" i="1"/>
  <c r="R14" i="1"/>
  <c r="Q14" i="1"/>
  <c r="G32" i="4"/>
  <c r="J38" i="4"/>
  <c r="J18" i="4" s="1"/>
  <c r="G49" i="2"/>
  <c r="G50" i="2" s="1"/>
  <c r="X43" i="2"/>
  <c r="W18" i="1"/>
  <c r="P17" i="4"/>
  <c r="N16" i="1" s="1"/>
  <c r="N15" i="1" s="1"/>
  <c r="P18" i="4"/>
  <c r="N18" i="1" s="1"/>
  <c r="N37" i="4"/>
  <c r="N17" i="4" s="1"/>
  <c r="L16" i="1" s="1"/>
  <c r="L15" i="1" s="1"/>
  <c r="O17" i="4"/>
  <c r="M16" i="1" s="1"/>
  <c r="M15" i="1" s="1"/>
  <c r="R17" i="4"/>
  <c r="P16" i="1" s="1"/>
  <c r="Q17" i="4"/>
  <c r="O16" i="1" s="1"/>
  <c r="O15" i="1" s="1"/>
  <c r="K26" i="4"/>
  <c r="L26" i="4"/>
  <c r="L28" i="4"/>
  <c r="P14" i="1" l="1"/>
  <c r="W14" i="1" s="1"/>
  <c r="P15" i="1"/>
  <c r="N14" i="1"/>
  <c r="V16" i="1"/>
  <c r="M28" i="4"/>
  <c r="L33" i="4"/>
  <c r="L37" i="4" s="1"/>
  <c r="L17" i="4" s="1"/>
  <c r="J16" i="1" s="1"/>
  <c r="J15" i="1" s="1"/>
  <c r="L34" i="4"/>
  <c r="W16" i="1"/>
  <c r="M26" i="4"/>
  <c r="K34" i="4"/>
  <c r="K38" i="4"/>
  <c r="K18" i="4" s="1"/>
  <c r="O18" i="4"/>
  <c r="M18" i="1" s="1"/>
  <c r="M14" i="1" s="1"/>
  <c r="N18" i="4"/>
  <c r="L18" i="1" s="1"/>
  <c r="Q18" i="4"/>
  <c r="O18" i="1" s="1"/>
  <c r="O14" i="1" s="1"/>
  <c r="J41" i="1" l="1"/>
  <c r="E56" i="5" s="1"/>
  <c r="J23" i="1"/>
  <c r="L14" i="1"/>
  <c r="M33" i="4"/>
  <c r="M37" i="4" s="1"/>
  <c r="M17" i="4" s="1"/>
  <c r="K16" i="1" s="1"/>
  <c r="M10" i="4"/>
  <c r="V18" i="1"/>
  <c r="L38" i="4"/>
  <c r="L18" i="4" s="1"/>
  <c r="J18" i="1" s="1"/>
  <c r="M35" i="4"/>
  <c r="M8" i="4"/>
  <c r="M34" i="4"/>
  <c r="M38" i="4"/>
  <c r="M18" i="4" s="1"/>
  <c r="K18" i="1" s="1"/>
  <c r="K7" i="1"/>
  <c r="L7" i="1" s="1"/>
  <c r="M7" i="1" s="1"/>
  <c r="N7" i="1" s="1"/>
  <c r="K20" i="3"/>
  <c r="L20" i="3"/>
  <c r="M20" i="3"/>
  <c r="N20" i="3"/>
  <c r="O20" i="3"/>
  <c r="P20" i="3"/>
  <c r="Q20" i="3"/>
  <c r="R20" i="3"/>
  <c r="J20" i="3"/>
  <c r="I20" i="3"/>
  <c r="H20" i="3"/>
  <c r="G20" i="3"/>
  <c r="F20" i="3"/>
  <c r="S20" i="3"/>
  <c r="U6" i="1"/>
  <c r="G21" i="3"/>
  <c r="AA8" i="1" s="1"/>
  <c r="H21" i="3"/>
  <c r="I21" i="3"/>
  <c r="J21" i="3"/>
  <c r="K21" i="3"/>
  <c r="L21" i="3"/>
  <c r="M21" i="3"/>
  <c r="N21" i="3"/>
  <c r="O21" i="3"/>
  <c r="P21" i="3"/>
  <c r="Q21" i="3"/>
  <c r="R21" i="3"/>
  <c r="F21" i="3"/>
  <c r="G19" i="3"/>
  <c r="H19" i="3"/>
  <c r="I19" i="3"/>
  <c r="J19" i="3"/>
  <c r="K19" i="3"/>
  <c r="L19" i="3"/>
  <c r="M19" i="3"/>
  <c r="N19" i="3"/>
  <c r="O19" i="3"/>
  <c r="P19" i="3"/>
  <c r="Q19" i="3"/>
  <c r="R19" i="3"/>
  <c r="G22" i="3"/>
  <c r="H22" i="3"/>
  <c r="I22" i="3"/>
  <c r="J22" i="3"/>
  <c r="K22" i="3"/>
  <c r="L22" i="3"/>
  <c r="M22" i="3"/>
  <c r="N22" i="3"/>
  <c r="O22" i="3"/>
  <c r="P22" i="3"/>
  <c r="Q22" i="3"/>
  <c r="R22" i="3"/>
  <c r="F22" i="3"/>
  <c r="F19" i="3"/>
  <c r="E22" i="1"/>
  <c r="E41" i="1" s="1"/>
  <c r="F22" i="1"/>
  <c r="F41" i="1" s="1"/>
  <c r="G22" i="1"/>
  <c r="G41" i="1" s="1"/>
  <c r="D22" i="1"/>
  <c r="D41" i="1" s="1"/>
  <c r="X14" i="1"/>
  <c r="I47" i="2"/>
  <c r="H47" i="2"/>
  <c r="F24" i="2"/>
  <c r="L6" i="1"/>
  <c r="K14" i="1" l="1"/>
  <c r="U14" i="1" s="1"/>
  <c r="K15" i="1"/>
  <c r="D23" i="1"/>
  <c r="E23" i="1"/>
  <c r="F23" i="1"/>
  <c r="G23" i="1"/>
  <c r="U18" i="1"/>
  <c r="J50" i="1"/>
  <c r="E30" i="5" s="1"/>
  <c r="V14" i="1"/>
  <c r="H49" i="2"/>
  <c r="H50" i="2" s="1"/>
  <c r="U16" i="1"/>
  <c r="I49" i="2"/>
  <c r="I50" i="2" s="1"/>
  <c r="M6" i="1"/>
  <c r="N6" i="1" s="1"/>
  <c r="O6" i="1" s="1"/>
  <c r="P6" i="1" s="1"/>
  <c r="O7" i="1"/>
  <c r="P7" i="1" s="1"/>
  <c r="Q7" i="1" s="1"/>
  <c r="R7" i="1" s="1"/>
  <c r="S7" i="1" s="1"/>
  <c r="T7" i="1" s="1"/>
  <c r="Q6" i="1" l="1"/>
  <c r="R6" i="1" s="1"/>
  <c r="S6" i="1" s="1"/>
  <c r="T6" i="1" s="1"/>
  <c r="T9" i="1" s="1"/>
  <c r="V6" i="1"/>
  <c r="W7" i="1"/>
  <c r="V7" i="1"/>
  <c r="K50" i="1"/>
  <c r="F30" i="5" s="1"/>
  <c r="F32" i="5" s="1"/>
  <c r="X28" i="1"/>
  <c r="X40" i="1"/>
  <c r="X25" i="1"/>
  <c r="X12" i="1"/>
  <c r="X11" i="1"/>
  <c r="X8" i="1"/>
  <c r="Z8" i="1" s="1"/>
  <c r="X7" i="1"/>
  <c r="X6" i="1"/>
  <c r="X5" i="1"/>
  <c r="AA12" i="1"/>
  <c r="Z12" i="1"/>
  <c r="Z11" i="1" l="1"/>
  <c r="K11" i="1" s="1"/>
  <c r="U11" i="1" s="1"/>
  <c r="AA11" i="1"/>
  <c r="AA22" i="1" s="1"/>
  <c r="AB11" i="1"/>
  <c r="AB22" i="1" s="1"/>
  <c r="W6" i="1"/>
  <c r="U40" i="1"/>
  <c r="Z5" i="1"/>
  <c r="AB5" i="1"/>
  <c r="AA5" i="1"/>
  <c r="M12" i="1"/>
  <c r="AA7" i="1"/>
  <c r="Z7" i="1"/>
  <c r="U7" i="1" s="1"/>
  <c r="AB7" i="1"/>
  <c r="K8" i="1"/>
  <c r="AB8" i="1"/>
  <c r="N12" i="1"/>
  <c r="K12" i="1"/>
  <c r="L12" i="1"/>
  <c r="Z22" i="1" l="1"/>
  <c r="K5" i="1"/>
  <c r="K9" i="1" s="1"/>
  <c r="R12" i="1"/>
  <c r="P12" i="1"/>
  <c r="Q12" i="1"/>
  <c r="O12" i="1"/>
  <c r="U12" i="1"/>
  <c r="K22" i="1"/>
  <c r="L8" i="1"/>
  <c r="M8" i="1" s="1"/>
  <c r="N8" i="1" s="1"/>
  <c r="O8" i="1" s="1"/>
  <c r="P8" i="1" s="1"/>
  <c r="U8" i="1"/>
  <c r="K41" i="1" l="1"/>
  <c r="F56" i="5" s="1"/>
  <c r="F58" i="5" s="1"/>
  <c r="K23" i="1"/>
  <c r="L5" i="1"/>
  <c r="L9" i="1" s="1"/>
  <c r="U5" i="1"/>
  <c r="L22" i="1"/>
  <c r="L23" i="1" s="1"/>
  <c r="U22" i="1"/>
  <c r="S12" i="1"/>
  <c r="V12" i="1"/>
  <c r="V8" i="1"/>
  <c r="Q8" i="1"/>
  <c r="R8" i="1" s="1"/>
  <c r="S8" i="1" s="1"/>
  <c r="M5" i="1" l="1"/>
  <c r="M9" i="1" s="1"/>
  <c r="L41" i="1"/>
  <c r="G56" i="5" s="1"/>
  <c r="G58" i="5" s="1"/>
  <c r="M22" i="1"/>
  <c r="L11" i="1"/>
  <c r="W12" i="1"/>
  <c r="W8" i="1"/>
  <c r="N5" i="1" l="1"/>
  <c r="M41" i="1"/>
  <c r="H56" i="5" s="1"/>
  <c r="H58" i="5" s="1"/>
  <c r="M23" i="1"/>
  <c r="N22" i="1"/>
  <c r="N23" i="1" s="1"/>
  <c r="M11" i="1"/>
  <c r="O5" i="1"/>
  <c r="N9" i="1"/>
  <c r="N11" i="1" l="1"/>
  <c r="N41" i="1"/>
  <c r="I56" i="5" s="1"/>
  <c r="I58" i="5" s="1"/>
  <c r="O22" i="1"/>
  <c r="O23" i="1" s="1"/>
  <c r="O9" i="1"/>
  <c r="V5" i="1"/>
  <c r="P5" i="1"/>
  <c r="O11" i="1" l="1"/>
  <c r="V11" i="1" s="1"/>
  <c r="O41" i="1"/>
  <c r="J56" i="5" s="1"/>
  <c r="J58" i="5" s="1"/>
  <c r="P22" i="1"/>
  <c r="P23" i="1" s="1"/>
  <c r="V22" i="1"/>
  <c r="P9" i="1"/>
  <c r="Q5" i="1"/>
  <c r="P11" i="1" l="1"/>
  <c r="P41" i="1"/>
  <c r="K56" i="5" s="1"/>
  <c r="K58" i="5" s="1"/>
  <c r="Q22" i="1"/>
  <c r="Q23" i="1" s="1"/>
  <c r="R5" i="1"/>
  <c r="Q9" i="1"/>
  <c r="Q41" i="1" l="1"/>
  <c r="Q11" i="1"/>
  <c r="R22" i="1"/>
  <c r="R23" i="1" s="1"/>
  <c r="S5" i="1"/>
  <c r="S9" i="1" s="1"/>
  <c r="R9" i="1"/>
  <c r="R41" i="1" l="1"/>
  <c r="R11" i="1"/>
  <c r="S22" i="1"/>
  <c r="S23" i="1" s="1"/>
  <c r="W5" i="1"/>
  <c r="S41" i="1" l="1"/>
  <c r="W22" i="1"/>
  <c r="S11" i="1"/>
  <c r="W11" i="1" s="1"/>
  <c r="L40" i="1" l="1"/>
  <c r="L50" i="1" l="1"/>
  <c r="G30" i="5" s="1"/>
  <c r="G32" i="5" s="1"/>
  <c r="M40" i="1"/>
  <c r="N40" i="1" s="1"/>
  <c r="O40" i="1" s="1"/>
  <c r="P40" i="1" s="1"/>
  <c r="Q40" i="1" s="1"/>
  <c r="R40" i="1" s="1"/>
  <c r="S40" i="1" s="1"/>
  <c r="L35" i="1"/>
  <c r="G68" i="5" s="1"/>
  <c r="G70" i="5" s="1"/>
  <c r="L42" i="1"/>
  <c r="G50" i="5" s="1"/>
  <c r="G52" i="5" s="1"/>
  <c r="L51" i="1"/>
  <c r="F24" i="5" s="1"/>
  <c r="F26" i="5" s="1"/>
  <c r="M51" i="1" l="1"/>
  <c r="G24" i="5" s="1"/>
  <c r="G26" i="5" s="1"/>
  <c r="M35" i="1"/>
  <c r="H68" i="5" s="1"/>
  <c r="H70" i="5" s="1"/>
  <c r="M42" i="1"/>
  <c r="H50" i="5" s="1"/>
  <c r="H52" i="5" s="1"/>
  <c r="M50" i="1"/>
  <c r="H30" i="5" s="1"/>
  <c r="H32" i="5" s="1"/>
  <c r="N35" i="1" l="1"/>
  <c r="I68" i="5" s="1"/>
  <c r="I70" i="5" s="1"/>
  <c r="N51" i="1"/>
  <c r="H24" i="5" s="1"/>
  <c r="H26" i="5" s="1"/>
  <c r="N50" i="1"/>
  <c r="I30" i="5" s="1"/>
  <c r="I32" i="5" s="1"/>
  <c r="N42" i="1"/>
  <c r="I50" i="5" s="1"/>
  <c r="I52" i="5" s="1"/>
  <c r="O35" i="1" l="1"/>
  <c r="J68" i="5" s="1"/>
  <c r="J70" i="5" s="1"/>
  <c r="V40" i="1"/>
  <c r="O51" i="1"/>
  <c r="I24" i="5" s="1"/>
  <c r="I26" i="5" s="1"/>
  <c r="O42" i="1"/>
  <c r="J50" i="5" s="1"/>
  <c r="J52" i="5" s="1"/>
  <c r="O50" i="1"/>
  <c r="J30" i="5" s="1"/>
  <c r="J32" i="5" s="1"/>
  <c r="P35" i="1" l="1"/>
  <c r="K68" i="5" s="1"/>
  <c r="K70" i="5" s="1"/>
  <c r="P42" i="1"/>
  <c r="K50" i="5" s="1"/>
  <c r="K52" i="5" s="1"/>
  <c r="P51" i="1"/>
  <c r="J24" i="5" s="1"/>
  <c r="J26" i="5" s="1"/>
  <c r="P50" i="1"/>
  <c r="K30" i="5" s="1"/>
  <c r="K32" i="5" s="1"/>
  <c r="Q51" i="1" l="1"/>
  <c r="K24" i="5" s="1"/>
  <c r="K26" i="5" s="1"/>
  <c r="Q42" i="1"/>
  <c r="Q50" i="1"/>
  <c r="R51" i="1" l="1"/>
  <c r="R42" i="1"/>
  <c r="R50" i="1"/>
  <c r="S50" i="1" l="1"/>
  <c r="S42" i="1"/>
  <c r="S51" i="1"/>
  <c r="W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tc={2D81BDF9-A0D8-4A1A-915B-91D32E8E61FF}</author>
  </authors>
  <commentList>
    <comment ref="J29" authorId="0" shapeId="0" xr:uid="{2D81BDF9-A0D8-4A1A-915B-91D32E8E61FF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 with nom purchases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tc={0D11DB45-5F45-4101-88CC-04004C002B30}</author>
    <author>tc={9AE4A33D-4FC8-4887-8685-E4AD05B19618}</author>
    <author>tc={87857C10-95FA-4E5C-9CD5-D2FE6D3862B8}</author>
    <author>tc={FA886E65-A09D-4A87-8F68-FE5958AB35B4}</author>
  </authors>
  <commentList>
    <comment ref="E24" authorId="0" shapeId="0" xr:uid="{0D11DB45-5F45-4101-88CC-04004C002B30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the legislation pre-covid level</t>
      </text>
    </comment>
    <comment ref="F24" authorId="1" shapeId="0" xr:uid="{9AE4A33D-4FC8-4887-8685-E4AD05B19618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 it by the growth rate that would prevail without legislation</t>
      </text>
    </comment>
    <comment ref="E32" authorId="2" shapeId="0" xr:uid="{87857C10-95FA-4E5C-9CD5-D2FE6D3862B8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the legislation from the level</t>
      </text>
    </comment>
    <comment ref="F32" authorId="3" shapeId="0" xr:uid="{FA886E65-A09D-4A87-8F68-FE5958AB35B4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 it by 1%</t>
      </text>
    </comment>
  </commentList>
</comments>
</file>

<file path=xl/sharedStrings.xml><?xml version="1.0" encoding="utf-8"?>
<sst xmlns="http://schemas.openxmlformats.org/spreadsheetml/2006/main" count="592" uniqueCount="227">
  <si>
    <t>Corporate Taxes</t>
  </si>
  <si>
    <t>FEDERAL</t>
  </si>
  <si>
    <t>Medicaid</t>
  </si>
  <si>
    <t>Medicare</t>
  </si>
  <si>
    <t>Subsidies</t>
  </si>
  <si>
    <t>q4</t>
  </si>
  <si>
    <t>q1</t>
  </si>
  <si>
    <t>q2</t>
  </si>
  <si>
    <t>q3</t>
  </si>
  <si>
    <t>FY2020</t>
  </si>
  <si>
    <t>FY2021</t>
  </si>
  <si>
    <t>FY2022</t>
  </si>
  <si>
    <t>Fy2021</t>
  </si>
  <si>
    <t>ui</t>
  </si>
  <si>
    <t>Fed Social Benefits NIPA Definition</t>
  </si>
  <si>
    <t>Medicaid NIPA</t>
  </si>
  <si>
    <t>Total State Social Benefits NIPA</t>
  </si>
  <si>
    <t>All Grants to States</t>
  </si>
  <si>
    <t>Fed Purchases (Real)</t>
  </si>
  <si>
    <t>State Purchases Real</t>
  </si>
  <si>
    <t>** let's smooth payment shift in Medicare +47 in 2020, -46 in 2021 according to CBO BEA doesn’t' appear to incorporate</t>
  </si>
  <si>
    <t>Rebate Checks</t>
  </si>
  <si>
    <t>FY2019</t>
  </si>
  <si>
    <t>State and local Corpoate</t>
  </si>
  <si>
    <t>State Personal</t>
  </si>
  <si>
    <t>State Taxes on Production</t>
  </si>
  <si>
    <t>State Cont Soc Insurance</t>
  </si>
  <si>
    <t>Personal</t>
  </si>
  <si>
    <t>Production</t>
  </si>
  <si>
    <t>Social Insurance</t>
  </si>
  <si>
    <t>Check FY NIPA</t>
  </si>
  <si>
    <t>** this was higher and seemed wrong</t>
  </si>
  <si>
    <r>
      <t>This file reproduces the tables detailing CBO's budgetary projections that appear in the agency's September 2020 report</t>
    </r>
    <r>
      <rPr>
        <i/>
        <sz val="11"/>
        <color rgb="FF000000"/>
        <rFont val="Arial"/>
        <family val="2"/>
      </rPr>
      <t xml:space="preserve"> An Update to the Budget Outlook: 2020 to 2030</t>
    </r>
    <r>
      <rPr>
        <sz val="11"/>
        <color rgb="FF000000"/>
        <rFont val="Arial"/>
        <family val="2"/>
      </rPr>
      <t>. The file also includes data that supplement those tables.</t>
    </r>
  </si>
  <si>
    <t>www.cbo.gov/publication/56517</t>
  </si>
  <si>
    <t>Table 3. 
Mandatory Outlays Projected in CBO's Baseline</t>
  </si>
  <si>
    <t>Billions of Dollars</t>
  </si>
  <si>
    <t>Total</t>
  </si>
  <si>
    <t>Actual,</t>
  </si>
  <si>
    <t>2021-</t>
  </si>
  <si>
    <t>Social Security</t>
  </si>
  <si>
    <t>Old-Age and Survivors Insurance</t>
  </si>
  <si>
    <t>Disability Insurance</t>
  </si>
  <si>
    <t>_____</t>
  </si>
  <si>
    <t>______</t>
  </si>
  <si>
    <t>Subtotal</t>
  </si>
  <si>
    <t>Major Health Care Programs</t>
  </si>
  <si>
    <r>
      <t>Medicare</t>
    </r>
    <r>
      <rPr>
        <vertAlign val="superscript"/>
        <sz val="11"/>
        <rFont val="Arial"/>
        <family val="2"/>
      </rPr>
      <t>a,b</t>
    </r>
  </si>
  <si>
    <r>
      <t>Premium tax credits and related spending</t>
    </r>
    <r>
      <rPr>
        <vertAlign val="superscript"/>
        <sz val="11"/>
        <rFont val="Arial"/>
        <family val="2"/>
      </rPr>
      <t>c</t>
    </r>
  </si>
  <si>
    <t>Children's Health Insurance Program</t>
  </si>
  <si>
    <r>
      <t>Subtotal</t>
    </r>
    <r>
      <rPr>
        <vertAlign val="superscript"/>
        <sz val="11"/>
        <rFont val="Arial"/>
        <family val="2"/>
      </rPr>
      <t>a</t>
    </r>
  </si>
  <si>
    <t>Income Security Programs</t>
  </si>
  <si>
    <r>
      <t>Earned income, child, and other tax credits</t>
    </r>
    <r>
      <rPr>
        <vertAlign val="superscript"/>
        <sz val="11"/>
        <rFont val="Arial"/>
        <family val="2"/>
      </rPr>
      <t>d</t>
    </r>
  </si>
  <si>
    <t>Supplemental Nutrition Assistance Program</t>
  </si>
  <si>
    <t>Supplemental Security Income</t>
  </si>
  <si>
    <t>Unemployment compensation</t>
  </si>
  <si>
    <r>
      <t>Family support and foster care</t>
    </r>
    <r>
      <rPr>
        <vertAlign val="superscript"/>
        <sz val="11"/>
        <rFont val="Arial"/>
        <family val="2"/>
      </rPr>
      <t>e</t>
    </r>
  </si>
  <si>
    <t>Child nutrition</t>
  </si>
  <si>
    <t>Federal Civilian and Military Retirement</t>
  </si>
  <si>
    <r>
      <t>Civilian</t>
    </r>
    <r>
      <rPr>
        <vertAlign val="superscript"/>
        <sz val="11"/>
        <rFont val="Arial"/>
        <family val="2"/>
      </rPr>
      <t>f</t>
    </r>
  </si>
  <si>
    <r>
      <t>Military</t>
    </r>
    <r>
      <rPr>
        <vertAlign val="superscript"/>
        <sz val="11"/>
        <rFont val="Arial"/>
        <family val="2"/>
      </rPr>
      <t>b</t>
    </r>
  </si>
  <si>
    <t>Other</t>
  </si>
  <si>
    <t>Veterans' Programs</t>
  </si>
  <si>
    <r>
      <t>Income security</t>
    </r>
    <r>
      <rPr>
        <vertAlign val="superscript"/>
        <sz val="11"/>
        <rFont val="Arial"/>
        <family val="2"/>
      </rPr>
      <t>b,g</t>
    </r>
  </si>
  <si>
    <t>Other Programs</t>
  </si>
  <si>
    <t>Small Business Administration</t>
  </si>
  <si>
    <t>Coronavirus relief fund</t>
  </si>
  <si>
    <t xml:space="preserve">Agriculture </t>
  </si>
  <si>
    <t>Deposit insurance</t>
  </si>
  <si>
    <t>MERHCF</t>
  </si>
  <si>
    <r>
      <t>Fannie Mae and Freddie Mac</t>
    </r>
    <r>
      <rPr>
        <vertAlign val="superscript"/>
        <sz val="11"/>
        <rFont val="Arial"/>
        <family val="2"/>
      </rPr>
      <t>h</t>
    </r>
  </si>
  <si>
    <t>Higher education</t>
  </si>
  <si>
    <t>Mandatory Outlays, Excluding the</t>
  </si>
  <si>
    <r>
      <t>Effects of Offsetting Receipts</t>
    </r>
    <r>
      <rPr>
        <vertAlign val="superscript"/>
        <sz val="11"/>
        <rFont val="Arial"/>
        <family val="2"/>
      </rPr>
      <t>a,b</t>
    </r>
  </si>
  <si>
    <t>Offsetting Receipts</t>
  </si>
  <si>
    <r>
      <t>Medicare</t>
    </r>
    <r>
      <rPr>
        <vertAlign val="superscript"/>
        <sz val="11"/>
        <rFont val="Arial"/>
        <family val="2"/>
      </rPr>
      <t>i</t>
    </r>
  </si>
  <si>
    <t>Federal share of federal employees'</t>
  </si>
  <si>
    <t xml:space="preserve">   retirement</t>
  </si>
  <si>
    <t>Civil service retirement and other</t>
  </si>
  <si>
    <t>Military retirement</t>
  </si>
  <si>
    <t>Receipts related to natural resources</t>
  </si>
  <si>
    <t>Total Mandatory Outlays,</t>
  </si>
  <si>
    <r>
      <t>Net of Offsetting Receipts</t>
    </r>
    <r>
      <rPr>
        <vertAlign val="superscript"/>
        <sz val="11"/>
        <rFont val="Arial"/>
        <family val="2"/>
      </rPr>
      <t>b</t>
    </r>
  </si>
  <si>
    <t>Memorandum:</t>
  </si>
  <si>
    <t>Outlays Net of Offsetting Receipts</t>
  </si>
  <si>
    <r>
      <t>Medicare</t>
    </r>
    <r>
      <rPr>
        <vertAlign val="superscript"/>
        <sz val="11"/>
        <rFont val="Arial"/>
        <family val="2"/>
      </rPr>
      <t>b</t>
    </r>
  </si>
  <si>
    <r>
      <t>Major health care programs</t>
    </r>
    <r>
      <rPr>
        <vertAlign val="superscript"/>
        <sz val="11"/>
        <rFont val="Arial"/>
        <family val="2"/>
      </rPr>
      <t>b</t>
    </r>
  </si>
  <si>
    <t xml:space="preserve">CBO NIPA Translation ???? </t>
  </si>
  <si>
    <t>CBO Tax changes have a lot of timing -- payroll deferall, as well as tax credits that the NIPA count as subsidies</t>
  </si>
  <si>
    <t>Only the economic changes should count</t>
  </si>
  <si>
    <t>In Billions of Dollars</t>
  </si>
  <si>
    <t>Revenues</t>
  </si>
  <si>
    <t>Individual income taxes</t>
  </si>
  <si>
    <t>Payroll taxes</t>
  </si>
  <si>
    <t>Corporate income taxes</t>
  </si>
  <si>
    <t>On-budget</t>
  </si>
  <si>
    <r>
      <t>Off-budget</t>
    </r>
    <r>
      <rPr>
        <vertAlign val="superscript"/>
        <sz val="11"/>
        <rFont val="Arial"/>
        <family val="2"/>
      </rPr>
      <t>a</t>
    </r>
  </si>
  <si>
    <t xml:space="preserve">CBO JULY </t>
  </si>
  <si>
    <t>Economic Changes</t>
  </si>
  <si>
    <t>Changes in Revenues</t>
  </si>
  <si>
    <t>___</t>
  </si>
  <si>
    <t>Total Change in Revenues</t>
  </si>
  <si>
    <t>Legislative Changes</t>
  </si>
  <si>
    <r>
      <t>Changes in Revenues</t>
    </r>
    <r>
      <rPr>
        <vertAlign val="superscript"/>
        <sz val="11"/>
        <rFont val="Arial"/>
        <family val="2"/>
      </rPr>
      <t>a</t>
    </r>
  </si>
  <si>
    <t>Technical Changes</t>
  </si>
  <si>
    <t>Check FY totals</t>
  </si>
  <si>
    <t>Revenues without legislative changes  and technical</t>
  </si>
  <si>
    <t>Effects of Selected Federal Pandemic Response Programs on Personal Income, July 2020</t>
  </si>
  <si>
    <r>
      <t>(billions of dollars, seasonally adjusted at</t>
    </r>
    <r>
      <rPr>
        <b/>
        <sz val="11"/>
        <rFont val="Calibri"/>
        <family val="2"/>
        <scheme val="minor"/>
      </rPr>
      <t xml:space="preserve"> annual</t>
    </r>
    <r>
      <rPr>
        <b/>
        <sz val="11"/>
        <color theme="1"/>
        <rFont val="Calibri"/>
        <family val="2"/>
        <scheme val="minor"/>
      </rPr>
      <t xml:space="preserve"> rates)</t>
    </r>
  </si>
  <si>
    <t>Levels</t>
  </si>
  <si>
    <t>Annual Rates</t>
  </si>
  <si>
    <t>Actual Spending</t>
  </si>
  <si>
    <t>Line</t>
  </si>
  <si>
    <t>Q1</t>
  </si>
  <si>
    <t>Q2</t>
  </si>
  <si>
    <t>Q3</t>
  </si>
  <si>
    <t>Jan.</t>
  </si>
  <si>
    <t>Feb.</t>
  </si>
  <si>
    <t>Mar.</t>
  </si>
  <si>
    <t>Apr.</t>
  </si>
  <si>
    <t>May</t>
  </si>
  <si>
    <t>Jun.</t>
  </si>
  <si>
    <t>Jul.</t>
  </si>
  <si>
    <t>CBO Legislation</t>
  </si>
  <si>
    <t>Unemployment Compensation Expansion</t>
  </si>
  <si>
    <t>FPUC - Additional $600 per week</t>
  </si>
  <si>
    <t>PUA - Eligibility expansion</t>
  </si>
  <si>
    <t>PEUC - Additional 13 weeks of coverage</t>
  </si>
  <si>
    <t>Subtotal, unemployment compensation</t>
  </si>
  <si>
    <t>CBO TOTAL UI</t>
  </si>
  <si>
    <t>NonLegislation</t>
  </si>
  <si>
    <t>Emergecy</t>
  </si>
  <si>
    <t>State</t>
  </si>
  <si>
    <t xml:space="preserve">                        Unemployment insurance</t>
  </si>
  <si>
    <r>
      <t xml:space="preserve">                           Of which: </t>
    </r>
    <r>
      <rPr>
        <i/>
        <vertAlign val="superscript"/>
        <sz val="11"/>
        <color theme="1"/>
        <rFont val="Calibri"/>
        <family val="2"/>
        <scheme val="minor"/>
      </rPr>
      <t>4</t>
    </r>
  </si>
  <si>
    <t xml:space="preserve">                              Pandemic Emergency Unemployment Compensation</t>
  </si>
  <si>
    <t xml:space="preserve">                              Pandemic Unemployment Assistance</t>
  </si>
  <si>
    <t xml:space="preserve">                              Pandemic Unemployment Compensation Payments</t>
  </si>
  <si>
    <t>Q4</t>
  </si>
  <si>
    <t>Figure out Q3 from CBO</t>
  </si>
  <si>
    <t>Federal is Everything Legislative + Legislative Cost of Emergency (Because legislation doubled spending from 50% to 100%)</t>
  </si>
  <si>
    <t>Federal UI</t>
  </si>
  <si>
    <t>State UI</t>
  </si>
  <si>
    <t>Assumed Other</t>
  </si>
  <si>
    <t>Total UI</t>
  </si>
  <si>
    <t>FPUC</t>
  </si>
  <si>
    <t>PUA</t>
  </si>
  <si>
    <t>PEUC</t>
  </si>
  <si>
    <t>Total Legislation</t>
  </si>
  <si>
    <t>Total AS</t>
  </si>
  <si>
    <t>Federal</t>
  </si>
  <si>
    <t>PUA and peuc expire Expires</t>
  </si>
  <si>
    <t>PPP and Provider Relief in personal income</t>
  </si>
  <si>
    <t>PPP and Provider relief in personal income</t>
  </si>
  <si>
    <t>Fed Social Benefits ex check and ex UI and ex Mediare and PPP and Provider Relief</t>
  </si>
  <si>
    <t>medicare</t>
  </si>
  <si>
    <t>eitc</t>
  </si>
  <si>
    <t>snap</t>
  </si>
  <si>
    <t>vet</t>
  </si>
  <si>
    <t>social security</t>
  </si>
  <si>
    <t>ppp</t>
  </si>
  <si>
    <t>Regular</t>
  </si>
  <si>
    <t>Special</t>
  </si>
  <si>
    <t>Fed noncorporate</t>
  </si>
  <si>
    <t>Fed Soc Benefit less Medicare and Less State UI</t>
  </si>
  <si>
    <t>State Social Benefits + State UI Less Federal Medicaid</t>
  </si>
  <si>
    <t>Actual NIPA</t>
  </si>
  <si>
    <t>Old - Kadija</t>
  </si>
  <si>
    <t>FY 2020</t>
  </si>
  <si>
    <t>FIM Fed Social Benefits</t>
  </si>
  <si>
    <t>Trump UI</t>
  </si>
  <si>
    <t>MILLIONS</t>
  </si>
  <si>
    <t>FIM State social benefits</t>
  </si>
  <si>
    <t>NO-ADD ONS</t>
  </si>
  <si>
    <t>FY 2021</t>
  </si>
  <si>
    <t>federal_social_benefits</t>
  </si>
  <si>
    <t>federal_noncorp_taxes</t>
  </si>
  <si>
    <t>federal_corporate_taxes</t>
  </si>
  <si>
    <t>federal_subsidies</t>
  </si>
  <si>
    <t>state_health_outlays</t>
  </si>
  <si>
    <t>state_social_benefits</t>
  </si>
  <si>
    <t>state_noncorp_taxes</t>
  </si>
  <si>
    <t>state_corporate_taxes</t>
  </si>
  <si>
    <t>state_subsidies</t>
  </si>
  <si>
    <t>federal_health_outlays</t>
  </si>
  <si>
    <t>FY 2022</t>
  </si>
  <si>
    <t>Without Add-ons</t>
  </si>
  <si>
    <t>Add Factors</t>
  </si>
  <si>
    <t>*Our* Estimate Post-Covid</t>
  </si>
  <si>
    <t>Data + Projections</t>
  </si>
  <si>
    <t>BEA Data</t>
  </si>
  <si>
    <t>State  Corp Taxes</t>
  </si>
  <si>
    <t>State Non-Corp Taxes</t>
  </si>
  <si>
    <t>State Health</t>
  </si>
  <si>
    <t>*Our* Estimate Pre-Covid</t>
  </si>
  <si>
    <t>Leglislative Changes</t>
  </si>
  <si>
    <t>State Social Benefits</t>
  </si>
  <si>
    <t>Federal Health</t>
  </si>
  <si>
    <t>Federal Social Benefits</t>
  </si>
  <si>
    <t>Federal Subsidies</t>
  </si>
  <si>
    <t>Color Code</t>
  </si>
  <si>
    <t>FIM Data ran without add-ons</t>
  </si>
  <si>
    <t>State Line Items</t>
  </si>
  <si>
    <t>Federal Line Items</t>
  </si>
  <si>
    <t>federal_cgrants</t>
  </si>
  <si>
    <t>Federal Cons Grants</t>
  </si>
  <si>
    <t>Grants to S&amp;L Gov't</t>
  </si>
  <si>
    <t>Education</t>
  </si>
  <si>
    <t>Calendar quarters</t>
  </si>
  <si>
    <t>Legislation Subsidies</t>
  </si>
  <si>
    <t>Support for hospitals (state)</t>
  </si>
  <si>
    <t>fed nom purchases growth rate</t>
  </si>
  <si>
    <t>Grants less legislation</t>
  </si>
  <si>
    <t>Fed Purchases (Nominal)</t>
  </si>
  <si>
    <t>Medicaid Grants</t>
  </si>
  <si>
    <t>Nonprofit PPP</t>
  </si>
  <si>
    <t>Non profit Provider relief</t>
  </si>
  <si>
    <t>Billions</t>
  </si>
  <si>
    <t>Grants to States</t>
  </si>
  <si>
    <t>BEA Grants Legislation</t>
  </si>
  <si>
    <r>
      <rPr>
        <i/>
        <sz val="11"/>
        <color theme="1"/>
        <rFont val="Calibri"/>
        <family val="2"/>
        <scheme val="minor"/>
      </rPr>
      <t>*our estimate*</t>
    </r>
    <r>
      <rPr>
        <sz val="11"/>
        <color theme="1"/>
        <rFont val="Calibri"/>
        <family val="2"/>
        <scheme val="minor"/>
      </rPr>
      <t xml:space="preserve"> Grants Legislation</t>
    </r>
  </si>
  <si>
    <t>All Subsidies</t>
  </si>
  <si>
    <t>Total Federal UI</t>
  </si>
  <si>
    <t>FIM State Health</t>
  </si>
  <si>
    <t>FIM Federal Health</t>
  </si>
  <si>
    <t>growth rate</t>
  </si>
  <si>
    <t>State and local nom purchases</t>
  </si>
  <si>
    <t>C 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</si>
</sst>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"/>
    <numFmt numFmtId="165" formatCode="dd\-mmm\-yy"/>
    <numFmt numFmtId="166" formatCode="#,##0.000"/>
    <numFmt numFmtId="167" formatCode="#,##0.0"/>
    <numFmt numFmtId="168" formatCode="[$-409]mmmm\ d\,\ yyyy;@"/>
    <numFmt numFmtId="169" formatCode="_(* #,##0_);_(* \(#,##0\);_(* &quot;-&quot;??_);_(@_)"/>
    <numFmt numFmtId="170" formatCode="0.0"/>
    <numFmt numFmtId="171" formatCode="0.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rgb="FF1F497D"/>
      <name val="Arial"/>
      <family val="2"/>
    </font>
    <font>
      <sz val="11"/>
      <color theme="3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vertAlign val="superscript"/>
      <sz val="11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BE9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/>
      <bottom/>
      <diagonal/>
    </border>
    <border>
      <left style="dashDot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8" fillId="0" borderId="0"/>
    <xf numFmtId="0" fontId="8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</cellStyleXfs>
  <cellXfs count="1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4" fillId="0" borderId="0" xfId="0" applyFont="1"/>
    <xf numFmtId="0" fontId="7" fillId="0" borderId="0" xfId="3" applyNumberFormat="1" applyFont="1" applyAlignment="1"/>
    <xf numFmtId="0" fontId="7" fillId="0" borderId="0" xfId="4" applyFont="1"/>
    <xf numFmtId="0" fontId="9" fillId="0" borderId="0" xfId="2" applyFont="1" applyFill="1" applyAlignment="1">
      <alignment vertical="center"/>
    </xf>
    <xf numFmtId="0" fontId="10" fillId="0" borderId="0" xfId="2" applyFont="1" applyFill="1" applyAlignment="1">
      <alignment horizontal="left" vertical="center"/>
    </xf>
    <xf numFmtId="164" fontId="7" fillId="0" borderId="0" xfId="0" applyNumberFormat="1" applyFont="1" applyAlignment="1">
      <alignment horizontal="left"/>
    </xf>
    <xf numFmtId="0" fontId="7" fillId="0" borderId="0" xfId="0" applyFont="1"/>
    <xf numFmtId="1" fontId="7" fillId="0" borderId="0" xfId="0" applyNumberFormat="1" applyFont="1" applyAlignment="1">
      <alignment horizontal="fill"/>
    </xf>
    <xf numFmtId="1" fontId="13" fillId="0" borderId="0" xfId="0" applyNumberFormat="1" applyFont="1" applyAlignment="1">
      <alignment horizontal="fill"/>
    </xf>
    <xf numFmtId="0" fontId="13" fillId="0" borderId="0" xfId="0" applyFont="1"/>
    <xf numFmtId="1" fontId="7" fillId="0" borderId="0" xfId="0" applyNumberFormat="1" applyFont="1"/>
    <xf numFmtId="1" fontId="13" fillId="0" borderId="0" xfId="0" applyNumberFormat="1" applyFont="1" applyAlignment="1">
      <alignment horizontal="right"/>
    </xf>
    <xf numFmtId="1" fontId="13" fillId="0" borderId="0" xfId="0" applyNumberFormat="1" applyFont="1"/>
    <xf numFmtId="164" fontId="13" fillId="0" borderId="0" xfId="0" applyNumberFormat="1" applyFont="1"/>
    <xf numFmtId="1" fontId="7" fillId="0" borderId="0" xfId="5" applyNumberFormat="1" applyFont="1" applyAlignment="1">
      <alignment horizontal="right"/>
    </xf>
    <xf numFmtId="0" fontId="7" fillId="0" borderId="1" xfId="0" applyFont="1" applyBorder="1"/>
    <xf numFmtId="165" fontId="7" fillId="0" borderId="1" xfId="0" applyNumberFormat="1" applyFont="1" applyBorder="1"/>
    <xf numFmtId="1" fontId="13" fillId="0" borderId="1" xfId="0" applyNumberFormat="1" applyFont="1" applyBorder="1"/>
    <xf numFmtId="1" fontId="7" fillId="0" borderId="1" xfId="5" applyNumberFormat="1" applyFont="1" applyBorder="1"/>
    <xf numFmtId="3" fontId="14" fillId="0" borderId="0" xfId="0" applyNumberFormat="1" applyFont="1" applyProtection="1">
      <protection locked="0"/>
    </xf>
    <xf numFmtId="3" fontId="7" fillId="0" borderId="0" xfId="0" applyNumberFormat="1" applyFont="1"/>
    <xf numFmtId="3" fontId="14" fillId="0" borderId="0" xfId="0" applyNumberFormat="1" applyFont="1"/>
    <xf numFmtId="3" fontId="7" fillId="0" borderId="0" xfId="0" applyNumberFormat="1" applyFont="1" applyAlignment="1">
      <alignment horizontal="right"/>
    </xf>
    <xf numFmtId="166" fontId="7" fillId="0" borderId="0" xfId="0" applyNumberFormat="1" applyFont="1"/>
    <xf numFmtId="0" fontId="7" fillId="0" borderId="0" xfId="0" applyFont="1" applyAlignment="1">
      <alignment horizontal="left"/>
    </xf>
    <xf numFmtId="167" fontId="14" fillId="0" borderId="0" xfId="0" applyNumberFormat="1" applyFont="1"/>
    <xf numFmtId="0" fontId="11" fillId="0" borderId="0" xfId="0" applyFont="1"/>
    <xf numFmtId="164" fontId="7" fillId="0" borderId="2" xfId="0" applyNumberFormat="1" applyFont="1" applyBorder="1"/>
    <xf numFmtId="3" fontId="0" fillId="2" borderId="0" xfId="0" applyNumberFormat="1" applyFill="1"/>
    <xf numFmtId="1" fontId="0" fillId="4" borderId="0" xfId="0" applyNumberFormat="1" applyFill="1"/>
    <xf numFmtId="0" fontId="0" fillId="4" borderId="0" xfId="0" applyFill="1"/>
    <xf numFmtId="0" fontId="0" fillId="0" borderId="0" xfId="0" applyFill="1"/>
    <xf numFmtId="0" fontId="7" fillId="0" borderId="0" xfId="3" applyFont="1"/>
    <xf numFmtId="0" fontId="7" fillId="0" borderId="0" xfId="5" applyFont="1" applyAlignment="1">
      <alignment horizontal="right"/>
    </xf>
    <xf numFmtId="0" fontId="7" fillId="0" borderId="0" xfId="5" applyFont="1"/>
    <xf numFmtId="0" fontId="7" fillId="0" borderId="1" xfId="3" applyFont="1" applyBorder="1"/>
    <xf numFmtId="165" fontId="7" fillId="0" borderId="1" xfId="3" applyNumberFormat="1" applyFont="1" applyBorder="1"/>
    <xf numFmtId="0" fontId="7" fillId="0" borderId="0" xfId="3" applyFont="1" applyAlignment="1">
      <alignment horizontal="center"/>
    </xf>
    <xf numFmtId="3" fontId="7" fillId="0" borderId="0" xfId="3" applyNumberFormat="1" applyFont="1"/>
    <xf numFmtId="3" fontId="7" fillId="0" borderId="0" xfId="3" applyNumberFormat="1" applyFont="1" applyAlignment="1">
      <alignment horizontal="right"/>
    </xf>
    <xf numFmtId="1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right"/>
    </xf>
    <xf numFmtId="0" fontId="2" fillId="0" borderId="4" xfId="0" applyFont="1" applyBorder="1"/>
    <xf numFmtId="0" fontId="0" fillId="0" borderId="5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0" xfId="0" applyFill="1"/>
    <xf numFmtId="0" fontId="0" fillId="5" borderId="10" xfId="0" applyFill="1" applyBorder="1"/>
    <xf numFmtId="167" fontId="0" fillId="5" borderId="9" xfId="0" quotePrefix="1" applyNumberFormat="1" applyFill="1" applyBorder="1" applyAlignment="1">
      <alignment horizontal="right"/>
    </xf>
    <xf numFmtId="167" fontId="0" fillId="5" borderId="21" xfId="0" quotePrefix="1" applyNumberFormat="1" applyFill="1" applyBorder="1" applyAlignment="1">
      <alignment horizontal="right"/>
    </xf>
    <xf numFmtId="167" fontId="0" fillId="5" borderId="0" xfId="0" quotePrefix="1" applyNumberFormat="1" applyFill="1" applyAlignment="1">
      <alignment horizontal="right"/>
    </xf>
    <xf numFmtId="167" fontId="0" fillId="0" borderId="9" xfId="0" quotePrefix="1" applyNumberFormat="1" applyBorder="1" applyAlignment="1">
      <alignment horizontal="right"/>
    </xf>
    <xf numFmtId="167" fontId="0" fillId="0" borderId="21" xfId="0" quotePrefix="1" applyNumberFormat="1" applyBorder="1" applyAlignment="1">
      <alignment horizontal="right"/>
    </xf>
    <xf numFmtId="167" fontId="0" fillId="0" borderId="0" xfId="0" quotePrefix="1" applyNumberFormat="1" applyAlignment="1">
      <alignment horizontal="right"/>
    </xf>
    <xf numFmtId="0" fontId="7" fillId="0" borderId="1" xfId="0" applyNumberFormat="1" applyFont="1" applyFill="1" applyBorder="1" applyAlignment="1"/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Fill="1" applyAlignment="1"/>
    <xf numFmtId="3" fontId="7" fillId="0" borderId="22" xfId="0" applyNumberFormat="1" applyFont="1" applyFill="1" applyBorder="1" applyAlignment="1">
      <alignment horizontal="right"/>
    </xf>
    <xf numFmtId="0" fontId="7" fillId="0" borderId="0" xfId="0" applyNumberFormat="1" applyFont="1" applyFill="1" applyAlignment="1"/>
    <xf numFmtId="3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17" fillId="0" borderId="10" xfId="0" applyFont="1" applyBorder="1" applyAlignment="1">
      <alignment horizontal="left"/>
    </xf>
    <xf numFmtId="0" fontId="19" fillId="0" borderId="10" xfId="6" quotePrefix="1" applyFont="1" applyBorder="1" applyAlignment="1">
      <alignment horizontal="left"/>
    </xf>
    <xf numFmtId="0" fontId="19" fillId="5" borderId="10" xfId="6" quotePrefix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/>
    <xf numFmtId="3" fontId="0" fillId="6" borderId="0" xfId="0" applyNumberFormat="1" applyFill="1"/>
    <xf numFmtId="0" fontId="0" fillId="0" borderId="0" xfId="0" applyAlignment="1">
      <alignment horizontal="center" wrapText="1"/>
    </xf>
    <xf numFmtId="167" fontId="0" fillId="0" borderId="0" xfId="0" quotePrefix="1" applyNumberFormat="1" applyFill="1" applyAlignment="1">
      <alignment horizontal="right"/>
    </xf>
    <xf numFmtId="3" fontId="0" fillId="0" borderId="0" xfId="0" applyNumberFormat="1" applyFill="1" applyAlignment="1">
      <alignment horizontal="center"/>
    </xf>
    <xf numFmtId="3" fontId="0" fillId="0" borderId="0" xfId="0" applyNumberFormat="1" applyFill="1"/>
    <xf numFmtId="167" fontId="0" fillId="0" borderId="0" xfId="0" applyNumberFormat="1" applyFill="1" applyAlignment="1">
      <alignment horizontal="right"/>
    </xf>
    <xf numFmtId="0" fontId="0" fillId="0" borderId="0" xfId="0" applyAlignment="1">
      <alignment wrapText="1"/>
    </xf>
    <xf numFmtId="169" fontId="0" fillId="0" borderId="0" xfId="1" applyNumberFormat="1" applyFont="1"/>
    <xf numFmtId="169" fontId="0" fillId="0" borderId="0" xfId="0" applyNumberFormat="1"/>
    <xf numFmtId="0" fontId="7" fillId="6" borderId="0" xfId="0" applyFont="1" applyFill="1"/>
    <xf numFmtId="3" fontId="14" fillId="6" borderId="0" xfId="0" applyNumberFormat="1" applyFont="1" applyFill="1"/>
    <xf numFmtId="0" fontId="7" fillId="6" borderId="0" xfId="4" applyFont="1" applyFill="1"/>
    <xf numFmtId="3" fontId="7" fillId="6" borderId="0" xfId="0" applyNumberFormat="1" applyFont="1" applyFill="1"/>
    <xf numFmtId="0" fontId="0" fillId="0" borderId="0" xfId="0" applyFill="1" applyAlignment="1">
      <alignment wrapText="1"/>
    </xf>
    <xf numFmtId="43" fontId="0" fillId="0" borderId="0" xfId="0" applyNumberFormat="1"/>
    <xf numFmtId="43" fontId="0" fillId="0" borderId="0" xfId="1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7" borderId="0" xfId="0" applyFill="1"/>
    <xf numFmtId="0" fontId="2" fillId="0" borderId="0" xfId="0" applyFont="1" applyAlignment="1">
      <alignment horizontal="left" indent="1"/>
    </xf>
    <xf numFmtId="2" fontId="1" fillId="0" borderId="0" xfId="8" applyNumberFormat="1" applyAlignment="1">
      <alignment horizontal="center"/>
    </xf>
    <xf numFmtId="2" fontId="0" fillId="7" borderId="0" xfId="0" applyNumberFormat="1" applyFill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2" fontId="0" fillId="0" borderId="0" xfId="0" applyNumberFormat="1" applyBorder="1"/>
    <xf numFmtId="0" fontId="20" fillId="8" borderId="0" xfId="0" applyFont="1" applyFill="1"/>
    <xf numFmtId="0" fontId="20" fillId="9" borderId="0" xfId="0" applyFont="1" applyFill="1"/>
    <xf numFmtId="0" fontId="0" fillId="9" borderId="0" xfId="0" applyFill="1"/>
    <xf numFmtId="0" fontId="0" fillId="10" borderId="0" xfId="0" applyFill="1"/>
    <xf numFmtId="0" fontId="0" fillId="8" borderId="0" xfId="0" applyFill="1"/>
    <xf numFmtId="0" fontId="20" fillId="10" borderId="0" xfId="0" applyFont="1" applyFill="1"/>
    <xf numFmtId="170" fontId="22" fillId="0" borderId="0" xfId="9" applyNumberFormat="1" applyFont="1" applyAlignment="1">
      <alignment horizontal="left" wrapText="1" indent="2"/>
    </xf>
    <xf numFmtId="170" fontId="22" fillId="0" borderId="0" xfId="9" applyNumberFormat="1" applyFont="1" applyAlignment="1">
      <alignment horizontal="left" indent="2"/>
    </xf>
    <xf numFmtId="0" fontId="0" fillId="0" borderId="0" xfId="0" applyFill="1" applyAlignment="1">
      <alignment horizontal="left" indent="3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wrapText="1" indent="1"/>
    </xf>
    <xf numFmtId="43" fontId="0" fillId="0" borderId="0" xfId="1" applyFont="1" applyFill="1"/>
    <xf numFmtId="0" fontId="0" fillId="0" borderId="0" xfId="0" applyAlignment="1">
      <alignment horizontal="left" wrapText="1" indent="2"/>
    </xf>
    <xf numFmtId="0" fontId="0" fillId="0" borderId="0" xfId="0" applyAlignment="1">
      <alignment horizontal="left" indent="1"/>
    </xf>
    <xf numFmtId="0" fontId="17" fillId="0" borderId="0" xfId="0" applyFont="1" applyAlignment="1">
      <alignment horizontal="left" indent="1"/>
    </xf>
    <xf numFmtId="171" fontId="17" fillId="0" borderId="0" xfId="7" applyNumberFormat="1" applyFont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2" fontId="1" fillId="0" borderId="26" xfId="8" applyNumberFormat="1" applyBorder="1" applyAlignment="1">
      <alignment horizontal="center"/>
    </xf>
    <xf numFmtId="2" fontId="0" fillId="0" borderId="26" xfId="0" applyNumberFormat="1" applyBorder="1"/>
    <xf numFmtId="2" fontId="2" fillId="0" borderId="26" xfId="0" applyNumberFormat="1" applyFont="1" applyBorder="1"/>
    <xf numFmtId="0" fontId="0" fillId="0" borderId="27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22" fillId="0" borderId="0" xfId="0" applyFont="1" applyAlignment="1">
      <alignment horizontal="left" indent="4"/>
    </xf>
    <xf numFmtId="0" fontId="22" fillId="0" borderId="0" xfId="0" applyFont="1"/>
    <xf numFmtId="169" fontId="22" fillId="0" borderId="0" xfId="1" applyNumberFormat="1" applyFont="1"/>
    <xf numFmtId="43" fontId="22" fillId="0" borderId="0" xfId="1" applyFont="1"/>
    <xf numFmtId="1" fontId="22" fillId="0" borderId="0" xfId="0" applyNumberFormat="1" applyFont="1"/>
    <xf numFmtId="0" fontId="0" fillId="9" borderId="28" xfId="0" applyFill="1" applyBorder="1"/>
    <xf numFmtId="0" fontId="0" fillId="10" borderId="29" xfId="0" applyFill="1" applyBorder="1"/>
    <xf numFmtId="0" fontId="0" fillId="8" borderId="29" xfId="0" applyFill="1" applyBorder="1"/>
    <xf numFmtId="0" fontId="0" fillId="7" borderId="30" xfId="0" applyFill="1" applyBorder="1"/>
    <xf numFmtId="164" fontId="0" fillId="0" borderId="26" xfId="0" applyNumberFormat="1" applyBorder="1"/>
    <xf numFmtId="0" fontId="0" fillId="0" borderId="0" xfId="0" applyAlignment="1">
      <alignment horizontal="center"/>
    </xf>
    <xf numFmtId="0" fontId="23" fillId="11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3" fillId="11" borderId="23" xfId="0" applyFont="1" applyFill="1" applyBorder="1" applyAlignment="1">
      <alignment horizontal="center"/>
    </xf>
    <xf numFmtId="0" fontId="23" fillId="11" borderId="25" xfId="0" applyFont="1" applyFill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3" applyFont="1"/>
    <xf numFmtId="0" fontId="7" fillId="0" borderId="0" xfId="3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left" wrapText="1"/>
    </xf>
    <xf numFmtId="0" fontId="12" fillId="0" borderId="0" xfId="0" applyFont="1" applyAlignment="1">
      <alignment horizontal="left"/>
    </xf>
    <xf numFmtId="164" fontId="7" fillId="0" borderId="1" xfId="0" applyNumberFormat="1" applyFont="1" applyBorder="1" applyAlignment="1">
      <alignment horizontal="left"/>
    </xf>
    <xf numFmtId="16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13" fillId="0" borderId="0" xfId="0" applyFont="1"/>
    <xf numFmtId="10" fontId="17" fillId="0" borderId="0" xfId="7" applyNumberFormat="1" applyFont="1"/>
  </cellXfs>
  <cellStyles count="10">
    <cellStyle name="Comma" xfId="1" builtinId="3"/>
    <cellStyle name="Hyperlink" xfId="2" builtinId="8"/>
    <cellStyle name="Normal" xfId="0" builtinId="0"/>
    <cellStyle name="Normal 14" xfId="6" xr:uid="{20A556EA-3C2B-456F-BCE0-EA6BE7284776}"/>
    <cellStyle name="Normal 2" xfId="9" xr:uid="{9B348D39-219D-422D-AE28-884C1962DBE8}"/>
    <cellStyle name="Normal 2 2" xfId="5" xr:uid="{34635A16-64EE-43B6-9283-92F6862D9874}"/>
    <cellStyle name="Normal 2 3" xfId="3" xr:uid="{D1A6EB91-840E-4034-8263-00365D12B104}"/>
    <cellStyle name="Normal 5" xfId="4" xr:uid="{6F641E95-6A68-4E33-875B-2EBC402F3D5A}"/>
    <cellStyle name="Percent" xfId="7" builtinId="5"/>
    <cellStyle name="Percent 2" xfId="8" xr:uid="{0034A050-0C90-4052-BF61-AA0807DBF01F}"/>
  </cellStyles>
  <dxfs count="0"/>
  <tableStyles count="0" defaultTableStyle="TableStyleMedium2" defaultPivotStyle="PivotStyleLight16"/>
  <colors>
    <mruColors>
      <color rgb="FFFF5050"/>
      <color rgb="FFABE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dija Yilla" id="{2D35AFA9-F227-4AE7-B9A7-D673D9D18C70}" userId="S::KYilla@brookings.edu::1d0f8558-0594-40f7-8134-e540cb01b2c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9" dT="2020-09-10T19:09:05.64" personId="{2D35AFA9-F227-4AE7-B9A7-D673D9D18C70}" id="{2D81BDF9-A0D8-4A1A-915B-91D32E8E61FF}">
    <text>grow with nom purchases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4" dT="2020-09-10T16:45:02.83" personId="{2D35AFA9-F227-4AE7-B9A7-D673D9D18C70}" id="{0D11DB45-5F45-4101-88CC-04004C002B30}">
    <text>remove the legislation pre-covid level</text>
  </threadedComment>
  <threadedComment ref="F24" dT="2020-09-10T16:45:33.43" personId="{2D35AFA9-F227-4AE7-B9A7-D673D9D18C70}" id="{9AE4A33D-4FC8-4887-8685-E4AD05B19618}">
    <text>grow it by the growth rate that would prevail without legislation</text>
  </threadedComment>
  <threadedComment ref="E32" dT="2020-09-10T16:03:26.33" personId="{2D35AFA9-F227-4AE7-B9A7-D673D9D18C70}" id="{87857C10-95FA-4E5C-9CD5-D2FE6D3862B8}">
    <text>remove the legislation from the level</text>
  </threadedComment>
  <threadedComment ref="F32" dT="2020-09-10T16:03:36.96" personId="{2D35AFA9-F227-4AE7-B9A7-D673D9D18C70}" id="{FA886E65-A09D-4A87-8F68-FE5958AB35B4}">
    <text>grow it by 1%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bo.gov/publication/565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AB1A-8B83-4A8D-A21D-8EE870D0279B}">
  <dimension ref="A1:AG63"/>
  <sheetViews>
    <sheetView tabSelected="1" zoomScale="120" zoomScaleNormal="120" workbookViewId="0">
      <pane xSplit="2" ySplit="3" topLeftCell="H30" activePane="bottomRight" state="frozen"/>
      <selection pane="topRight" activeCell="C1" sqref="C1"/>
      <selection pane="bottomLeft" activeCell="A4" sqref="A4"/>
      <selection pane="bottomRight" activeCell="U48" sqref="U48"/>
    </sheetView>
  </sheetViews>
  <sheetFormatPr defaultRowHeight="14.5" x14ac:dyDescent="0.35"/>
  <cols>
    <col min="1" max="1" width="17.90625" customWidth="1"/>
    <col min="4" max="6" width="11.08984375" bestFit="1" customWidth="1"/>
    <col min="7" max="9" width="13.1796875" bestFit="1" customWidth="1"/>
    <col min="10" max="10" width="14.6328125" bestFit="1" customWidth="1"/>
    <col min="11" max="19" width="12.6328125" bestFit="1" customWidth="1"/>
    <col min="20" max="23" width="8.81640625" customWidth="1"/>
  </cols>
  <sheetData>
    <row r="1" spans="1:33" ht="18.5" x14ac:dyDescent="0.45">
      <c r="A1" s="142" t="s">
        <v>170</v>
      </c>
      <c r="B1" s="142"/>
      <c r="C1" s="35"/>
      <c r="X1" t="s">
        <v>30</v>
      </c>
      <c r="Z1" s="143" t="s">
        <v>86</v>
      </c>
      <c r="AA1" s="143"/>
      <c r="AB1" s="143"/>
      <c r="AC1" s="141"/>
      <c r="AD1" s="141"/>
      <c r="AE1" s="141"/>
      <c r="AF1" s="141"/>
    </row>
    <row r="2" spans="1:33" x14ac:dyDescent="0.35">
      <c r="D2" s="141" t="s">
        <v>22</v>
      </c>
      <c r="E2" s="141"/>
      <c r="F2" s="141"/>
      <c r="G2" s="141"/>
      <c r="H2" s="141" t="s">
        <v>9</v>
      </c>
      <c r="I2" s="141"/>
      <c r="J2" s="141"/>
      <c r="K2" s="141"/>
      <c r="L2" s="141" t="s">
        <v>10</v>
      </c>
      <c r="M2" s="141"/>
      <c r="N2" s="141"/>
      <c r="O2" s="141"/>
      <c r="P2" s="141" t="s">
        <v>11</v>
      </c>
      <c r="Q2" s="141"/>
      <c r="R2" s="141"/>
      <c r="S2" s="141"/>
      <c r="T2" s="1"/>
      <c r="U2" s="141" t="s">
        <v>104</v>
      </c>
      <c r="V2" s="141"/>
      <c r="W2" s="141"/>
      <c r="X2" s="1"/>
      <c r="Y2" s="1" t="s">
        <v>22</v>
      </c>
      <c r="Z2" t="s">
        <v>9</v>
      </c>
      <c r="AA2" t="s">
        <v>12</v>
      </c>
      <c r="AB2" t="s">
        <v>11</v>
      </c>
    </row>
    <row r="3" spans="1:33" x14ac:dyDescent="0.35">
      <c r="D3" t="s">
        <v>5</v>
      </c>
      <c r="E3" t="s">
        <v>6</v>
      </c>
      <c r="F3" t="s">
        <v>7</v>
      </c>
      <c r="G3" t="s">
        <v>8</v>
      </c>
      <c r="H3" t="s">
        <v>5</v>
      </c>
      <c r="I3" t="s">
        <v>6</v>
      </c>
      <c r="J3" t="s">
        <v>7</v>
      </c>
      <c r="K3" t="s">
        <v>8</v>
      </c>
      <c r="L3" t="s">
        <v>5</v>
      </c>
      <c r="M3" t="s">
        <v>6</v>
      </c>
      <c r="N3" t="s">
        <v>7</v>
      </c>
      <c r="O3" t="s">
        <v>8</v>
      </c>
      <c r="P3" t="s">
        <v>5</v>
      </c>
      <c r="Q3" t="s">
        <v>6</v>
      </c>
      <c r="R3" t="s">
        <v>7</v>
      </c>
      <c r="S3" t="s">
        <v>8</v>
      </c>
      <c r="T3" t="s">
        <v>5</v>
      </c>
      <c r="U3" s="1" t="s">
        <v>9</v>
      </c>
      <c r="V3" s="1" t="s">
        <v>12</v>
      </c>
      <c r="W3" s="1" t="s">
        <v>11</v>
      </c>
      <c r="X3" s="2" t="s">
        <v>165</v>
      </c>
      <c r="Y3" s="2" t="s">
        <v>166</v>
      </c>
    </row>
    <row r="4" spans="1:33" x14ac:dyDescent="0.35">
      <c r="A4" t="s">
        <v>1</v>
      </c>
    </row>
    <row r="5" spans="1:33" x14ac:dyDescent="0.35">
      <c r="A5" t="s">
        <v>27</v>
      </c>
      <c r="D5">
        <v>1634.2</v>
      </c>
      <c r="E5">
        <v>1695.5</v>
      </c>
      <c r="F5">
        <v>1703.1</v>
      </c>
      <c r="G5">
        <v>1713.2</v>
      </c>
      <c r="H5">
        <v>1740.2</v>
      </c>
      <c r="I5">
        <v>1756.6</v>
      </c>
      <c r="J5">
        <v>1599.7</v>
      </c>
      <c r="K5" s="3">
        <f>(4*Z5-SUM(H5:J5))</f>
        <v>1501.3466077211315</v>
      </c>
      <c r="L5" s="44">
        <f>K5*1.06</f>
        <v>1591.4274041843994</v>
      </c>
      <c r="M5" s="44">
        <f>L5*1.062</f>
        <v>1690.0959032438323</v>
      </c>
      <c r="N5" s="44">
        <f>M5*1.008</f>
        <v>1703.616670469783</v>
      </c>
      <c r="O5" s="44">
        <f>N5*1.008</f>
        <v>1717.2456038335413</v>
      </c>
      <c r="P5" s="44">
        <f>O5*1.01</f>
        <v>1734.4180598718767</v>
      </c>
      <c r="Q5" s="44">
        <f>P5*1.01</f>
        <v>1751.7622404705955</v>
      </c>
      <c r="R5" s="44">
        <f>Q5*1.01</f>
        <v>1769.2798628753014</v>
      </c>
      <c r="S5" s="44">
        <f>R5*1.01</f>
        <v>1786.9726615040545</v>
      </c>
      <c r="T5" s="44"/>
      <c r="U5" s="45">
        <f>AVERAGE(H5:K5)</f>
        <v>1649.4616519302829</v>
      </c>
      <c r="V5" s="45">
        <f>AVERAGE(L5:O5)</f>
        <v>1675.5963954328888</v>
      </c>
      <c r="W5" s="45">
        <f>AVERAGE(P5:S5)</f>
        <v>1760.608206180457</v>
      </c>
      <c r="X5" s="3">
        <f>AVERAGE(D5:G5)</f>
        <v>1686.4999999999998</v>
      </c>
      <c r="Y5">
        <v>1653</v>
      </c>
      <c r="Z5" s="3">
        <f>$X5/'figuring NIPA tax changes'!$E19*'figuring NIPA tax changes'!F19</f>
        <v>1649.4616519302829</v>
      </c>
      <c r="AA5" s="3">
        <f>$X5/'figuring NIPA tax changes'!$E19*'figuring NIPA tax changes'!G19</f>
        <v>1678.1639909491882</v>
      </c>
      <c r="AB5" s="3">
        <f>$X5/'figuring NIPA tax changes'!$E19*'figuring NIPA tax changes'!H19</f>
        <v>1762.3300952873258</v>
      </c>
    </row>
    <row r="6" spans="1:33" x14ac:dyDescent="0.35">
      <c r="A6" t="s">
        <v>28</v>
      </c>
      <c r="D6">
        <v>183.5</v>
      </c>
      <c r="E6">
        <v>172.1</v>
      </c>
      <c r="F6">
        <v>168.3</v>
      </c>
      <c r="G6">
        <v>175.1</v>
      </c>
      <c r="H6">
        <v>179.2</v>
      </c>
      <c r="I6">
        <v>183.8</v>
      </c>
      <c r="J6" s="35">
        <v>131.1</v>
      </c>
      <c r="K6" s="44">
        <v>145</v>
      </c>
      <c r="L6" s="44">
        <f>K6*1.04</f>
        <v>150.80000000000001</v>
      </c>
      <c r="M6" s="44">
        <f>L6+12</f>
        <v>162.80000000000001</v>
      </c>
      <c r="N6" s="44">
        <f t="shared" ref="N6:S6" si="0">M6*1.04</f>
        <v>169.31200000000001</v>
      </c>
      <c r="O6" s="44">
        <f t="shared" si="0"/>
        <v>176.08448000000001</v>
      </c>
      <c r="P6" s="44">
        <f t="shared" si="0"/>
        <v>183.12785920000002</v>
      </c>
      <c r="Q6" s="44">
        <f t="shared" si="0"/>
        <v>190.45297356800003</v>
      </c>
      <c r="R6" s="44">
        <f t="shared" si="0"/>
        <v>198.07109251072004</v>
      </c>
      <c r="S6" s="44">
        <f t="shared" si="0"/>
        <v>205.99393621114885</v>
      </c>
      <c r="T6" s="44">
        <f>S6*1.02</f>
        <v>210.11381493537183</v>
      </c>
      <c r="U6" s="45">
        <f>AVERAGE(H6:K6)</f>
        <v>159.77500000000001</v>
      </c>
      <c r="V6" s="45">
        <f>AVERAGE(L6:O6)</f>
        <v>164.74912</v>
      </c>
      <c r="W6" s="45">
        <f>AVERAGE(P6:S6)</f>
        <v>194.41146537246723</v>
      </c>
      <c r="X6" s="3">
        <f>AVERAGE(D6:G6)</f>
        <v>174.75000000000003</v>
      </c>
      <c r="Y6">
        <v>173</v>
      </c>
      <c r="Z6" s="3"/>
      <c r="AA6" s="3"/>
      <c r="AB6" s="3"/>
      <c r="AC6" s="35"/>
      <c r="AD6" s="35"/>
      <c r="AE6" s="35"/>
      <c r="AF6" s="35"/>
      <c r="AG6" s="35"/>
    </row>
    <row r="7" spans="1:33" x14ac:dyDescent="0.35">
      <c r="A7" t="s">
        <v>29</v>
      </c>
      <c r="D7">
        <v>1360.3</v>
      </c>
      <c r="E7">
        <v>1391.9</v>
      </c>
      <c r="F7">
        <v>1397.8</v>
      </c>
      <c r="G7">
        <v>1402.3</v>
      </c>
      <c r="H7">
        <v>1416.9</v>
      </c>
      <c r="I7">
        <v>1436.4</v>
      </c>
      <c r="J7">
        <v>1366.2</v>
      </c>
      <c r="K7" s="3">
        <f>J7+30</f>
        <v>1396.2</v>
      </c>
      <c r="L7" s="44">
        <f>K7*1.013</f>
        <v>1414.3506</v>
      </c>
      <c r="M7" s="44">
        <f t="shared" ref="M7:O8" si="1">L7*1.008</f>
        <v>1425.6654048</v>
      </c>
      <c r="N7" s="44">
        <f t="shared" si="1"/>
        <v>1437.0707280384001</v>
      </c>
      <c r="O7" s="44">
        <f t="shared" si="1"/>
        <v>1448.5672938627074</v>
      </c>
      <c r="P7" s="44">
        <f>O7*1.025</f>
        <v>1484.7814762092751</v>
      </c>
      <c r="Q7" s="44">
        <f t="shared" ref="Q7:S8" si="2">P7*1.01</f>
        <v>1499.6292909713679</v>
      </c>
      <c r="R7" s="44">
        <f t="shared" si="2"/>
        <v>1514.6255838810816</v>
      </c>
      <c r="S7" s="44">
        <f t="shared" si="2"/>
        <v>1529.7718397198926</v>
      </c>
      <c r="T7" s="44">
        <f>S7*1.02</f>
        <v>1560.3672765142906</v>
      </c>
      <c r="U7" s="45">
        <f>AVERAGE(H7:K7)</f>
        <v>1403.925</v>
      </c>
      <c r="V7" s="45">
        <f>AVERAGE(L7:O7)</f>
        <v>1431.4135066752769</v>
      </c>
      <c r="W7" s="45">
        <f>AVERAGE(P7:S7)</f>
        <v>1507.2020476954042</v>
      </c>
      <c r="X7" s="3">
        <f>AVERAGE(D7:G7)</f>
        <v>1388.075</v>
      </c>
      <c r="Y7">
        <v>1395</v>
      </c>
      <c r="Z7" s="3">
        <f>$X7/'figuring NIPA tax changes'!$E20*'figuring NIPA tax changes'!F20</f>
        <v>1354.69413685124</v>
      </c>
      <c r="AA7" s="3">
        <f>$X7/'figuring NIPA tax changes'!$E20*'figuring NIPA tax changes'!G20</f>
        <v>1429.6567868867883</v>
      </c>
      <c r="AB7" s="3">
        <f>$X7/'figuring NIPA tax changes'!$E20*'figuring NIPA tax changes'!H20</f>
        <v>1517.5549260800469</v>
      </c>
    </row>
    <row r="8" spans="1:33" x14ac:dyDescent="0.35">
      <c r="A8" t="s">
        <v>0</v>
      </c>
      <c r="D8">
        <v>234.7</v>
      </c>
      <c r="E8">
        <v>213.8</v>
      </c>
      <c r="F8">
        <v>224.2</v>
      </c>
      <c r="G8">
        <v>201.6</v>
      </c>
      <c r="H8">
        <v>229.7</v>
      </c>
      <c r="I8">
        <v>180.5</v>
      </c>
      <c r="J8">
        <v>173.4</v>
      </c>
      <c r="K8" s="3">
        <f>(4*Z8-SUM(H8:J8))</f>
        <v>190.09161110990465</v>
      </c>
      <c r="L8" s="44">
        <f>K8*1.013</f>
        <v>192.56280205433339</v>
      </c>
      <c r="M8" s="44">
        <f t="shared" si="1"/>
        <v>194.10330447076805</v>
      </c>
      <c r="N8" s="44">
        <f t="shared" si="1"/>
        <v>195.6561309065342</v>
      </c>
      <c r="O8" s="44">
        <f t="shared" si="1"/>
        <v>197.22137995378648</v>
      </c>
      <c r="P8" s="44">
        <f>O8*1.025</f>
        <v>202.15191445263113</v>
      </c>
      <c r="Q8" s="44">
        <f t="shared" si="2"/>
        <v>204.17343359715744</v>
      </c>
      <c r="R8" s="44">
        <f t="shared" si="2"/>
        <v>206.21516793312901</v>
      </c>
      <c r="S8" s="44">
        <f t="shared" si="2"/>
        <v>208.2773196124603</v>
      </c>
      <c r="T8" s="44"/>
      <c r="U8" s="45">
        <f>AVERAGE(H8:K8)</f>
        <v>193.42290277747617</v>
      </c>
      <c r="V8" s="45">
        <f>AVERAGE(L8:O8)</f>
        <v>194.88590434635552</v>
      </c>
      <c r="W8" s="45">
        <f>AVERAGE(P8:S8)</f>
        <v>205.20445889884445</v>
      </c>
      <c r="X8" s="33">
        <f>AVERAGE(D8:G8)</f>
        <v>218.57500000000002</v>
      </c>
      <c r="Y8" s="34">
        <v>166</v>
      </c>
      <c r="Z8">
        <f>X8/'figuring NIPA tax changes'!E10*'figuring NIPA tax changes'!F21</f>
        <v>193.42290277747617</v>
      </c>
      <c r="AA8">
        <f>Y8/'figuring NIPA tax changes'!F10*'figuring NIPA tax changes'!G21</f>
        <v>231.6049614783829</v>
      </c>
      <c r="AB8">
        <f>Z8/'figuring NIPA tax changes'!G10*'figuring NIPA tax changes'!H21</f>
        <v>393.46530157600398</v>
      </c>
    </row>
    <row r="9" spans="1:33" x14ac:dyDescent="0.35">
      <c r="A9" t="s">
        <v>162</v>
      </c>
      <c r="D9">
        <f>D5+D6+D7</f>
        <v>3178</v>
      </c>
      <c r="E9">
        <f t="shared" ref="E9:T9" si="3">E5+E6+E7</f>
        <v>3259.5</v>
      </c>
      <c r="F9">
        <f t="shared" si="3"/>
        <v>3269.2</v>
      </c>
      <c r="G9">
        <f t="shared" si="3"/>
        <v>3290.6</v>
      </c>
      <c r="H9">
        <f t="shared" si="3"/>
        <v>3336.3</v>
      </c>
      <c r="I9">
        <f t="shared" si="3"/>
        <v>3376.8</v>
      </c>
      <c r="J9">
        <f t="shared" si="3"/>
        <v>3097</v>
      </c>
      <c r="K9">
        <f t="shared" si="3"/>
        <v>3042.5466077211313</v>
      </c>
      <c r="L9">
        <f t="shared" si="3"/>
        <v>3156.5780041843991</v>
      </c>
      <c r="M9">
        <f t="shared" si="3"/>
        <v>3278.5613080438325</v>
      </c>
      <c r="N9">
        <f t="shared" si="3"/>
        <v>3309.9993985081828</v>
      </c>
      <c r="O9">
        <f t="shared" si="3"/>
        <v>3341.8973776962484</v>
      </c>
      <c r="P9">
        <f t="shared" si="3"/>
        <v>3402.3273952811519</v>
      </c>
      <c r="Q9">
        <f t="shared" si="3"/>
        <v>3441.8445050099635</v>
      </c>
      <c r="R9">
        <f t="shared" si="3"/>
        <v>3481.9765392671034</v>
      </c>
      <c r="S9">
        <f t="shared" si="3"/>
        <v>3522.7384374350959</v>
      </c>
      <c r="T9">
        <f t="shared" si="3"/>
        <v>1770.4810914496625</v>
      </c>
      <c r="U9" s="3"/>
      <c r="V9" s="3"/>
      <c r="W9" s="3"/>
      <c r="X9" s="44"/>
      <c r="Y9" s="35"/>
    </row>
    <row r="10" spans="1:33" x14ac:dyDescent="0.35">
      <c r="J10" s="88"/>
      <c r="K10" s="3"/>
      <c r="L10" s="88"/>
      <c r="M10" s="88"/>
      <c r="N10" s="88"/>
      <c r="O10" s="88"/>
      <c r="X10" s="3"/>
    </row>
    <row r="11" spans="1:33" ht="29" x14ac:dyDescent="0.35">
      <c r="A11" s="86" t="s">
        <v>14</v>
      </c>
      <c r="D11" s="87">
        <v>2220523</v>
      </c>
      <c r="E11" s="87">
        <v>2298792</v>
      </c>
      <c r="F11" s="87">
        <v>2315842</v>
      </c>
      <c r="G11" s="87">
        <v>2331428</v>
      </c>
      <c r="H11" s="87">
        <v>2347737</v>
      </c>
      <c r="I11" s="87">
        <v>2422546</v>
      </c>
      <c r="J11" s="87">
        <v>4836089</v>
      </c>
      <c r="K11" s="87">
        <f>1000*(4*Z11-SUM(H11:J11)/1000)</f>
        <v>3676716.5288670985</v>
      </c>
      <c r="L11" s="44">
        <f t="shared" ref="L11:S11" si="4">L12+L14+L22</f>
        <v>2907212.0373803182</v>
      </c>
      <c r="M11" s="44">
        <f t="shared" si="4"/>
        <v>2646746.3658202458</v>
      </c>
      <c r="N11" s="44">
        <f t="shared" si="4"/>
        <v>2679736.8702895828</v>
      </c>
      <c r="O11" s="44">
        <f t="shared" si="4"/>
        <v>2670589.9337466098</v>
      </c>
      <c r="P11" s="44">
        <f t="shared" si="4"/>
        <v>2728137.0338818133</v>
      </c>
      <c r="Q11" s="44">
        <f t="shared" si="4"/>
        <v>2656188.8444006899</v>
      </c>
      <c r="R11" s="44">
        <f t="shared" si="4"/>
        <v>2679357.9500654936</v>
      </c>
      <c r="S11" s="44">
        <f t="shared" si="4"/>
        <v>2690808.1667443472</v>
      </c>
      <c r="T11" s="3"/>
      <c r="U11" s="45">
        <f>AVERAGE(H11:K11)/1000</f>
        <v>3320.7721322167749</v>
      </c>
      <c r="V11" s="45">
        <f>AVERAGE(L11:O11)/1000</f>
        <v>2726.0713018091888</v>
      </c>
      <c r="W11" s="45">
        <f>AVERAGE(P11:S11)/1000</f>
        <v>2688.6229987730858</v>
      </c>
      <c r="X11" s="3">
        <f>AVERAGE(D11:G11)/1000</f>
        <v>2291.6462499999998</v>
      </c>
      <c r="Y11">
        <v>2286.6999999999998</v>
      </c>
      <c r="Z11" s="32">
        <f>$X11/'figuring out social benefits'!$F47*'figuring out social benefits'!G49+'figuring out social benefits'!G50-47</f>
        <v>3320.7721322167745</v>
      </c>
      <c r="AA11" s="32">
        <f>$X11/'figuring out social benefits'!$F47*'figuring out social benefits'!H49+'figuring out social benefits'!H50+46</f>
        <v>2675.6800557811207</v>
      </c>
      <c r="AB11" s="32">
        <f>$X11/'figuring out social benefits'!$F47*'figuring out social benefits'!I49+'figuring out social benefits'!I50*0.9</f>
        <v>2725.1688956203648</v>
      </c>
      <c r="AC11" t="s">
        <v>31</v>
      </c>
    </row>
    <row r="12" spans="1:33" x14ac:dyDescent="0.35">
      <c r="A12" s="86" t="s">
        <v>3</v>
      </c>
      <c r="D12" s="87">
        <v>753311</v>
      </c>
      <c r="E12" s="87">
        <v>767353</v>
      </c>
      <c r="F12" s="87">
        <v>779707</v>
      </c>
      <c r="G12" s="87">
        <v>789893</v>
      </c>
      <c r="H12" s="87">
        <v>797912</v>
      </c>
      <c r="I12" s="87">
        <v>804655</v>
      </c>
      <c r="J12" s="87">
        <v>824058</v>
      </c>
      <c r="K12" s="87">
        <f>1000*(4*Z12-SUM(H12:J12)/1000)</f>
        <v>833646.99999999988</v>
      </c>
      <c r="L12" s="87">
        <f>H12*($AA12/$Z12)</f>
        <v>837721.06069186865</v>
      </c>
      <c r="M12" s="87">
        <f>I12*($AA12/$Z12)</f>
        <v>844800.47936491179</v>
      </c>
      <c r="N12" s="87">
        <f>J12*($AA12/$Z12)</f>
        <v>865171.52496969572</v>
      </c>
      <c r="O12" s="87">
        <f>K12*($AA12/$Z12)</f>
        <v>875238.93497352349</v>
      </c>
      <c r="P12" s="87">
        <f>L12*($AB12/$AA12)</f>
        <v>952786.03510872717</v>
      </c>
      <c r="Q12" s="87">
        <f>M12*($AB12/$AA12)</f>
        <v>960837.84562760405</v>
      </c>
      <c r="R12" s="87">
        <f>N12*($AB12/$AA12)</f>
        <v>984006.95129240747</v>
      </c>
      <c r="S12" s="87">
        <f>O12*($AB12/$AA12)</f>
        <v>995457.16797126119</v>
      </c>
      <c r="T12" s="3"/>
      <c r="U12" s="45">
        <f>AVERAGE(H12:K12)/1000</f>
        <v>815.06799999999998</v>
      </c>
      <c r="V12" s="45">
        <f>AVERAGE(L12:O12)/1000</f>
        <v>855.73299999999983</v>
      </c>
      <c r="W12" s="45">
        <f>AVERAGE(P12:S12)/1000</f>
        <v>973.27200000000005</v>
      </c>
      <c r="X12" s="3">
        <f>AVERAGE(D12:G12)/1000</f>
        <v>772.56600000000003</v>
      </c>
      <c r="Y12">
        <v>775.4</v>
      </c>
      <c r="Z12" s="3">
        <f>862.068-47</f>
        <v>815.06799999999998</v>
      </c>
      <c r="AA12" s="3">
        <f>809.733+46</f>
        <v>855.73299999999995</v>
      </c>
      <c r="AB12" s="3">
        <v>973.27200000000005</v>
      </c>
      <c r="AC12" t="s">
        <v>20</v>
      </c>
    </row>
    <row r="13" spans="1:33" x14ac:dyDescent="0.35">
      <c r="A13" s="93" t="s">
        <v>21</v>
      </c>
      <c r="D13" s="87"/>
      <c r="E13" s="87"/>
      <c r="F13" s="87"/>
      <c r="G13" s="87"/>
      <c r="H13" s="87">
        <v>0</v>
      </c>
      <c r="I13" s="87">
        <v>0</v>
      </c>
      <c r="J13" s="87">
        <v>1078000</v>
      </c>
      <c r="K13" s="87">
        <f>54.6*1000</f>
        <v>54600</v>
      </c>
      <c r="L13" s="87">
        <v>0</v>
      </c>
      <c r="M13" s="87">
        <f>16*1000</f>
        <v>16000</v>
      </c>
      <c r="N13" s="87">
        <f>16*1000</f>
        <v>16000</v>
      </c>
      <c r="O13" s="87">
        <v>0</v>
      </c>
      <c r="P13" s="87">
        <v>0</v>
      </c>
      <c r="Q13" s="87"/>
      <c r="R13" s="87"/>
      <c r="S13" s="87"/>
      <c r="U13" s="45">
        <f t="shared" ref="U13:U18" si="5">AVERAGE(H13:K13)/1000</f>
        <v>283.14999999999998</v>
      </c>
      <c r="V13" s="45">
        <v>0</v>
      </c>
      <c r="W13" s="45">
        <v>0</v>
      </c>
      <c r="X13" s="3"/>
      <c r="Z13" s="3">
        <v>272</v>
      </c>
      <c r="AA13" s="3">
        <v>9</v>
      </c>
      <c r="AB13" s="3">
        <v>0</v>
      </c>
      <c r="AC13" s="3"/>
    </row>
    <row r="14" spans="1:33" x14ac:dyDescent="0.35">
      <c r="A14" s="86" t="s">
        <v>143</v>
      </c>
      <c r="D14" s="87">
        <v>27025</v>
      </c>
      <c r="E14" s="87">
        <v>28029</v>
      </c>
      <c r="F14" s="87">
        <v>27483</v>
      </c>
      <c r="G14" s="87">
        <v>27578</v>
      </c>
      <c r="H14" s="87">
        <v>27884</v>
      </c>
      <c r="I14" s="87">
        <v>43429</v>
      </c>
      <c r="J14" s="87">
        <v>1112564</v>
      </c>
      <c r="K14" s="87">
        <f>K16+K18</f>
        <v>1044266.6666666665</v>
      </c>
      <c r="L14" s="87">
        <f t="shared" ref="L14:S14" si="6">L16+L18+L17</f>
        <v>424000</v>
      </c>
      <c r="M14" s="87">
        <f t="shared" si="6"/>
        <v>140000</v>
      </c>
      <c r="N14" s="87">
        <f t="shared" si="6"/>
        <v>136000</v>
      </c>
      <c r="O14" s="87">
        <f t="shared" si="6"/>
        <v>100000</v>
      </c>
      <c r="P14" s="87">
        <f t="shared" si="6"/>
        <v>80000</v>
      </c>
      <c r="Q14" s="87">
        <f t="shared" si="6"/>
        <v>0</v>
      </c>
      <c r="R14" s="87">
        <f t="shared" si="6"/>
        <v>0</v>
      </c>
      <c r="S14" s="87">
        <f t="shared" si="6"/>
        <v>0</v>
      </c>
      <c r="T14" s="3"/>
      <c r="U14" s="45">
        <f t="shared" si="5"/>
        <v>557.03591666666659</v>
      </c>
      <c r="V14" s="45">
        <f t="shared" ref="V14:V22" si="7">AVERAGE(L14:O14)/1000</f>
        <v>200</v>
      </c>
      <c r="W14" s="45">
        <f t="shared" ref="W14:W22" si="8">AVERAGE(P14:S14)/1000</f>
        <v>20</v>
      </c>
      <c r="X14" s="3">
        <f>AVERAGE(D14:G14)/1000</f>
        <v>27.528749999999999</v>
      </c>
      <c r="Y14">
        <v>27.6</v>
      </c>
      <c r="Z14" s="3">
        <v>557</v>
      </c>
      <c r="AA14" s="3">
        <v>166</v>
      </c>
      <c r="AB14" s="3">
        <v>67</v>
      </c>
      <c r="AC14" s="3"/>
    </row>
    <row r="15" spans="1:33" x14ac:dyDescent="0.35">
      <c r="A15" s="117" t="s">
        <v>221</v>
      </c>
      <c r="D15" s="87"/>
      <c r="E15" s="87"/>
      <c r="F15" s="87"/>
      <c r="G15" s="87"/>
      <c r="H15" s="87"/>
      <c r="I15" s="87"/>
      <c r="J15" s="87">
        <f>J16+J17</f>
        <v>834933.33333333326</v>
      </c>
      <c r="K15" s="87">
        <f t="shared" ref="K15:P15" si="9">K16+K17</f>
        <v>733106.66666666663</v>
      </c>
      <c r="L15" s="87">
        <f t="shared" si="9"/>
        <v>320000</v>
      </c>
      <c r="M15" s="87">
        <f t="shared" si="9"/>
        <v>40000</v>
      </c>
      <c r="N15" s="87">
        <f t="shared" si="9"/>
        <v>40000</v>
      </c>
      <c r="O15" s="87">
        <f t="shared" si="9"/>
        <v>40000</v>
      </c>
      <c r="P15" s="87">
        <f t="shared" si="9"/>
        <v>40000</v>
      </c>
      <c r="Q15" s="87"/>
      <c r="R15" s="87"/>
      <c r="S15" s="87"/>
      <c r="T15" s="3"/>
      <c r="U15" s="45"/>
      <c r="V15" s="45"/>
      <c r="W15" s="45"/>
      <c r="X15" s="3"/>
      <c r="Z15" s="3"/>
      <c r="AA15" s="3"/>
      <c r="AB15" s="3"/>
      <c r="AC15" s="3"/>
    </row>
    <row r="16" spans="1:33" x14ac:dyDescent="0.35">
      <c r="A16" s="119" t="s">
        <v>140</v>
      </c>
      <c r="D16" s="87"/>
      <c r="E16" s="87"/>
      <c r="F16" s="87"/>
      <c r="G16" s="87"/>
      <c r="H16" s="87">
        <v>0</v>
      </c>
      <c r="I16" s="87">
        <v>0</v>
      </c>
      <c r="J16" s="87">
        <f>'figuring out UI'!L17*1000</f>
        <v>834933.33333333326</v>
      </c>
      <c r="K16" s="87">
        <f>1000*'figuring out UI'!M17</f>
        <v>689106.66666666663</v>
      </c>
      <c r="L16" s="87">
        <f>1000*'figuring out UI'!N17</f>
        <v>188000</v>
      </c>
      <c r="M16" s="87">
        <f>1000*'figuring out UI'!O17</f>
        <v>40000</v>
      </c>
      <c r="N16" s="87">
        <f>1000*'figuring out UI'!P17</f>
        <v>40000</v>
      </c>
      <c r="O16" s="87">
        <f>1000*'figuring out UI'!Q17</f>
        <v>40000</v>
      </c>
      <c r="P16" s="87">
        <f>1000*'figuring out UI'!R17</f>
        <v>40000</v>
      </c>
      <c r="Q16" s="87">
        <f>1000*'figuring out UI'!S17</f>
        <v>0</v>
      </c>
      <c r="R16" s="87">
        <f>1000*'figuring out UI'!T17</f>
        <v>0</v>
      </c>
      <c r="S16" s="87">
        <f>1000*'figuring out UI'!U17</f>
        <v>0</v>
      </c>
      <c r="T16" s="3"/>
      <c r="U16" s="45">
        <f t="shared" si="5"/>
        <v>381.01</v>
      </c>
      <c r="V16" s="45">
        <f t="shared" si="7"/>
        <v>77</v>
      </c>
      <c r="W16" s="45">
        <f t="shared" si="8"/>
        <v>10</v>
      </c>
      <c r="X16" s="3"/>
      <c r="Z16" s="3"/>
      <c r="AA16" s="3"/>
      <c r="AB16" s="3"/>
      <c r="AC16" s="3"/>
    </row>
    <row r="17" spans="1:29" x14ac:dyDescent="0.35">
      <c r="A17" s="119" t="s">
        <v>169</v>
      </c>
      <c r="D17" s="87"/>
      <c r="E17" s="87"/>
      <c r="F17" s="87"/>
      <c r="G17" s="87"/>
      <c r="H17" s="87"/>
      <c r="I17" s="87"/>
      <c r="J17" s="87"/>
      <c r="K17" s="87">
        <f>(0.25*44000)*4</f>
        <v>44000</v>
      </c>
      <c r="L17" s="87">
        <f>(0.75*44000)*4</f>
        <v>132000</v>
      </c>
      <c r="M17" s="87"/>
      <c r="N17" s="87"/>
      <c r="O17" s="87"/>
      <c r="P17" s="87"/>
      <c r="Q17" s="87"/>
      <c r="R17" s="87"/>
      <c r="S17" s="87"/>
      <c r="T17" s="3"/>
      <c r="U17" s="45"/>
      <c r="V17" s="45"/>
      <c r="W17" s="45"/>
      <c r="X17" s="3"/>
      <c r="Z17" s="3"/>
      <c r="AA17" s="3"/>
      <c r="AB17" s="3"/>
      <c r="AC17" s="3"/>
    </row>
    <row r="18" spans="1:29" x14ac:dyDescent="0.35">
      <c r="A18" s="117" t="s">
        <v>141</v>
      </c>
      <c r="D18" s="87"/>
      <c r="E18" s="87"/>
      <c r="F18" s="87"/>
      <c r="G18" s="87"/>
      <c r="H18" s="87">
        <v>0</v>
      </c>
      <c r="I18" s="87">
        <v>0</v>
      </c>
      <c r="J18" s="87">
        <f>'figuring out UI'!L18*1000</f>
        <v>277600</v>
      </c>
      <c r="K18" s="87">
        <f>1000*'figuring out UI'!M18</f>
        <v>355159.99999999994</v>
      </c>
      <c r="L18" s="87">
        <f>1000*'figuring out UI'!N18</f>
        <v>104000</v>
      </c>
      <c r="M18" s="87">
        <f>1000*'figuring out UI'!O18</f>
        <v>100000</v>
      </c>
      <c r="N18" s="87">
        <f>1000*'figuring out UI'!P18</f>
        <v>96000</v>
      </c>
      <c r="O18" s="87">
        <f>1000*'figuring out UI'!Q18</f>
        <v>60000</v>
      </c>
      <c r="P18" s="87">
        <f>1000*'figuring out UI'!R18</f>
        <v>40000</v>
      </c>
      <c r="Q18" s="87">
        <f>1000*'figuring out UI'!S18</f>
        <v>0</v>
      </c>
      <c r="R18" s="87">
        <f>1000*'figuring out UI'!T18</f>
        <v>0</v>
      </c>
      <c r="S18" s="87">
        <f>1000*'figuring out UI'!U18</f>
        <v>0</v>
      </c>
      <c r="T18" s="3"/>
      <c r="U18" s="45">
        <f t="shared" si="5"/>
        <v>158.19</v>
      </c>
      <c r="V18" s="45">
        <f t="shared" si="7"/>
        <v>90</v>
      </c>
      <c r="W18" s="45">
        <f t="shared" si="8"/>
        <v>10</v>
      </c>
      <c r="X18" s="3"/>
      <c r="Z18" s="3"/>
      <c r="AA18" s="3"/>
      <c r="AB18" s="3"/>
      <c r="AC18" s="3"/>
    </row>
    <row r="19" spans="1:29" ht="43.5" x14ac:dyDescent="0.35">
      <c r="A19" s="86" t="s">
        <v>151</v>
      </c>
      <c r="D19" s="87"/>
      <c r="E19" s="87"/>
      <c r="F19" s="87"/>
      <c r="G19" s="87"/>
      <c r="H19" s="87">
        <v>0</v>
      </c>
      <c r="I19" s="87">
        <v>0</v>
      </c>
      <c r="J19" s="87">
        <f>SUM(J20:J21)</f>
        <v>154000</v>
      </c>
      <c r="K19" s="87">
        <f>SUM(K20:K21)</f>
        <v>162000</v>
      </c>
      <c r="L19" s="87">
        <f>SUM(L20:L21)</f>
        <v>38804.841653418123</v>
      </c>
      <c r="M19" s="87">
        <f t="shared" ref="M19:P19" si="10">SUM(M20:M21)</f>
        <v>30377.595548489666</v>
      </c>
      <c r="N19" s="87">
        <f t="shared" si="10"/>
        <v>30000</v>
      </c>
      <c r="O19" s="87">
        <f t="shared" si="10"/>
        <v>30000</v>
      </c>
      <c r="P19" s="87">
        <f t="shared" si="10"/>
        <v>15000</v>
      </c>
      <c r="Q19" s="87"/>
      <c r="R19" s="87"/>
      <c r="S19" s="87"/>
      <c r="T19" s="3"/>
      <c r="U19" s="45">
        <f t="shared" ref="U19:U22" si="11">AVERAGE(H19:K19)/1000</f>
        <v>79</v>
      </c>
      <c r="V19" s="45">
        <f t="shared" si="7"/>
        <v>32.295609300476947</v>
      </c>
      <c r="W19" s="45">
        <f t="shared" ref="W19" si="12">AVERAGE(P19:S19)/1000</f>
        <v>15</v>
      </c>
      <c r="X19" s="3"/>
      <c r="Z19" s="3">
        <f>'figuring out social benefits'!G48</f>
        <v>105</v>
      </c>
      <c r="AA19" s="3"/>
      <c r="AB19" s="3"/>
      <c r="AC19" s="3"/>
    </row>
    <row r="20" spans="1:29" x14ac:dyDescent="0.35">
      <c r="A20" s="119" t="s">
        <v>214</v>
      </c>
      <c r="D20" s="87"/>
      <c r="E20" s="87"/>
      <c r="F20" s="87"/>
      <c r="G20" s="87"/>
      <c r="H20" s="87"/>
      <c r="I20" s="87"/>
      <c r="J20" s="87">
        <v>19000</v>
      </c>
      <c r="K20" s="87">
        <v>27000</v>
      </c>
      <c r="L20" s="87">
        <v>8804.8416534181251</v>
      </c>
      <c r="M20" s="87">
        <v>377.5955484896661</v>
      </c>
      <c r="N20" s="87">
        <v>0</v>
      </c>
      <c r="O20" s="87">
        <v>0</v>
      </c>
      <c r="P20" s="87">
        <v>0</v>
      </c>
      <c r="Q20" s="87"/>
      <c r="R20" s="87"/>
      <c r="S20" s="87"/>
      <c r="T20" s="87"/>
      <c r="U20" s="87"/>
      <c r="V20" s="87"/>
      <c r="W20" s="87"/>
      <c r="X20" s="87"/>
      <c r="Z20" s="3"/>
      <c r="AA20" s="3"/>
      <c r="AB20" s="3"/>
      <c r="AC20" s="3"/>
    </row>
    <row r="21" spans="1:29" ht="29" x14ac:dyDescent="0.35">
      <c r="A21" s="119" t="s">
        <v>215</v>
      </c>
      <c r="D21" s="87"/>
      <c r="E21" s="87"/>
      <c r="F21" s="87"/>
      <c r="G21" s="87"/>
      <c r="H21" s="87"/>
      <c r="I21" s="87"/>
      <c r="J21" s="87">
        <v>135000</v>
      </c>
      <c r="K21" s="87">
        <v>135000</v>
      </c>
      <c r="L21" s="87">
        <v>30000</v>
      </c>
      <c r="M21" s="87">
        <v>30000</v>
      </c>
      <c r="N21" s="87">
        <v>30000</v>
      </c>
      <c r="O21" s="87">
        <v>30000</v>
      </c>
      <c r="P21" s="87">
        <v>15000</v>
      </c>
      <c r="Q21" s="87"/>
      <c r="R21" s="87"/>
      <c r="S21" s="87"/>
      <c r="T21" s="87"/>
      <c r="U21" s="87"/>
      <c r="V21" s="87"/>
      <c r="W21" s="87"/>
      <c r="X21" s="87"/>
      <c r="Z21" s="3"/>
      <c r="AA21" s="3"/>
      <c r="AB21" s="3"/>
      <c r="AC21" s="3"/>
    </row>
    <row r="22" spans="1:29" ht="72.5" x14ac:dyDescent="0.35">
      <c r="A22" s="86" t="s">
        <v>153</v>
      </c>
      <c r="D22">
        <f>D11-D13-D14-D12</f>
        <v>1440187</v>
      </c>
      <c r="E22">
        <f>E11-E13-E14-E12</f>
        <v>1503410</v>
      </c>
      <c r="F22">
        <f>F11-F13-F14-F12</f>
        <v>1508652</v>
      </c>
      <c r="G22">
        <f>G11-G13-G14-G12</f>
        <v>1513957</v>
      </c>
      <c r="H22" s="88">
        <f>H11-H13-H14-H12-H19</f>
        <v>1521941</v>
      </c>
      <c r="I22" s="88">
        <f>I11-I13-I14-I12-I19</f>
        <v>1574462</v>
      </c>
      <c r="J22" s="88">
        <f>J11-J13-J14-J12-J19</f>
        <v>1667467</v>
      </c>
      <c r="K22" s="88">
        <f>K11-K13-K14-K12-K19</f>
        <v>1582202.862200432</v>
      </c>
      <c r="L22" s="88">
        <f>K22*1.04</f>
        <v>1645490.9766884493</v>
      </c>
      <c r="M22" s="94">
        <f>L22*1.01</f>
        <v>1661945.8864553338</v>
      </c>
      <c r="N22" s="88">
        <f>M22*1.01</f>
        <v>1678565.3453198872</v>
      </c>
      <c r="O22" s="88">
        <f>N22*1.01</f>
        <v>1695350.9987730861</v>
      </c>
      <c r="P22" s="88">
        <f>O22</f>
        <v>1695350.9987730861</v>
      </c>
      <c r="Q22" s="88">
        <f t="shared" ref="Q22:S22" si="13">P22</f>
        <v>1695350.9987730861</v>
      </c>
      <c r="R22" s="88">
        <f t="shared" si="13"/>
        <v>1695350.9987730861</v>
      </c>
      <c r="S22" s="88">
        <f t="shared" si="13"/>
        <v>1695350.9987730861</v>
      </c>
      <c r="T22" s="3"/>
      <c r="U22" s="45">
        <f t="shared" si="11"/>
        <v>1586.5182155501079</v>
      </c>
      <c r="V22" s="45">
        <f t="shared" si="7"/>
        <v>1670.338301809189</v>
      </c>
      <c r="W22" s="45">
        <f t="shared" si="8"/>
        <v>1695.3509987730861</v>
      </c>
      <c r="X22" s="3"/>
      <c r="Z22" s="3">
        <f>Z11-Z13-Z14-Z12-Z19</f>
        <v>1571.7041322167745</v>
      </c>
      <c r="AA22" s="3">
        <f>AA11-AA13-AA14-AA12</f>
        <v>1644.9470557811208</v>
      </c>
      <c r="AB22" s="3">
        <f>AB11-AB13-AB14-AB12</f>
        <v>1684.8968956203648</v>
      </c>
      <c r="AC22" s="3"/>
    </row>
    <row r="23" spans="1:29" ht="43.5" x14ac:dyDescent="0.35">
      <c r="A23" s="86" t="s">
        <v>163</v>
      </c>
      <c r="D23" s="88">
        <f t="shared" ref="D23:I23" si="14">D22+D13+D16</f>
        <v>1440187</v>
      </c>
      <c r="E23" s="88">
        <f t="shared" si="14"/>
        <v>1503410</v>
      </c>
      <c r="F23" s="88">
        <f t="shared" si="14"/>
        <v>1508652</v>
      </c>
      <c r="G23" s="88">
        <f t="shared" si="14"/>
        <v>1513957</v>
      </c>
      <c r="H23" s="88">
        <f t="shared" si="14"/>
        <v>1521941</v>
      </c>
      <c r="I23" s="88">
        <f t="shared" si="14"/>
        <v>1574462</v>
      </c>
      <c r="J23" s="88">
        <f>J22+J13+J15</f>
        <v>3580400.333333333</v>
      </c>
      <c r="K23" s="88">
        <f t="shared" ref="K23:S23" si="15">K22+K13+K15</f>
        <v>2369909.5288670985</v>
      </c>
      <c r="L23" s="88">
        <f t="shared" si="15"/>
        <v>1965490.9766884493</v>
      </c>
      <c r="M23" s="88">
        <f t="shared" si="15"/>
        <v>1717945.8864553338</v>
      </c>
      <c r="N23" s="88">
        <f t="shared" si="15"/>
        <v>1734565.3453198872</v>
      </c>
      <c r="O23" s="88">
        <f t="shared" si="15"/>
        <v>1735350.9987730861</v>
      </c>
      <c r="P23" s="88">
        <f t="shared" si="15"/>
        <v>1735350.9987730861</v>
      </c>
      <c r="Q23" s="88">
        <f t="shared" si="15"/>
        <v>1695350.9987730861</v>
      </c>
      <c r="R23" s="88">
        <f t="shared" si="15"/>
        <v>1695350.9987730861</v>
      </c>
      <c r="S23" s="88">
        <f t="shared" si="15"/>
        <v>1695350.9987730861</v>
      </c>
      <c r="T23" s="88">
        <f>T22+T13+T16</f>
        <v>0</v>
      </c>
    </row>
    <row r="24" spans="1:29" ht="14" customHeight="1" x14ac:dyDescent="0.35">
      <c r="K24" s="3"/>
      <c r="L24" s="3"/>
      <c r="M24" s="3"/>
      <c r="N24" s="3"/>
      <c r="O24" s="3"/>
      <c r="P24" s="3"/>
      <c r="Q24" s="3"/>
      <c r="R24" s="3"/>
      <c r="S24" s="3"/>
      <c r="T24" s="3"/>
      <c r="U24" s="45"/>
      <c r="V24" s="45"/>
      <c r="W24" s="45"/>
      <c r="X24" s="3"/>
      <c r="Z24" s="3"/>
      <c r="AA24" s="3"/>
      <c r="AB24" s="3"/>
      <c r="AC24" s="3"/>
    </row>
    <row r="25" spans="1:29" x14ac:dyDescent="0.35">
      <c r="A25" t="s">
        <v>4</v>
      </c>
      <c r="D25">
        <v>79458</v>
      </c>
      <c r="E25">
        <v>71318</v>
      </c>
      <c r="F25">
        <v>61083</v>
      </c>
      <c r="G25" s="87">
        <v>81998</v>
      </c>
      <c r="H25" s="87">
        <v>81147</v>
      </c>
      <c r="I25" s="87">
        <v>75093</v>
      </c>
      <c r="J25" s="87">
        <v>1086780</v>
      </c>
      <c r="K25" s="118">
        <f>K26+AVERAGE($F$25:$I$25)</f>
        <v>1209786.6824324324</v>
      </c>
      <c r="L25" s="118">
        <f t="shared" ref="L25:P25" si="16">L26+AVERAGE($F$25:$I$25)</f>
        <v>377712.00834658189</v>
      </c>
      <c r="M25" s="118">
        <f t="shared" si="16"/>
        <v>107153.05445151032</v>
      </c>
      <c r="N25" s="118">
        <f t="shared" si="16"/>
        <v>95030.25</v>
      </c>
      <c r="O25" s="118">
        <f t="shared" si="16"/>
        <v>95030.25</v>
      </c>
      <c r="P25" s="118">
        <f t="shared" si="16"/>
        <v>95030.25</v>
      </c>
      <c r="Q25" s="3"/>
      <c r="R25" s="3"/>
      <c r="S25" s="3"/>
      <c r="T25" s="3"/>
      <c r="U25" s="3"/>
      <c r="V25" s="3"/>
      <c r="W25" s="3"/>
      <c r="X25" s="3">
        <f>AVERAGE(D25:G25)/1000</f>
        <v>73.464250000000007</v>
      </c>
    </row>
    <row r="26" spans="1:29" ht="29" x14ac:dyDescent="0.35">
      <c r="A26" s="117" t="s">
        <v>208</v>
      </c>
      <c r="G26" s="87"/>
      <c r="H26" s="87"/>
      <c r="I26" s="87"/>
      <c r="J26" s="87"/>
      <c r="K26" s="118">
        <v>1134956.4324324324</v>
      </c>
      <c r="L26" s="118">
        <v>302881.75834658189</v>
      </c>
      <c r="M26" s="118">
        <v>32322.804451510328</v>
      </c>
      <c r="N26" s="118">
        <v>20200</v>
      </c>
      <c r="O26" s="118">
        <v>20200</v>
      </c>
      <c r="P26" s="118">
        <v>20200</v>
      </c>
      <c r="Q26" s="3"/>
      <c r="R26" s="3"/>
      <c r="S26" s="3"/>
      <c r="T26" s="3"/>
      <c r="U26" s="3"/>
      <c r="V26" s="3"/>
      <c r="W26" s="3"/>
      <c r="X26" s="3"/>
    </row>
    <row r="27" spans="1:29" x14ac:dyDescent="0.35">
      <c r="A27" s="117"/>
      <c r="G27" s="87"/>
      <c r="H27" s="87"/>
      <c r="I27" s="87"/>
      <c r="J27" s="87"/>
      <c r="K27" s="118"/>
      <c r="L27" s="118"/>
      <c r="M27" s="118"/>
      <c r="N27" s="118"/>
      <c r="O27" s="118"/>
      <c r="P27" s="118"/>
      <c r="Q27" s="3"/>
      <c r="R27" s="3"/>
      <c r="S27" s="3"/>
      <c r="T27" s="3"/>
      <c r="U27" s="3"/>
      <c r="V27" s="3"/>
      <c r="W27" s="3"/>
      <c r="X27" s="3"/>
    </row>
    <row r="28" spans="1:29" x14ac:dyDescent="0.35">
      <c r="A28" t="s">
        <v>17</v>
      </c>
      <c r="D28">
        <v>586475</v>
      </c>
      <c r="E28">
        <v>594213</v>
      </c>
      <c r="F28">
        <v>612547</v>
      </c>
      <c r="G28" s="87">
        <v>610331</v>
      </c>
      <c r="H28" s="87">
        <v>615406</v>
      </c>
      <c r="I28" s="87">
        <v>627805</v>
      </c>
      <c r="J28" s="87">
        <v>1396890</v>
      </c>
      <c r="K28" s="95">
        <f>K29+K31</f>
        <v>859738.74657213537</v>
      </c>
      <c r="L28" s="95">
        <f>L29+(SUM($K$31:$P$31))/4/6*4</f>
        <v>779238.41214634688</v>
      </c>
      <c r="M28" s="95">
        <f>M29+(SUM($K$31:$P$31))/4/6*4</f>
        <v>781890.40866831713</v>
      </c>
      <c r="N28" s="95">
        <f>N29+(SUM($K$31:$P$31))/4/6*4</f>
        <v>784933.68336566293</v>
      </c>
      <c r="O28" s="95">
        <f>O29+(SUM($K$31:$P$31))/4/6*4</f>
        <v>788498.66229683743</v>
      </c>
      <c r="P28" s="95">
        <f>P29+(SUM($K$31:$P$31))/4/6*4</f>
        <v>793641.01118960604</v>
      </c>
      <c r="Q28" s="3"/>
      <c r="R28" s="3"/>
      <c r="S28" s="3"/>
      <c r="T28" s="3"/>
      <c r="U28" s="3"/>
      <c r="V28" s="3"/>
      <c r="W28" s="3"/>
      <c r="X28" s="3">
        <f>AVERAGE(D28:G28)/1000</f>
        <v>600.89149999999995</v>
      </c>
    </row>
    <row r="29" spans="1:29" x14ac:dyDescent="0.35">
      <c r="A29" s="120" t="s">
        <v>211</v>
      </c>
      <c r="G29" s="87"/>
      <c r="H29" s="87"/>
      <c r="I29" s="87"/>
      <c r="J29" s="87">
        <v>650000</v>
      </c>
      <c r="K29" s="95">
        <f t="shared" ref="K29:P29" si="17">J29*(1+K39)</f>
        <v>655738.74657213537</v>
      </c>
      <c r="L29" s="95">
        <f t="shared" si="17"/>
        <v>660738.41214634688</v>
      </c>
      <c r="M29" s="95">
        <f t="shared" si="17"/>
        <v>663390.40866831713</v>
      </c>
      <c r="N29" s="95">
        <f t="shared" si="17"/>
        <v>666433.68336566293</v>
      </c>
      <c r="O29" s="95">
        <f t="shared" si="17"/>
        <v>669998.66229683743</v>
      </c>
      <c r="P29" s="95">
        <f t="shared" si="17"/>
        <v>675141.01118960604</v>
      </c>
      <c r="Q29" s="3"/>
      <c r="R29" s="3"/>
      <c r="S29" s="3"/>
      <c r="T29" s="3"/>
      <c r="U29" s="3"/>
      <c r="V29" s="3"/>
      <c r="W29" s="3"/>
      <c r="X29" s="3"/>
    </row>
    <row r="30" spans="1:29" s="132" customFormat="1" ht="13" x14ac:dyDescent="0.3">
      <c r="A30" s="131" t="s">
        <v>218</v>
      </c>
      <c r="G30" s="133"/>
      <c r="H30" s="133"/>
      <c r="I30" s="133"/>
      <c r="J30" s="133">
        <v>692000</v>
      </c>
      <c r="K30" s="134"/>
      <c r="L30" s="134"/>
      <c r="M30" s="134"/>
      <c r="N30" s="134"/>
      <c r="O30" s="134"/>
      <c r="P30" s="134"/>
      <c r="Q30" s="135"/>
      <c r="R30" s="135"/>
      <c r="S30" s="135"/>
      <c r="T30" s="135"/>
      <c r="U30" s="135"/>
      <c r="V30" s="135"/>
      <c r="W30" s="135"/>
      <c r="X30" s="135"/>
    </row>
    <row r="31" spans="1:29" ht="29" x14ac:dyDescent="0.35">
      <c r="A31" s="117" t="s">
        <v>219</v>
      </c>
      <c r="G31" s="87"/>
      <c r="H31" s="87"/>
      <c r="I31" s="87"/>
      <c r="J31" s="95">
        <f>SUM(J32:J34)</f>
        <v>100000</v>
      </c>
      <c r="K31" s="95">
        <f>SUM(K32:K34)</f>
        <v>204000</v>
      </c>
      <c r="L31" s="95">
        <f t="shared" ref="L31:P31" si="18">SUM(L32:L34)</f>
        <v>147000</v>
      </c>
      <c r="M31" s="95">
        <f t="shared" si="18"/>
        <v>130000</v>
      </c>
      <c r="N31" s="95">
        <f t="shared" si="18"/>
        <v>112000</v>
      </c>
      <c r="O31" s="95">
        <f t="shared" si="18"/>
        <v>112000</v>
      </c>
      <c r="P31" s="95">
        <f t="shared" si="18"/>
        <v>6000</v>
      </c>
      <c r="Q31" s="3"/>
      <c r="R31" s="3"/>
      <c r="S31" s="3"/>
      <c r="T31" s="3"/>
      <c r="U31" s="3"/>
      <c r="V31" s="3"/>
      <c r="W31" s="3"/>
      <c r="X31" s="3"/>
    </row>
    <row r="32" spans="1:29" x14ac:dyDescent="0.35">
      <c r="A32" s="115" t="s">
        <v>205</v>
      </c>
      <c r="G32" s="87"/>
      <c r="H32" s="87"/>
      <c r="I32" s="87"/>
      <c r="J32" s="95">
        <v>100000</v>
      </c>
      <c r="K32" s="95">
        <v>100000</v>
      </c>
      <c r="L32" s="95">
        <v>100000</v>
      </c>
      <c r="M32" s="95">
        <v>100000</v>
      </c>
      <c r="N32" s="95">
        <v>100000</v>
      </c>
      <c r="O32" s="95">
        <v>100000</v>
      </c>
      <c r="P32" s="95"/>
      <c r="Q32" s="3"/>
      <c r="R32" s="3"/>
      <c r="S32" s="3"/>
      <c r="T32" s="3"/>
      <c r="U32" s="3"/>
      <c r="V32" s="3"/>
      <c r="W32" s="3"/>
      <c r="X32" s="3"/>
    </row>
    <row r="33" spans="1:29" x14ac:dyDescent="0.35">
      <c r="A33" s="115" t="s">
        <v>209</v>
      </c>
      <c r="G33" s="87"/>
      <c r="H33" s="87"/>
      <c r="I33" s="87"/>
      <c r="J33" s="87"/>
      <c r="K33" s="95">
        <v>54000</v>
      </c>
      <c r="L33" s="95">
        <v>12000</v>
      </c>
      <c r="M33" s="95">
        <v>12000</v>
      </c>
      <c r="N33" s="95">
        <v>12000</v>
      </c>
      <c r="O33" s="95">
        <v>12000</v>
      </c>
      <c r="P33" s="95">
        <v>6000</v>
      </c>
      <c r="Q33" s="3"/>
      <c r="R33" s="3"/>
      <c r="S33" s="3"/>
      <c r="T33" s="3"/>
      <c r="U33" s="3"/>
      <c r="V33" s="3"/>
      <c r="W33" s="3"/>
      <c r="X33" s="3"/>
    </row>
    <row r="34" spans="1:29" x14ac:dyDescent="0.35">
      <c r="A34" s="115" t="s">
        <v>206</v>
      </c>
      <c r="G34" s="87"/>
      <c r="H34" s="87"/>
      <c r="I34" s="87"/>
      <c r="J34" s="87"/>
      <c r="K34" s="95">
        <v>50000</v>
      </c>
      <c r="L34" s="95">
        <v>35000</v>
      </c>
      <c r="M34" s="95">
        <v>18000</v>
      </c>
      <c r="N34" s="95">
        <v>0</v>
      </c>
      <c r="O34" s="95">
        <v>0</v>
      </c>
      <c r="P34" s="95">
        <v>0</v>
      </c>
      <c r="Q34" s="3"/>
      <c r="R34" s="3"/>
      <c r="S34" s="3"/>
      <c r="T34" s="3"/>
      <c r="U34" s="3"/>
      <c r="V34" s="3"/>
      <c r="W34" s="3"/>
      <c r="X34" s="3"/>
    </row>
    <row r="35" spans="1:29" x14ac:dyDescent="0.35">
      <c r="A35" s="116" t="s">
        <v>226</v>
      </c>
      <c r="G35" s="87"/>
      <c r="H35" s="87"/>
      <c r="I35" s="87">
        <f>I28-I40</f>
        <v>204376</v>
      </c>
      <c r="J35" s="95">
        <f>J29+J31-J40</f>
        <v>237660</v>
      </c>
      <c r="K35" s="95">
        <f t="shared" ref="K35:P35" si="19">K29+K31-K40</f>
        <v>341940.74657213537</v>
      </c>
      <c r="L35" s="95">
        <f t="shared" si="19"/>
        <v>807738.41214634688</v>
      </c>
      <c r="M35" s="95">
        <f t="shared" si="19"/>
        <v>793390.40866831713</v>
      </c>
      <c r="N35" s="95">
        <f t="shared" si="19"/>
        <v>778433.68336566293</v>
      </c>
      <c r="O35" s="95">
        <f t="shared" si="19"/>
        <v>781998.66229683743</v>
      </c>
      <c r="P35" s="95">
        <f t="shared" si="19"/>
        <v>681141.01118960604</v>
      </c>
      <c r="Q35" s="3"/>
      <c r="R35" s="3"/>
      <c r="S35" s="3"/>
      <c r="T35" s="3"/>
      <c r="U35" s="3"/>
      <c r="V35" s="3"/>
      <c r="W35" s="3"/>
      <c r="X35" s="3"/>
    </row>
    <row r="36" spans="1:29" x14ac:dyDescent="0.35">
      <c r="J36" s="94"/>
      <c r="K36" s="94"/>
      <c r="L36" s="94"/>
      <c r="M36" s="94"/>
      <c r="N36" s="94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9" x14ac:dyDescent="0.35">
      <c r="A37" t="s">
        <v>18</v>
      </c>
      <c r="D37" s="95">
        <v>1241.5999999999999</v>
      </c>
      <c r="E37" s="95">
        <v>1245.8</v>
      </c>
      <c r="F37" s="95">
        <v>1473.6</v>
      </c>
      <c r="G37" s="95">
        <v>1288.5</v>
      </c>
      <c r="H37" s="95">
        <v>1301.0999999999999</v>
      </c>
      <c r="I37" s="95">
        <v>1306.0999999999999</v>
      </c>
      <c r="J37" s="95">
        <v>1360.1</v>
      </c>
      <c r="K37" s="95"/>
      <c r="L37" s="95"/>
      <c r="M37" s="95"/>
      <c r="N37" s="95"/>
      <c r="O37" s="95"/>
      <c r="P37" s="95"/>
      <c r="Q37" s="95"/>
      <c r="R37" s="95"/>
      <c r="S37" s="95"/>
      <c r="T37" s="3"/>
      <c r="U37" s="3"/>
      <c r="V37" s="3"/>
      <c r="W37" s="3"/>
      <c r="X37" s="3"/>
      <c r="Z37" s="3"/>
      <c r="AA37" s="3"/>
      <c r="AB37" s="3"/>
      <c r="AC37" s="3"/>
    </row>
    <row r="38" spans="1:29" x14ac:dyDescent="0.35">
      <c r="A38" s="116" t="s">
        <v>212</v>
      </c>
      <c r="H38">
        <v>1447.9</v>
      </c>
      <c r="I38">
        <v>1452.6</v>
      </c>
      <c r="J38">
        <v>1509.2</v>
      </c>
      <c r="K38">
        <v>1522.5244866564101</v>
      </c>
      <c r="L38">
        <v>1534.13294094041</v>
      </c>
      <c r="M38">
        <v>1540.2904688649601</v>
      </c>
      <c r="N38">
        <v>1547.3564845160899</v>
      </c>
      <c r="O38">
        <v>1555.6338171359801</v>
      </c>
      <c r="P38">
        <v>1567.5735601343899</v>
      </c>
      <c r="Q38">
        <v>1581.1728993807401</v>
      </c>
      <c r="R38">
        <v>1594.94329203799</v>
      </c>
      <c r="S38">
        <v>1610.2405358978399</v>
      </c>
      <c r="T38">
        <v>1624.3148372666899</v>
      </c>
      <c r="U38" s="3"/>
      <c r="V38" s="3"/>
      <c r="W38" s="3"/>
      <c r="X38" s="3"/>
      <c r="Z38" s="3"/>
      <c r="AA38" s="3"/>
      <c r="AB38" s="3"/>
      <c r="AC38" s="3"/>
    </row>
    <row r="39" spans="1:29" x14ac:dyDescent="0.35">
      <c r="A39" s="121" t="s">
        <v>210</v>
      </c>
      <c r="K39" s="122">
        <f>K38/J38-1</f>
        <v>8.8288408802081886E-3</v>
      </c>
      <c r="L39" s="122">
        <f t="shared" ref="L39:T39" si="20">L38/K38-1</f>
        <v>7.6244778890177667E-3</v>
      </c>
      <c r="M39" s="122">
        <f t="shared" si="20"/>
        <v>4.0136860113149098E-3</v>
      </c>
      <c r="N39" s="122">
        <f t="shared" si="20"/>
        <v>4.5874565830019698E-3</v>
      </c>
      <c r="O39" s="122">
        <f t="shared" si="20"/>
        <v>5.3493378563496119E-3</v>
      </c>
      <c r="P39" s="122">
        <f t="shared" si="20"/>
        <v>7.6751629251616826E-3</v>
      </c>
      <c r="Q39" s="122">
        <f t="shared" si="20"/>
        <v>8.675407388974099E-3</v>
      </c>
      <c r="R39" s="122">
        <f t="shared" si="20"/>
        <v>8.7089733593606056E-3</v>
      </c>
      <c r="S39" s="122">
        <f t="shared" si="20"/>
        <v>9.5910894990525186E-3</v>
      </c>
      <c r="T39" s="122">
        <f t="shared" si="20"/>
        <v>8.7404962520101215E-3</v>
      </c>
      <c r="U39" s="3"/>
      <c r="V39" s="3"/>
      <c r="W39" s="3"/>
      <c r="X39" s="3"/>
      <c r="Z39" s="3"/>
      <c r="AA39" s="3"/>
      <c r="AB39" s="3"/>
      <c r="AC39" s="3"/>
    </row>
    <row r="40" spans="1:29" x14ac:dyDescent="0.35">
      <c r="A40" t="s">
        <v>213</v>
      </c>
      <c r="D40" s="95">
        <v>389624</v>
      </c>
      <c r="E40" s="95">
        <v>404529</v>
      </c>
      <c r="F40" s="95">
        <v>419672</v>
      </c>
      <c r="G40" s="95">
        <v>418824</v>
      </c>
      <c r="H40" s="95">
        <v>411409</v>
      </c>
      <c r="I40" s="95">
        <v>423429</v>
      </c>
      <c r="J40" s="95">
        <v>512340</v>
      </c>
      <c r="K40" s="95">
        <f t="shared" ref="K40" si="21">1000*(4*Z40-SUM(H40:J40)/1000)</f>
        <v>517798</v>
      </c>
      <c r="L40" s="95">
        <f>K40*$Z$41</f>
        <v>0</v>
      </c>
      <c r="M40" s="95">
        <f t="shared" ref="M40:S40" si="22">L40*$Z$41</f>
        <v>0</v>
      </c>
      <c r="N40" s="95">
        <f t="shared" si="22"/>
        <v>0</v>
      </c>
      <c r="O40" s="95">
        <f t="shared" si="22"/>
        <v>0</v>
      </c>
      <c r="P40" s="95">
        <f>O40*$AA$41</f>
        <v>0</v>
      </c>
      <c r="Q40" s="95">
        <f t="shared" ref="Q40:S40" si="23">P40*$AA$41</f>
        <v>0</v>
      </c>
      <c r="R40" s="95">
        <f t="shared" si="23"/>
        <v>0</v>
      </c>
      <c r="S40" s="95">
        <f t="shared" si="23"/>
        <v>0</v>
      </c>
      <c r="T40" s="3"/>
      <c r="U40" s="45">
        <f>AVERAGE(H40:K40)</f>
        <v>466244</v>
      </c>
      <c r="V40" s="45">
        <f>AVERAGE(L40:O40)</f>
        <v>0</v>
      </c>
      <c r="W40" s="45">
        <f>AVERAGE(P40:S40)</f>
        <v>0</v>
      </c>
      <c r="X40" s="3">
        <f>AVERAGE(D40:G40)/1000</f>
        <v>408.16224999999997</v>
      </c>
      <c r="Y40">
        <v>409.42</v>
      </c>
      <c r="Z40">
        <v>466.24400000000003</v>
      </c>
      <c r="AA40">
        <v>537.41499999999996</v>
      </c>
      <c r="AB40">
        <v>516.02</v>
      </c>
    </row>
    <row r="41" spans="1:29" x14ac:dyDescent="0.35">
      <c r="A41" t="s">
        <v>168</v>
      </c>
      <c r="D41" s="88">
        <f t="shared" ref="D41:I41" si="24">D22+D19+D13+D15</f>
        <v>1440187</v>
      </c>
      <c r="E41" s="88">
        <f t="shared" si="24"/>
        <v>1503410</v>
      </c>
      <c r="F41" s="88">
        <f t="shared" si="24"/>
        <v>1508652</v>
      </c>
      <c r="G41" s="88">
        <f t="shared" si="24"/>
        <v>1513957</v>
      </c>
      <c r="H41" s="88">
        <f t="shared" si="24"/>
        <v>1521941</v>
      </c>
      <c r="I41" s="88">
        <f t="shared" si="24"/>
        <v>1574462</v>
      </c>
      <c r="J41" s="88">
        <f>J22+J19+J13+J15</f>
        <v>3734400.333333333</v>
      </c>
      <c r="K41" s="88">
        <f t="shared" ref="K41:S41" si="25">K22+K19+K13+K15</f>
        <v>2531909.5288670985</v>
      </c>
      <c r="L41" s="88">
        <f t="shared" si="25"/>
        <v>2004295.8183418673</v>
      </c>
      <c r="M41" s="88">
        <f t="shared" si="25"/>
        <v>1748323.4820038234</v>
      </c>
      <c r="N41" s="88">
        <f t="shared" si="25"/>
        <v>1764565.3453198872</v>
      </c>
      <c r="O41" s="88">
        <f t="shared" si="25"/>
        <v>1765350.9987730861</v>
      </c>
      <c r="P41" s="88">
        <f t="shared" si="25"/>
        <v>1750350.9987730861</v>
      </c>
      <c r="Q41" s="88">
        <f t="shared" si="25"/>
        <v>1695350.9987730861</v>
      </c>
      <c r="R41" s="88">
        <f t="shared" si="25"/>
        <v>1695350.9987730861</v>
      </c>
      <c r="S41" s="88">
        <f t="shared" si="25"/>
        <v>1695350.9987730861</v>
      </c>
    </row>
    <row r="42" spans="1:29" x14ac:dyDescent="0.35">
      <c r="A42" t="s">
        <v>223</v>
      </c>
      <c r="J42" s="94">
        <f>J40+J12</f>
        <v>1336398</v>
      </c>
      <c r="K42" s="94">
        <f t="shared" ref="K42:S42" si="26">K40+K12</f>
        <v>1351445</v>
      </c>
      <c r="L42" s="94">
        <f t="shared" si="26"/>
        <v>837721.06069186865</v>
      </c>
      <c r="M42" s="94">
        <f t="shared" si="26"/>
        <v>844800.47936491179</v>
      </c>
      <c r="N42" s="94">
        <f t="shared" si="26"/>
        <v>865171.52496969572</v>
      </c>
      <c r="O42" s="94">
        <f t="shared" si="26"/>
        <v>875238.93497352349</v>
      </c>
      <c r="P42" s="94">
        <f t="shared" si="26"/>
        <v>952786.03510872717</v>
      </c>
      <c r="Q42" s="94">
        <f t="shared" si="26"/>
        <v>960837.84562760405</v>
      </c>
      <c r="R42" s="94">
        <f t="shared" si="26"/>
        <v>984006.95129240747</v>
      </c>
      <c r="S42" s="94">
        <f t="shared" si="26"/>
        <v>995457.16797126119</v>
      </c>
    </row>
    <row r="44" spans="1:29" x14ac:dyDescent="0.35">
      <c r="A44" t="s">
        <v>16</v>
      </c>
      <c r="D44">
        <v>728844</v>
      </c>
      <c r="E44">
        <v>738714</v>
      </c>
      <c r="F44">
        <v>755204</v>
      </c>
      <c r="G44">
        <v>763370</v>
      </c>
      <c r="H44">
        <v>760967</v>
      </c>
      <c r="I44">
        <v>767087</v>
      </c>
      <c r="J44">
        <v>801069</v>
      </c>
      <c r="K44">
        <f>J44*(1+K49)</f>
        <v>772913.15447475913</v>
      </c>
      <c r="L44">
        <f t="shared" ref="L44:S44" si="27">K44*(1+L49)</f>
        <v>790756.92157638085</v>
      </c>
      <c r="M44">
        <f t="shared" si="27"/>
        <v>803286.27283511148</v>
      </c>
      <c r="N44">
        <f t="shared" si="27"/>
        <v>816765.8838803214</v>
      </c>
      <c r="O44">
        <f t="shared" si="27"/>
        <v>827183.54672466044</v>
      </c>
      <c r="P44">
        <f t="shared" si="27"/>
        <v>835806.27441676427</v>
      </c>
      <c r="Q44">
        <f t="shared" si="27"/>
        <v>845308.87228153297</v>
      </c>
      <c r="R44">
        <f t="shared" si="27"/>
        <v>854213.1584288911</v>
      </c>
      <c r="S44">
        <f t="shared" si="27"/>
        <v>862237.57440358447</v>
      </c>
    </row>
    <row r="45" spans="1:29" x14ac:dyDescent="0.35">
      <c r="A45" t="s">
        <v>15</v>
      </c>
      <c r="D45">
        <v>589819</v>
      </c>
      <c r="E45">
        <v>599372</v>
      </c>
      <c r="F45">
        <v>614976</v>
      </c>
      <c r="G45">
        <v>622265</v>
      </c>
      <c r="H45">
        <v>619632</v>
      </c>
      <c r="I45">
        <v>624096</v>
      </c>
      <c r="J45">
        <v>657735</v>
      </c>
      <c r="K45">
        <v>678368.87431539304</v>
      </c>
      <c r="L45">
        <v>704256.70941562997</v>
      </c>
      <c r="M45">
        <v>730144.54451586795</v>
      </c>
      <c r="N45">
        <v>756032.379616105</v>
      </c>
      <c r="O45">
        <v>781920.21471634298</v>
      </c>
      <c r="P45">
        <v>774137.24120691093</v>
      </c>
      <c r="Q45">
        <v>766354.26769747899</v>
      </c>
      <c r="R45">
        <v>758571.29418804694</v>
      </c>
      <c r="S45">
        <v>750788.32067861501</v>
      </c>
      <c r="T45">
        <v>743081.73285114695</v>
      </c>
    </row>
    <row r="46" spans="1:29" x14ac:dyDescent="0.35">
      <c r="A46" t="s">
        <v>19</v>
      </c>
      <c r="D46">
        <v>1997.1</v>
      </c>
      <c r="E46">
        <v>2012.7</v>
      </c>
      <c r="F46">
        <v>2025.5</v>
      </c>
      <c r="G46">
        <v>2028.3</v>
      </c>
      <c r="H46">
        <v>2035.6</v>
      </c>
      <c r="I46">
        <v>2041</v>
      </c>
      <c r="J46">
        <v>2012.1</v>
      </c>
      <c r="K46">
        <f>J46*(1+K47)</f>
        <v>1936.7466182339097</v>
      </c>
      <c r="L46">
        <f t="shared" ref="L46:S46" si="28">K46*(1+L47)</f>
        <v>1974.6291926736924</v>
      </c>
      <c r="M46">
        <f t="shared" si="28"/>
        <v>1999.5411030389844</v>
      </c>
      <c r="N46">
        <f t="shared" si="28"/>
        <v>2021.3647600532072</v>
      </c>
      <c r="O46">
        <f t="shared" si="28"/>
        <v>2035.7766090248638</v>
      </c>
      <c r="P46">
        <f t="shared" si="28"/>
        <v>2045.7619615266544</v>
      </c>
      <c r="Q46">
        <f t="shared" si="28"/>
        <v>2055.6443722500762</v>
      </c>
      <c r="R46">
        <f t="shared" si="28"/>
        <v>2062.8502967359045</v>
      </c>
      <c r="S46">
        <f t="shared" si="28"/>
        <v>2067.2767932057704</v>
      </c>
    </row>
    <row r="47" spans="1:29" x14ac:dyDescent="0.35">
      <c r="A47" s="121" t="s">
        <v>224</v>
      </c>
      <c r="H47" s="175">
        <v>4.9879006370685498E-3</v>
      </c>
      <c r="I47" s="175">
        <v>1.37592137592146E-3</v>
      </c>
      <c r="J47" s="175">
        <v>-4.0828344292864902E-2</v>
      </c>
      <c r="K47" s="175">
        <v>-3.7450117671134701E-2</v>
      </c>
      <c r="L47" s="175">
        <v>1.95599022004889E-2</v>
      </c>
      <c r="M47" s="175">
        <v>1.26159941611927E-2</v>
      </c>
      <c r="N47" s="175">
        <v>1.0914332784184499E-2</v>
      </c>
      <c r="O47" s="175">
        <v>7.1297616622529904E-3</v>
      </c>
      <c r="P47" s="175">
        <v>4.9049352750809598E-3</v>
      </c>
      <c r="Q47" s="175">
        <v>4.8306747848840797E-3</v>
      </c>
      <c r="R47" s="175">
        <v>3.5054334218038701E-3</v>
      </c>
      <c r="S47" s="175">
        <v>2.14581565946403E-3</v>
      </c>
    </row>
    <row r="48" spans="1:29" x14ac:dyDescent="0.35">
      <c r="A48" t="s">
        <v>225</v>
      </c>
      <c r="H48">
        <v>2357.4</v>
      </c>
      <c r="I48">
        <v>2381.6</v>
      </c>
      <c r="J48">
        <v>2333.1</v>
      </c>
      <c r="K48">
        <v>2251.0965730855401</v>
      </c>
      <c r="L48">
        <v>2303.06624489258</v>
      </c>
      <c r="M48">
        <v>2339.5577698695101</v>
      </c>
      <c r="N48">
        <v>2378.81691050481</v>
      </c>
      <c r="O48">
        <v>2409.1581784631599</v>
      </c>
      <c r="P48">
        <v>2434.27172795571</v>
      </c>
      <c r="Q48">
        <v>2461.9478845393401</v>
      </c>
      <c r="R48">
        <v>2487.8814683010401</v>
      </c>
      <c r="S48">
        <v>2511.2524449716602</v>
      </c>
    </row>
    <row r="49" spans="1:26" x14ac:dyDescent="0.35">
      <c r="A49" s="121" t="s">
        <v>224</v>
      </c>
      <c r="I49" s="175">
        <f>I48/H48-1</f>
        <v>1.0265546788835067E-2</v>
      </c>
      <c r="J49" s="175">
        <f t="shared" ref="J49:S49" si="29">J48/I48-1</f>
        <v>-2.0364460866644229E-2</v>
      </c>
      <c r="K49" s="175">
        <f t="shared" si="29"/>
        <v>-3.5147840604543235E-2</v>
      </c>
      <c r="L49" s="175">
        <f t="shared" si="29"/>
        <v>2.3086380401621698E-2</v>
      </c>
      <c r="M49" s="175">
        <f t="shared" si="29"/>
        <v>1.5844756987714037E-2</v>
      </c>
      <c r="N49" s="175">
        <f t="shared" si="29"/>
        <v>1.6780581843674591E-2</v>
      </c>
      <c r="O49" s="175">
        <f t="shared" si="29"/>
        <v>1.2754772266988512E-2</v>
      </c>
      <c r="P49" s="175">
        <f t="shared" si="29"/>
        <v>1.0424201165807334E-2</v>
      </c>
      <c r="Q49" s="175">
        <f t="shared" si="29"/>
        <v>1.1369378473976788E-2</v>
      </c>
      <c r="R49" s="175">
        <f t="shared" si="29"/>
        <v>1.0533766341911166E-2</v>
      </c>
      <c r="S49" s="175">
        <f t="shared" si="29"/>
        <v>9.3939269086562582E-3</v>
      </c>
    </row>
    <row r="50" spans="1:26" x14ac:dyDescent="0.35">
      <c r="A50" t="s">
        <v>171</v>
      </c>
      <c r="D50" s="88">
        <f t="shared" ref="D50:S50" si="30">D44+D18-D40</f>
        <v>339220</v>
      </c>
      <c r="E50" s="88">
        <f t="shared" si="30"/>
        <v>334185</v>
      </c>
      <c r="F50" s="88">
        <f t="shared" si="30"/>
        <v>335532</v>
      </c>
      <c r="G50" s="88">
        <f t="shared" si="30"/>
        <v>344546</v>
      </c>
      <c r="H50" s="88">
        <f t="shared" si="30"/>
        <v>349558</v>
      </c>
      <c r="I50" s="88">
        <f t="shared" si="30"/>
        <v>343658</v>
      </c>
      <c r="J50" s="88">
        <f t="shared" si="30"/>
        <v>566329</v>
      </c>
      <c r="K50" s="88">
        <f t="shared" si="30"/>
        <v>610275.15447475901</v>
      </c>
      <c r="L50" s="88">
        <f t="shared" si="30"/>
        <v>894756.92157638085</v>
      </c>
      <c r="M50" s="88">
        <f t="shared" si="30"/>
        <v>903286.27283511148</v>
      </c>
      <c r="N50" s="88">
        <f t="shared" si="30"/>
        <v>912765.8838803214</v>
      </c>
      <c r="O50" s="88">
        <f t="shared" si="30"/>
        <v>887183.54672466044</v>
      </c>
      <c r="P50" s="88">
        <f t="shared" si="30"/>
        <v>875806.27441676427</v>
      </c>
      <c r="Q50" s="88">
        <f t="shared" si="30"/>
        <v>845308.87228153297</v>
      </c>
      <c r="R50" s="88">
        <f t="shared" si="30"/>
        <v>854213.1584288911</v>
      </c>
      <c r="S50" s="88">
        <f t="shared" si="30"/>
        <v>862237.57440358447</v>
      </c>
    </row>
    <row r="51" spans="1:26" x14ac:dyDescent="0.35">
      <c r="A51" t="s">
        <v>222</v>
      </c>
      <c r="D51" s="88"/>
      <c r="E51" s="88"/>
      <c r="F51" s="88"/>
      <c r="G51" s="88"/>
      <c r="H51" s="88"/>
      <c r="I51" s="88"/>
      <c r="J51" s="88">
        <f>J45-J40</f>
        <v>145395</v>
      </c>
      <c r="K51" s="88">
        <f t="shared" ref="K51:S51" si="31">K45-K40</f>
        <v>160570.87431539304</v>
      </c>
      <c r="L51" s="88">
        <f t="shared" si="31"/>
        <v>704256.70941562997</v>
      </c>
      <c r="M51" s="88">
        <f t="shared" si="31"/>
        <v>730144.54451586795</v>
      </c>
      <c r="N51" s="88">
        <f t="shared" si="31"/>
        <v>756032.379616105</v>
      </c>
      <c r="O51" s="88">
        <f t="shared" si="31"/>
        <v>781920.21471634298</v>
      </c>
      <c r="P51" s="88">
        <f t="shared" si="31"/>
        <v>774137.24120691093</v>
      </c>
      <c r="Q51" s="88">
        <f t="shared" si="31"/>
        <v>766354.26769747899</v>
      </c>
      <c r="R51" s="88">
        <f t="shared" si="31"/>
        <v>758571.29418804694</v>
      </c>
      <c r="S51" s="88">
        <f t="shared" si="31"/>
        <v>750788.32067861501</v>
      </c>
    </row>
    <row r="53" spans="1:26" x14ac:dyDescent="0.35">
      <c r="A53" t="s">
        <v>24</v>
      </c>
      <c r="D53">
        <v>456.5</v>
      </c>
      <c r="E53">
        <v>475.2</v>
      </c>
      <c r="F53">
        <v>519.4</v>
      </c>
      <c r="G53">
        <v>483.9</v>
      </c>
      <c r="H53">
        <v>480.9</v>
      </c>
      <c r="I53">
        <v>495.8</v>
      </c>
      <c r="J53">
        <v>495.7</v>
      </c>
    </row>
    <row r="54" spans="1:26" x14ac:dyDescent="0.35">
      <c r="A54" t="s">
        <v>25</v>
      </c>
      <c r="D54">
        <v>1295.5</v>
      </c>
      <c r="E54">
        <v>1301.5999999999999</v>
      </c>
      <c r="F54">
        <v>1312.4</v>
      </c>
      <c r="G54">
        <v>1326.5</v>
      </c>
      <c r="H54">
        <v>1330.4</v>
      </c>
      <c r="I54">
        <v>1346.2</v>
      </c>
      <c r="J54">
        <v>1301.4000000000001</v>
      </c>
    </row>
    <row r="55" spans="1:26" x14ac:dyDescent="0.35">
      <c r="A55" t="s">
        <v>26</v>
      </c>
      <c r="D55">
        <v>21.6</v>
      </c>
      <c r="E55">
        <v>22</v>
      </c>
      <c r="F55">
        <v>22.1</v>
      </c>
      <c r="G55">
        <v>21.8</v>
      </c>
      <c r="H55">
        <v>21.1</v>
      </c>
      <c r="I55">
        <v>20.399999999999999</v>
      </c>
      <c r="J55">
        <v>19.100000000000001</v>
      </c>
    </row>
    <row r="56" spans="1:26" x14ac:dyDescent="0.35">
      <c r="A56" t="s">
        <v>23</v>
      </c>
      <c r="D56">
        <v>63.5</v>
      </c>
      <c r="E56">
        <v>68.5</v>
      </c>
      <c r="F56">
        <v>68.7</v>
      </c>
      <c r="G56">
        <v>69.8</v>
      </c>
      <c r="H56">
        <v>71</v>
      </c>
      <c r="I56">
        <v>62.7</v>
      </c>
      <c r="J56">
        <v>54.4</v>
      </c>
    </row>
    <row r="58" spans="1:26" x14ac:dyDescent="0.35">
      <c r="A58" t="s">
        <v>164</v>
      </c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x14ac:dyDescent="0.35"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x14ac:dyDescent="0.35"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x14ac:dyDescent="0.35"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x14ac:dyDescent="0.35"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x14ac:dyDescent="0.35"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</sheetData>
  <mergeCells count="8">
    <mergeCell ref="D2:G2"/>
    <mergeCell ref="A1:B1"/>
    <mergeCell ref="AC1:AF1"/>
    <mergeCell ref="U2:W2"/>
    <mergeCell ref="H2:K2"/>
    <mergeCell ref="L2:O2"/>
    <mergeCell ref="P2:S2"/>
    <mergeCell ref="Z1:AB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A688-71E8-4308-9AE6-7C668128D989}">
  <dimension ref="A1:AF70"/>
  <sheetViews>
    <sheetView workbookViewId="0">
      <pane xSplit="2" ySplit="8" topLeftCell="C55" activePane="bottomRight" state="frozen"/>
      <selection pane="topRight" activeCell="C1" sqref="C1"/>
      <selection pane="bottomLeft" activeCell="A9" sqref="A9"/>
      <selection pane="bottomRight" activeCell="E61" sqref="E61"/>
    </sheetView>
  </sheetViews>
  <sheetFormatPr defaultRowHeight="14.5" x14ac:dyDescent="0.35"/>
  <cols>
    <col min="2" max="2" width="23.7265625" customWidth="1"/>
    <col min="4" max="4" width="10.36328125" bestFit="1" customWidth="1"/>
    <col min="5" max="6" width="9.36328125" bestFit="1" customWidth="1"/>
    <col min="7" max="7" width="9.1796875" style="123" customWidth="1"/>
    <col min="8" max="10" width="9.36328125" style="96" bestFit="1" customWidth="1"/>
    <col min="11" max="11" width="9.36328125" style="123" bestFit="1" customWidth="1"/>
  </cols>
  <sheetData>
    <row r="1" spans="1:32" ht="18.5" x14ac:dyDescent="0.45">
      <c r="A1" s="147" t="s">
        <v>216</v>
      </c>
      <c r="B1" s="148"/>
      <c r="C1" s="35"/>
      <c r="H1"/>
      <c r="I1"/>
      <c r="J1"/>
      <c r="X1" t="s">
        <v>30</v>
      </c>
      <c r="Z1" s="143" t="s">
        <v>86</v>
      </c>
      <c r="AA1" s="143"/>
      <c r="AB1" s="143"/>
      <c r="AC1" s="141"/>
      <c r="AD1" s="141"/>
      <c r="AE1" s="141"/>
      <c r="AF1" s="141"/>
    </row>
    <row r="2" spans="1:32" x14ac:dyDescent="0.35">
      <c r="A2" s="149" t="s">
        <v>199</v>
      </c>
      <c r="B2" s="136"/>
      <c r="C2" t="s">
        <v>200</v>
      </c>
    </row>
    <row r="3" spans="1:32" x14ac:dyDescent="0.35">
      <c r="A3" s="150"/>
      <c r="B3" s="137"/>
      <c r="C3" t="s">
        <v>201</v>
      </c>
    </row>
    <row r="4" spans="1:32" x14ac:dyDescent="0.35">
      <c r="A4" s="150"/>
      <c r="B4" s="138"/>
      <c r="C4" t="s">
        <v>202</v>
      </c>
    </row>
    <row r="5" spans="1:32" x14ac:dyDescent="0.35">
      <c r="A5" s="151"/>
      <c r="B5" s="139"/>
      <c r="C5" t="s">
        <v>189</v>
      </c>
    </row>
    <row r="7" spans="1:32" x14ac:dyDescent="0.35">
      <c r="C7" s="144" t="s">
        <v>167</v>
      </c>
      <c r="D7" s="145"/>
      <c r="E7" s="145"/>
      <c r="F7" s="146"/>
      <c r="G7" s="144" t="s">
        <v>173</v>
      </c>
      <c r="H7" s="145"/>
      <c r="I7" s="145"/>
      <c r="J7" s="146"/>
      <c r="K7" s="144" t="s">
        <v>184</v>
      </c>
      <c r="L7" s="145"/>
      <c r="M7" s="145"/>
      <c r="N7" s="146"/>
    </row>
    <row r="8" spans="1:32" s="2" customFormat="1" x14ac:dyDescent="0.35">
      <c r="B8" s="2" t="s">
        <v>207</v>
      </c>
      <c r="C8" s="97" t="s">
        <v>5</v>
      </c>
      <c r="D8" s="97" t="s">
        <v>6</v>
      </c>
      <c r="E8" s="97" t="s">
        <v>7</v>
      </c>
      <c r="F8" s="97" t="s">
        <v>8</v>
      </c>
      <c r="G8" s="124" t="s">
        <v>5</v>
      </c>
      <c r="H8" s="97" t="s">
        <v>6</v>
      </c>
      <c r="I8" s="97" t="s">
        <v>7</v>
      </c>
      <c r="J8" s="97" t="s">
        <v>8</v>
      </c>
      <c r="K8" s="129" t="s">
        <v>5</v>
      </c>
      <c r="L8" s="97"/>
      <c r="M8" s="97"/>
      <c r="N8" s="97"/>
    </row>
    <row r="9" spans="1:32" s="2" customFormat="1" ht="18.5" x14ac:dyDescent="0.45">
      <c r="A9" s="108" t="s">
        <v>172</v>
      </c>
      <c r="B9" s="108"/>
      <c r="C9" s="78"/>
      <c r="D9" s="78"/>
      <c r="E9" s="78"/>
      <c r="F9" s="78"/>
      <c r="G9" s="125"/>
      <c r="H9" s="78"/>
      <c r="I9" s="78"/>
      <c r="J9" s="78"/>
      <c r="K9" s="130"/>
      <c r="L9" s="78"/>
      <c r="M9" s="78"/>
      <c r="N9" s="78"/>
    </row>
    <row r="10" spans="1:32" x14ac:dyDescent="0.35">
      <c r="B10" s="86" t="s">
        <v>178</v>
      </c>
      <c r="D10" s="105">
        <v>200.67099999999999</v>
      </c>
      <c r="E10" s="105">
        <v>145.06</v>
      </c>
      <c r="F10" s="105">
        <v>149.61865426211199</v>
      </c>
      <c r="G10" s="105">
        <v>155.32838416881799</v>
      </c>
      <c r="H10" s="105">
        <v>161.03811407552399</v>
      </c>
      <c r="I10" s="105">
        <v>166.74784398222999</v>
      </c>
      <c r="J10" s="105">
        <v>172.457573888936</v>
      </c>
      <c r="K10" s="105">
        <v>170.74098861102999</v>
      </c>
    </row>
    <row r="11" spans="1:32" x14ac:dyDescent="0.35">
      <c r="B11" s="86" t="s">
        <v>179</v>
      </c>
      <c r="D11" s="105">
        <v>186.02099999999999</v>
      </c>
      <c r="E11" s="105">
        <v>465.21800000000002</v>
      </c>
      <c r="F11" s="105">
        <v>405.08098280863499</v>
      </c>
      <c r="G11" s="140">
        <v>404.20608325604502</v>
      </c>
      <c r="H11" s="105">
        <v>395.88157173561501</v>
      </c>
      <c r="I11" s="105">
        <v>388.889110037249</v>
      </c>
      <c r="J11" s="105">
        <v>377.60448780112102</v>
      </c>
      <c r="K11" s="140">
        <v>397.47458006632002</v>
      </c>
    </row>
    <row r="12" spans="1:32" x14ac:dyDescent="0.35">
      <c r="B12" s="86" t="s">
        <v>180</v>
      </c>
      <c r="D12" s="105">
        <v>1862.4</v>
      </c>
      <c r="E12" s="105">
        <v>1816.2</v>
      </c>
      <c r="F12" s="105">
        <v>1895.1488054536601</v>
      </c>
      <c r="G12" s="140">
        <v>1933.47191075455</v>
      </c>
      <c r="H12" s="105">
        <v>1965.5383751259999</v>
      </c>
      <c r="I12" s="105">
        <v>1996.7932691808101</v>
      </c>
      <c r="J12" s="105">
        <v>2030.19976826113</v>
      </c>
      <c r="K12" s="140">
        <v>2052.5745731536199</v>
      </c>
    </row>
    <row r="13" spans="1:32" x14ac:dyDescent="0.35">
      <c r="B13" s="86" t="s">
        <v>181</v>
      </c>
      <c r="D13" s="105">
        <v>62.7</v>
      </c>
      <c r="E13" s="105">
        <v>54.4</v>
      </c>
      <c r="F13" s="105">
        <v>56.7647258103067</v>
      </c>
      <c r="G13" s="140">
        <v>57.912604308472503</v>
      </c>
      <c r="H13" s="105">
        <v>58.8730798407964</v>
      </c>
      <c r="I13" s="105">
        <v>59.809246692784903</v>
      </c>
      <c r="J13" s="105">
        <v>60.809859813569702</v>
      </c>
      <c r="K13" s="140">
        <v>61.480044477236603</v>
      </c>
    </row>
    <row r="14" spans="1:32" x14ac:dyDescent="0.35">
      <c r="B14" s="86" t="s">
        <v>182</v>
      </c>
      <c r="D14" s="105">
        <v>0.6</v>
      </c>
      <c r="E14" s="105">
        <v>0.6</v>
      </c>
      <c r="F14" s="105">
        <v>0.60199647986336002</v>
      </c>
      <c r="G14" s="140">
        <v>0.60396796467365799</v>
      </c>
      <c r="H14" s="105">
        <v>0.60601443464314297</v>
      </c>
      <c r="I14" s="105">
        <v>0.60820462616773796</v>
      </c>
      <c r="J14" s="105">
        <v>0.61056978306376897</v>
      </c>
      <c r="K14" s="140">
        <v>0.61311927847613501</v>
      </c>
    </row>
    <row r="15" spans="1:32" x14ac:dyDescent="0.35">
      <c r="B15" s="86" t="s">
        <v>183</v>
      </c>
      <c r="D15" s="105">
        <v>1228.1289999999999</v>
      </c>
      <c r="E15" s="105">
        <v>1336.74</v>
      </c>
      <c r="F15" s="105">
        <v>1374.0954430862901</v>
      </c>
      <c r="G15" s="105">
        <v>1381.4436026585299</v>
      </c>
      <c r="H15" s="105">
        <v>1388.79176223077</v>
      </c>
      <c r="I15" s="105">
        <v>1396.1399218030001</v>
      </c>
      <c r="J15" s="105">
        <v>1403.48808137524</v>
      </c>
      <c r="K15" s="105">
        <v>1437.5133426509401</v>
      </c>
    </row>
    <row r="16" spans="1:32" x14ac:dyDescent="0.35">
      <c r="B16" s="86" t="s">
        <v>174</v>
      </c>
      <c r="D16" s="105">
        <v>1574.779</v>
      </c>
      <c r="E16" s="105">
        <v>3690.1819999999998</v>
      </c>
      <c r="F16" s="105">
        <v>4022.3023522170502</v>
      </c>
      <c r="G16" s="140">
        <v>3550.4202533538501</v>
      </c>
      <c r="H16" s="105">
        <v>3177.8359541396499</v>
      </c>
      <c r="I16" s="105">
        <v>2876.7404548976301</v>
      </c>
      <c r="J16" s="105">
        <v>2665.0830973586999</v>
      </c>
      <c r="K16" s="140">
        <v>2744.7441275841602</v>
      </c>
    </row>
    <row r="17" spans="1:11" x14ac:dyDescent="0.35">
      <c r="B17" s="86" t="s">
        <v>175</v>
      </c>
      <c r="D17" s="105">
        <v>3376.8</v>
      </c>
      <c r="E17" s="105">
        <v>3097</v>
      </c>
      <c r="F17" s="105">
        <v>3089.7317557359202</v>
      </c>
      <c r="G17" s="140">
        <v>3117.4031672383799</v>
      </c>
      <c r="H17" s="105">
        <v>3145.07457874083</v>
      </c>
      <c r="I17" s="105">
        <v>3172.7459902432902</v>
      </c>
      <c r="J17" s="105">
        <v>3200.4174017457399</v>
      </c>
      <c r="K17" s="140">
        <v>3246.3114308992499</v>
      </c>
    </row>
    <row r="18" spans="1:11" x14ac:dyDescent="0.35">
      <c r="B18" s="86" t="s">
        <v>176</v>
      </c>
      <c r="D18" s="105">
        <v>180.5</v>
      </c>
      <c r="E18" s="105">
        <v>173.4</v>
      </c>
      <c r="F18" s="105">
        <v>179.704320447226</v>
      </c>
      <c r="G18" s="140">
        <v>188.57281638621899</v>
      </c>
      <c r="H18" s="105">
        <v>197.44131232521099</v>
      </c>
      <c r="I18" s="105">
        <v>206.30980826420301</v>
      </c>
      <c r="J18" s="105">
        <v>215.17830420319501</v>
      </c>
      <c r="K18" s="140">
        <v>252.77338989879101</v>
      </c>
    </row>
    <row r="19" spans="1:11" x14ac:dyDescent="0.35">
      <c r="B19" s="86" t="s">
        <v>177</v>
      </c>
      <c r="D19" s="105">
        <v>74.5</v>
      </c>
      <c r="E19" s="105">
        <v>1086.2</v>
      </c>
      <c r="F19" s="105">
        <v>1089.81429404597</v>
      </c>
      <c r="G19" s="140">
        <v>1093.3833387142099</v>
      </c>
      <c r="H19" s="105">
        <v>1097.08813151564</v>
      </c>
      <c r="I19" s="105">
        <v>1101.05310823899</v>
      </c>
      <c r="J19" s="105">
        <v>1105.3348306064399</v>
      </c>
      <c r="K19" s="140">
        <v>1109.9502671346299</v>
      </c>
    </row>
    <row r="20" spans="1:11" x14ac:dyDescent="0.35">
      <c r="B20" t="s">
        <v>203</v>
      </c>
      <c r="D20" s="105">
        <v>204.37100000000001</v>
      </c>
      <c r="E20" s="105">
        <v>181.51</v>
      </c>
      <c r="F20" s="105">
        <v>880.48278777228302</v>
      </c>
      <c r="G20" s="105">
        <v>871.04934848738606</v>
      </c>
      <c r="H20" s="105">
        <v>856.57058781930402</v>
      </c>
      <c r="I20" s="105">
        <v>842.93271404842005</v>
      </c>
      <c r="J20" s="105">
        <v>830.41602280713198</v>
      </c>
      <c r="K20" s="105">
        <v>847.53371437451995</v>
      </c>
    </row>
    <row r="23" spans="1:11" ht="18.5" x14ac:dyDescent="0.45">
      <c r="A23" s="112" t="s">
        <v>192</v>
      </c>
      <c r="B23" s="112"/>
    </row>
    <row r="24" spans="1:11" x14ac:dyDescent="0.35">
      <c r="B24" t="s">
        <v>192</v>
      </c>
      <c r="D24" s="103">
        <f>main!J51/1000</f>
        <v>145.39500000000001</v>
      </c>
      <c r="E24" s="103">
        <f>main!K51/1000</f>
        <v>160.57087431539304</v>
      </c>
      <c r="F24" s="103">
        <f>main!L51/1000</f>
        <v>704.25670941562998</v>
      </c>
      <c r="G24" s="103">
        <f>main!M51/1000</f>
        <v>730.14454451586801</v>
      </c>
      <c r="H24" s="103">
        <f>main!N51/1000</f>
        <v>756.032379616105</v>
      </c>
      <c r="I24" s="103">
        <f>main!O51/1000</f>
        <v>781.92021471634303</v>
      </c>
      <c r="J24" s="103">
        <f>main!P51/1000</f>
        <v>774.13724120691097</v>
      </c>
      <c r="K24" s="103">
        <f>main!Q51/1000</f>
        <v>766.35426769747903</v>
      </c>
    </row>
    <row r="25" spans="1:11" x14ac:dyDescent="0.35">
      <c r="B25" t="s">
        <v>185</v>
      </c>
      <c r="D25" s="103">
        <f>D10</f>
        <v>200.67099999999999</v>
      </c>
      <c r="E25" s="103">
        <f t="shared" ref="E25:K25" si="0">E10</f>
        <v>145.06</v>
      </c>
      <c r="F25" s="103">
        <f t="shared" si="0"/>
        <v>149.61865426211199</v>
      </c>
      <c r="G25" s="127">
        <f t="shared" si="0"/>
        <v>155.32838416881799</v>
      </c>
      <c r="H25" s="103">
        <f t="shared" si="0"/>
        <v>161.03811407552399</v>
      </c>
      <c r="I25" s="103">
        <f t="shared" si="0"/>
        <v>166.74784398222999</v>
      </c>
      <c r="J25" s="103">
        <f t="shared" si="0"/>
        <v>172.457573888936</v>
      </c>
      <c r="K25" s="127">
        <f t="shared" si="0"/>
        <v>170.74098861102999</v>
      </c>
    </row>
    <row r="26" spans="1:11" s="98" customFormat="1" x14ac:dyDescent="0.35">
      <c r="B26" s="100" t="s">
        <v>186</v>
      </c>
      <c r="D26" s="104"/>
      <c r="E26" s="104"/>
      <c r="F26" s="104">
        <f t="shared" ref="F26" si="1">F24-F25</f>
        <v>554.63805515351805</v>
      </c>
      <c r="G26" s="128">
        <f t="shared" ref="G26" si="2">G24-G25</f>
        <v>574.81616034705007</v>
      </c>
      <c r="H26" s="104">
        <f t="shared" ref="H26" si="3">H24-H25</f>
        <v>594.99426554058095</v>
      </c>
      <c r="I26" s="104">
        <f t="shared" ref="I26" si="4">I24-I25</f>
        <v>615.17237073411297</v>
      </c>
      <c r="J26" s="104">
        <f t="shared" ref="J26" si="5">J24-J25</f>
        <v>601.67966731797492</v>
      </c>
      <c r="K26" s="128">
        <f t="shared" ref="K26" si="6">K24-K25</f>
        <v>595.61327908644898</v>
      </c>
    </row>
    <row r="27" spans="1:11" x14ac:dyDescent="0.35">
      <c r="D27" s="103"/>
      <c r="E27" s="103"/>
      <c r="F27" s="103"/>
      <c r="G27" s="127"/>
      <c r="H27" s="106"/>
      <c r="I27" s="106"/>
      <c r="J27" s="106"/>
      <c r="K27" s="127"/>
    </row>
    <row r="28" spans="1:11" x14ac:dyDescent="0.35">
      <c r="D28" s="103"/>
      <c r="E28" s="103"/>
      <c r="F28" s="103"/>
      <c r="G28" s="127"/>
      <c r="H28" s="106"/>
      <c r="I28" s="106"/>
      <c r="J28" s="106"/>
      <c r="K28" s="127"/>
    </row>
    <row r="29" spans="1:11" ht="18.5" x14ac:dyDescent="0.45">
      <c r="A29" s="112" t="s">
        <v>195</v>
      </c>
      <c r="B29" s="112"/>
      <c r="D29" s="103"/>
      <c r="E29" s="103"/>
      <c r="F29" s="103"/>
      <c r="G29" s="127"/>
      <c r="H29" s="106"/>
      <c r="I29" s="106"/>
      <c r="J29" s="106"/>
      <c r="K29" s="127"/>
    </row>
    <row r="30" spans="1:11" x14ac:dyDescent="0.35">
      <c r="B30" t="s">
        <v>195</v>
      </c>
      <c r="D30" s="103"/>
      <c r="E30" s="103">
        <f>main!J50/1000</f>
        <v>566.32899999999995</v>
      </c>
      <c r="F30" s="103">
        <f>main!K50/1000</f>
        <v>610.27515447475901</v>
      </c>
      <c r="G30" s="103">
        <f>main!L50/1000</f>
        <v>894.75692157638082</v>
      </c>
      <c r="H30" s="103">
        <f>main!M50/1000</f>
        <v>903.2862728351115</v>
      </c>
      <c r="I30" s="103">
        <f>main!N50/1000</f>
        <v>912.76588388032144</v>
      </c>
      <c r="J30" s="103">
        <f>main!O50/1000</f>
        <v>887.18354672466046</v>
      </c>
      <c r="K30" s="103">
        <f>main!P50/1000</f>
        <v>875.80627441676427</v>
      </c>
    </row>
    <row r="31" spans="1:11" x14ac:dyDescent="0.35">
      <c r="B31" t="s">
        <v>185</v>
      </c>
      <c r="D31" s="103">
        <f>D11</f>
        <v>186.02099999999999</v>
      </c>
      <c r="E31" s="103">
        <f t="shared" ref="E31:K31" si="7">E11</f>
        <v>465.21800000000002</v>
      </c>
      <c r="F31" s="103">
        <f t="shared" si="7"/>
        <v>405.08098280863499</v>
      </c>
      <c r="G31" s="127">
        <f t="shared" si="7"/>
        <v>404.20608325604502</v>
      </c>
      <c r="H31" s="103">
        <f t="shared" si="7"/>
        <v>395.88157173561501</v>
      </c>
      <c r="I31" s="103">
        <f t="shared" si="7"/>
        <v>388.889110037249</v>
      </c>
      <c r="J31" s="103">
        <f t="shared" si="7"/>
        <v>377.60448780112102</v>
      </c>
      <c r="K31" s="127">
        <f t="shared" si="7"/>
        <v>397.47458006632002</v>
      </c>
    </row>
    <row r="32" spans="1:11" s="98" customFormat="1" x14ac:dyDescent="0.35">
      <c r="B32" s="100" t="s">
        <v>186</v>
      </c>
      <c r="D32" s="104"/>
      <c r="E32" s="104"/>
      <c r="F32" s="104">
        <f t="shared" ref="F32" si="8">F30-F31</f>
        <v>205.19417166612402</v>
      </c>
      <c r="G32" s="128">
        <f t="shared" ref="G32" si="9">G30-G31</f>
        <v>490.5508383203358</v>
      </c>
      <c r="H32" s="104">
        <f t="shared" ref="H32" si="10">H30-H31</f>
        <v>507.40470109949649</v>
      </c>
      <c r="I32" s="104">
        <f t="shared" ref="I32" si="11">I30-I31</f>
        <v>523.87677384307244</v>
      </c>
      <c r="J32" s="104">
        <f t="shared" ref="J32" si="12">J30-J31</f>
        <v>509.57905892353943</v>
      </c>
      <c r="K32" s="128">
        <f t="shared" ref="K32" si="13">K30-K31</f>
        <v>478.33169435044425</v>
      </c>
    </row>
    <row r="33" spans="1:11" s="98" customFormat="1" x14ac:dyDescent="0.35">
      <c r="B33" s="100"/>
      <c r="D33" s="104"/>
      <c r="E33" s="104"/>
      <c r="F33" s="104"/>
      <c r="G33" s="128"/>
      <c r="H33" s="104"/>
      <c r="I33" s="104"/>
      <c r="J33" s="104"/>
      <c r="K33" s="128"/>
    </row>
    <row r="34" spans="1:11" s="98" customFormat="1" x14ac:dyDescent="0.35">
      <c r="B34" s="100"/>
      <c r="D34" s="104"/>
      <c r="E34" s="104"/>
      <c r="F34" s="104"/>
      <c r="G34" s="128"/>
      <c r="H34" s="104"/>
      <c r="I34" s="104"/>
      <c r="J34" s="104"/>
      <c r="K34" s="128"/>
    </row>
    <row r="35" spans="1:11" ht="18.5" x14ac:dyDescent="0.45">
      <c r="A35" s="112" t="s">
        <v>191</v>
      </c>
      <c r="B35" s="112"/>
      <c r="D35" s="103"/>
      <c r="E35" s="103"/>
      <c r="F35" s="103"/>
      <c r="G35" s="127"/>
      <c r="H35" s="106"/>
      <c r="I35" s="106"/>
      <c r="J35" s="106"/>
      <c r="K35" s="127"/>
    </row>
    <row r="36" spans="1:11" x14ac:dyDescent="0.35">
      <c r="B36" t="s">
        <v>187</v>
      </c>
      <c r="D36" s="101">
        <v>1835.9308286849882</v>
      </c>
      <c r="E36" s="101">
        <v>1798.0730623309571</v>
      </c>
      <c r="F36" s="101">
        <v>1841.3301065807598</v>
      </c>
      <c r="G36" s="126">
        <v>1846.9122859552808</v>
      </c>
      <c r="H36" s="101">
        <v>1851.7583227938521</v>
      </c>
      <c r="I36" s="101">
        <v>1864.8797418812585</v>
      </c>
      <c r="J36" s="101">
        <v>1876.08695894171</v>
      </c>
      <c r="K36" s="126">
        <v>1892.015583446143</v>
      </c>
    </row>
    <row r="37" spans="1:11" x14ac:dyDescent="0.35">
      <c r="B37" t="s">
        <v>188</v>
      </c>
      <c r="D37" s="102">
        <v>1842.1</v>
      </c>
      <c r="E37" s="102">
        <v>1797.1</v>
      </c>
      <c r="F37" s="103">
        <f>F36/E36*E37</f>
        <v>1840.3336348560522</v>
      </c>
      <c r="G37" s="127">
        <f t="shared" ref="G37:K37" si="14">G36/F36*F37</f>
        <v>1845.9127933252564</v>
      </c>
      <c r="H37" s="103">
        <f t="shared" si="14"/>
        <v>1850.7562076364118</v>
      </c>
      <c r="I37" s="103">
        <f t="shared" si="14"/>
        <v>1863.8705258117864</v>
      </c>
      <c r="J37" s="103">
        <f t="shared" si="14"/>
        <v>1875.0716778679925</v>
      </c>
      <c r="K37" s="127">
        <f t="shared" si="14"/>
        <v>1890.9916822863934</v>
      </c>
    </row>
    <row r="38" spans="1:11" x14ac:dyDescent="0.35">
      <c r="B38" t="s">
        <v>185</v>
      </c>
      <c r="D38" s="103">
        <f>D12</f>
        <v>1862.4</v>
      </c>
      <c r="E38" s="103">
        <f t="shared" ref="E38:K38" si="15">E12</f>
        <v>1816.2</v>
      </c>
      <c r="F38" s="103">
        <f t="shared" si="15"/>
        <v>1895.1488054536601</v>
      </c>
      <c r="G38" s="127">
        <f t="shared" si="15"/>
        <v>1933.47191075455</v>
      </c>
      <c r="H38" s="103">
        <f t="shared" si="15"/>
        <v>1965.5383751259999</v>
      </c>
      <c r="I38" s="103">
        <f t="shared" si="15"/>
        <v>1996.7932691808101</v>
      </c>
      <c r="J38" s="103">
        <f t="shared" si="15"/>
        <v>2030.19976826113</v>
      </c>
      <c r="K38" s="127">
        <f t="shared" si="15"/>
        <v>2052.5745731536199</v>
      </c>
    </row>
    <row r="39" spans="1:11" s="98" customFormat="1" x14ac:dyDescent="0.35">
      <c r="B39" s="100" t="s">
        <v>186</v>
      </c>
      <c r="D39" s="104"/>
      <c r="E39" s="104"/>
      <c r="F39" s="104">
        <f t="shared" ref="F39:K39" si="16">F37-F38</f>
        <v>-54.815170597607903</v>
      </c>
      <c r="G39" s="128">
        <f t="shared" si="16"/>
        <v>-87.559117429293565</v>
      </c>
      <c r="H39" s="104">
        <f t="shared" si="16"/>
        <v>-114.78216748958812</v>
      </c>
      <c r="I39" s="104">
        <f t="shared" si="16"/>
        <v>-132.92274336902369</v>
      </c>
      <c r="J39" s="104">
        <f t="shared" si="16"/>
        <v>-155.12809039313743</v>
      </c>
      <c r="K39" s="128">
        <f t="shared" si="16"/>
        <v>-161.58289086722652</v>
      </c>
    </row>
    <row r="40" spans="1:11" x14ac:dyDescent="0.35">
      <c r="D40" s="103"/>
      <c r="E40" s="103"/>
      <c r="F40" s="103"/>
      <c r="G40" s="127"/>
      <c r="H40" s="106"/>
      <c r="I40" s="106"/>
      <c r="J40" s="106"/>
      <c r="K40" s="127"/>
    </row>
    <row r="41" spans="1:11" x14ac:dyDescent="0.35">
      <c r="D41" s="103"/>
      <c r="E41" s="103"/>
      <c r="F41" s="103"/>
      <c r="G41" s="127"/>
      <c r="H41" s="106"/>
      <c r="I41" s="106"/>
      <c r="J41" s="106"/>
      <c r="K41" s="127"/>
    </row>
    <row r="42" spans="1:11" ht="18.5" x14ac:dyDescent="0.45">
      <c r="A42" s="112" t="s">
        <v>190</v>
      </c>
      <c r="B42" s="112"/>
      <c r="D42" s="103"/>
      <c r="E42" s="103"/>
      <c r="F42" s="103"/>
      <c r="G42" s="127"/>
      <c r="H42" s="106"/>
      <c r="I42" s="106"/>
      <c r="J42" s="106"/>
      <c r="K42" s="127"/>
    </row>
    <row r="43" spans="1:11" x14ac:dyDescent="0.35">
      <c r="B43" t="s">
        <v>187</v>
      </c>
      <c r="D43" s="101">
        <v>58.885625915856416</v>
      </c>
      <c r="E43" s="101">
        <v>51.906166397249173</v>
      </c>
      <c r="F43" s="101">
        <v>67.757273586954582</v>
      </c>
      <c r="G43" s="126">
        <v>67.375517870649134</v>
      </c>
      <c r="H43" s="101">
        <v>70.683858752401591</v>
      </c>
      <c r="I43" s="101">
        <v>72.126034518054027</v>
      </c>
      <c r="J43" s="101">
        <v>73.732959467368829</v>
      </c>
      <c r="K43" s="126">
        <v>74.827748020610457</v>
      </c>
    </row>
    <row r="44" spans="1:11" x14ac:dyDescent="0.35">
      <c r="B44" t="s">
        <v>188</v>
      </c>
      <c r="D44" s="102">
        <v>62.7</v>
      </c>
      <c r="E44" s="102">
        <v>67.833333333333329</v>
      </c>
      <c r="F44" s="103">
        <f>F43/E43*E44</f>
        <v>88.548279404917352</v>
      </c>
      <c r="G44" s="127">
        <f t="shared" ref="G44" si="17">G43/F43*F44</f>
        <v>88.04938371383767</v>
      </c>
      <c r="H44" s="103">
        <f t="shared" ref="H44" si="18">H43/G43*G44</f>
        <v>92.372873684079465</v>
      </c>
      <c r="I44" s="103">
        <f t="shared" ref="I44" si="19">I43/H43*H44</f>
        <v>94.257574409000313</v>
      </c>
      <c r="J44" s="103">
        <f t="shared" ref="J44" si="20">J43/I43*I44</f>
        <v>96.357576842127358</v>
      </c>
      <c r="K44" s="127">
        <f t="shared" ref="K44" si="21">K43/J43*J44</f>
        <v>97.788296196225005</v>
      </c>
    </row>
    <row r="45" spans="1:11" x14ac:dyDescent="0.35">
      <c r="B45" t="s">
        <v>185</v>
      </c>
      <c r="D45" s="103">
        <f>D13</f>
        <v>62.7</v>
      </c>
      <c r="E45" s="103">
        <f t="shared" ref="E45:K45" si="22">E13</f>
        <v>54.4</v>
      </c>
      <c r="F45" s="103">
        <f t="shared" si="22"/>
        <v>56.7647258103067</v>
      </c>
      <c r="G45" s="127">
        <f t="shared" si="22"/>
        <v>57.912604308472503</v>
      </c>
      <c r="H45" s="103">
        <f t="shared" si="22"/>
        <v>58.8730798407964</v>
      </c>
      <c r="I45" s="103">
        <f t="shared" si="22"/>
        <v>59.809246692784903</v>
      </c>
      <c r="J45" s="103">
        <f t="shared" si="22"/>
        <v>60.809859813569702</v>
      </c>
      <c r="K45" s="127">
        <f t="shared" si="22"/>
        <v>61.480044477236603</v>
      </c>
    </row>
    <row r="46" spans="1:11" s="98" customFormat="1" x14ac:dyDescent="0.35">
      <c r="B46" s="100" t="s">
        <v>186</v>
      </c>
      <c r="D46" s="104"/>
      <c r="E46" s="104"/>
      <c r="F46" s="104">
        <f t="shared" ref="F46" si="23">F44-F45</f>
        <v>31.783553594610652</v>
      </c>
      <c r="G46" s="128">
        <f t="shared" ref="G46" si="24">G44-G45</f>
        <v>30.136779405365168</v>
      </c>
      <c r="H46" s="104">
        <f t="shared" ref="H46" si="25">H44-H45</f>
        <v>33.499793843283065</v>
      </c>
      <c r="I46" s="104">
        <f t="shared" ref="I46" si="26">I44-I45</f>
        <v>34.44832771621541</v>
      </c>
      <c r="J46" s="104">
        <f t="shared" ref="J46" si="27">J44-J45</f>
        <v>35.547717028557656</v>
      </c>
      <c r="K46" s="128">
        <f t="shared" ref="K46" si="28">K44-K45</f>
        <v>36.308251718988402</v>
      </c>
    </row>
    <row r="47" spans="1:11" x14ac:dyDescent="0.35">
      <c r="D47" s="103"/>
      <c r="E47" s="103"/>
      <c r="F47" s="103"/>
      <c r="G47" s="127"/>
      <c r="H47" s="106"/>
      <c r="I47" s="106"/>
      <c r="J47" s="106"/>
      <c r="K47" s="127"/>
    </row>
    <row r="48" spans="1:11" x14ac:dyDescent="0.35">
      <c r="D48" s="103"/>
      <c r="E48" s="103"/>
      <c r="F48" s="103"/>
      <c r="G48" s="127"/>
      <c r="H48" s="106"/>
      <c r="I48" s="106"/>
      <c r="J48" s="106"/>
      <c r="K48" s="127"/>
    </row>
    <row r="49" spans="1:11" ht="18.5" x14ac:dyDescent="0.45">
      <c r="A49" s="107" t="s">
        <v>196</v>
      </c>
      <c r="B49" s="107"/>
      <c r="D49" s="103"/>
      <c r="E49" s="103"/>
      <c r="F49" s="103"/>
      <c r="G49" s="127"/>
      <c r="H49" s="106"/>
      <c r="I49" s="106"/>
      <c r="J49" s="106"/>
      <c r="K49" s="127"/>
    </row>
    <row r="50" spans="1:11" x14ac:dyDescent="0.35">
      <c r="B50" t="s">
        <v>196</v>
      </c>
      <c r="D50" s="103"/>
      <c r="E50" s="103">
        <f>main!J42/1000</f>
        <v>1336.3979999999999</v>
      </c>
      <c r="F50" s="103">
        <f>main!K42/1000</f>
        <v>1351.4449999999999</v>
      </c>
      <c r="G50" s="103">
        <f>main!L42/1000</f>
        <v>837.72106069186862</v>
      </c>
      <c r="H50" s="103">
        <f>main!M42/1000</f>
        <v>844.80047936491178</v>
      </c>
      <c r="I50" s="103">
        <f>main!N42/1000</f>
        <v>865.17152496969572</v>
      </c>
      <c r="J50" s="103">
        <f>main!O42/1000</f>
        <v>875.23893497352344</v>
      </c>
      <c r="K50" s="103">
        <f>main!P42/1000</f>
        <v>952.78603510872722</v>
      </c>
    </row>
    <row r="51" spans="1:11" x14ac:dyDescent="0.35">
      <c r="B51" t="s">
        <v>185</v>
      </c>
      <c r="D51" s="103">
        <f>D15</f>
        <v>1228.1289999999999</v>
      </c>
      <c r="E51" s="103">
        <f t="shared" ref="E51:K51" si="29">E15</f>
        <v>1336.74</v>
      </c>
      <c r="F51" s="103">
        <f t="shared" si="29"/>
        <v>1374.0954430862901</v>
      </c>
      <c r="G51" s="127">
        <f t="shared" si="29"/>
        <v>1381.4436026585299</v>
      </c>
      <c r="H51" s="103">
        <f t="shared" si="29"/>
        <v>1388.79176223077</v>
      </c>
      <c r="I51" s="103">
        <f t="shared" si="29"/>
        <v>1396.1399218030001</v>
      </c>
      <c r="J51" s="103">
        <f t="shared" si="29"/>
        <v>1403.48808137524</v>
      </c>
      <c r="K51" s="127">
        <f t="shared" si="29"/>
        <v>1437.5133426509401</v>
      </c>
    </row>
    <row r="52" spans="1:11" s="98" customFormat="1" x14ac:dyDescent="0.35">
      <c r="B52" s="100" t="s">
        <v>186</v>
      </c>
      <c r="D52" s="104"/>
      <c r="E52" s="104"/>
      <c r="F52" s="104">
        <f t="shared" ref="F52" si="30">F50-F51</f>
        <v>-22.650443086290124</v>
      </c>
      <c r="G52" s="128">
        <f t="shared" ref="G52" si="31">G50-G51</f>
        <v>-543.72254196666131</v>
      </c>
      <c r="H52" s="104">
        <f t="shared" ref="H52" si="32">H50-H51</f>
        <v>-543.99128286585824</v>
      </c>
      <c r="I52" s="104">
        <f t="shared" ref="I52" si="33">I50-I51</f>
        <v>-530.96839683330438</v>
      </c>
      <c r="J52" s="104">
        <f t="shared" ref="J52" si="34">J50-J51</f>
        <v>-528.24914640171653</v>
      </c>
      <c r="K52" s="128">
        <f t="shared" ref="K52" si="35">K50-K51</f>
        <v>-484.72730754221288</v>
      </c>
    </row>
    <row r="53" spans="1:11" x14ac:dyDescent="0.35">
      <c r="D53" s="103"/>
      <c r="E53" s="103"/>
      <c r="F53" s="103"/>
      <c r="G53" s="127"/>
      <c r="H53" s="106"/>
      <c r="I53" s="106"/>
      <c r="J53" s="106"/>
      <c r="K53" s="127"/>
    </row>
    <row r="54" spans="1:11" x14ac:dyDescent="0.35">
      <c r="D54" s="103"/>
      <c r="E54" s="103"/>
      <c r="F54" s="103"/>
      <c r="G54" s="127"/>
      <c r="H54" s="106"/>
      <c r="I54" s="106"/>
      <c r="J54" s="106"/>
      <c r="K54" s="127"/>
    </row>
    <row r="55" spans="1:11" ht="18.5" x14ac:dyDescent="0.45">
      <c r="A55" s="107" t="s">
        <v>197</v>
      </c>
      <c r="B55" s="107"/>
      <c r="D55" s="103"/>
      <c r="E55" s="103"/>
      <c r="F55" s="103"/>
      <c r="G55" s="127"/>
      <c r="H55" s="106"/>
      <c r="I55" s="106"/>
      <c r="J55" s="106"/>
      <c r="K55" s="127"/>
    </row>
    <row r="56" spans="1:11" x14ac:dyDescent="0.35">
      <c r="B56" s="86" t="s">
        <v>197</v>
      </c>
      <c r="D56" s="103">
        <f>main!I41/1000</f>
        <v>1574.462</v>
      </c>
      <c r="E56" s="103">
        <f>main!J41/1000</f>
        <v>3734.400333333333</v>
      </c>
      <c r="F56" s="103">
        <f>main!K41/1000</f>
        <v>2531.9095288670983</v>
      </c>
      <c r="G56" s="103">
        <f>main!L41/1000</f>
        <v>2004.2958183418673</v>
      </c>
      <c r="H56" s="103">
        <f>main!M41/1000</f>
        <v>1748.3234820038233</v>
      </c>
      <c r="I56" s="103">
        <f>main!N41/1000</f>
        <v>1764.5653453198872</v>
      </c>
      <c r="J56" s="103">
        <f>main!O41/1000</f>
        <v>1765.3509987730861</v>
      </c>
      <c r="K56" s="103">
        <f>main!P41/1000</f>
        <v>1750.3509987730861</v>
      </c>
    </row>
    <row r="57" spans="1:11" x14ac:dyDescent="0.35">
      <c r="B57" t="s">
        <v>185</v>
      </c>
      <c r="D57" s="103">
        <f>D16</f>
        <v>1574.779</v>
      </c>
      <c r="E57" s="103">
        <f t="shared" ref="E57:K57" si="36">E16</f>
        <v>3690.1819999999998</v>
      </c>
      <c r="F57" s="103">
        <f t="shared" si="36"/>
        <v>4022.3023522170502</v>
      </c>
      <c r="G57" s="127">
        <f t="shared" si="36"/>
        <v>3550.4202533538501</v>
      </c>
      <c r="H57" s="103">
        <f t="shared" si="36"/>
        <v>3177.8359541396499</v>
      </c>
      <c r="I57" s="103">
        <f t="shared" si="36"/>
        <v>2876.7404548976301</v>
      </c>
      <c r="J57" s="103">
        <f t="shared" si="36"/>
        <v>2665.0830973586999</v>
      </c>
      <c r="K57" s="127">
        <f t="shared" si="36"/>
        <v>2744.7441275841602</v>
      </c>
    </row>
    <row r="58" spans="1:11" s="98" customFormat="1" x14ac:dyDescent="0.35">
      <c r="B58" s="100" t="s">
        <v>186</v>
      </c>
      <c r="D58" s="104"/>
      <c r="E58" s="104"/>
      <c r="F58" s="104">
        <f t="shared" ref="F58" si="37">F56-F57</f>
        <v>-1490.3928233499519</v>
      </c>
      <c r="G58" s="128">
        <f t="shared" ref="G58" si="38">G56-G57</f>
        <v>-1546.1244350119828</v>
      </c>
      <c r="H58" s="104">
        <f t="shared" ref="H58" si="39">H56-H57</f>
        <v>-1429.5124721358266</v>
      </c>
      <c r="I58" s="104">
        <f t="shared" ref="I58" si="40">I56-I57</f>
        <v>-1112.1751095777429</v>
      </c>
      <c r="J58" s="104">
        <f t="shared" ref="J58" si="41">J56-J57</f>
        <v>-899.73209858561381</v>
      </c>
      <c r="K58" s="128">
        <f t="shared" ref="K58" si="42">K56-K57</f>
        <v>-994.39312881107412</v>
      </c>
    </row>
    <row r="59" spans="1:11" s="98" customFormat="1" x14ac:dyDescent="0.35">
      <c r="B59" s="100"/>
      <c r="D59" s="104"/>
      <c r="E59" s="104"/>
      <c r="F59" s="104"/>
      <c r="G59" s="128"/>
      <c r="H59" s="104"/>
      <c r="I59" s="104"/>
      <c r="J59" s="104"/>
      <c r="K59" s="128"/>
    </row>
    <row r="60" spans="1:11" s="98" customFormat="1" x14ac:dyDescent="0.35">
      <c r="B60" s="100"/>
      <c r="D60" s="104"/>
      <c r="E60" s="104"/>
      <c r="F60" s="104"/>
      <c r="G60" s="128"/>
      <c r="H60" s="104"/>
      <c r="I60" s="104"/>
      <c r="J60" s="104"/>
      <c r="K60" s="128"/>
    </row>
    <row r="61" spans="1:11" ht="18.5" x14ac:dyDescent="0.45">
      <c r="A61" s="107" t="s">
        <v>198</v>
      </c>
      <c r="B61" s="107"/>
      <c r="D61" s="103"/>
      <c r="E61" s="103"/>
      <c r="F61" s="103"/>
      <c r="G61" s="127"/>
      <c r="H61" s="106"/>
      <c r="I61" s="106"/>
      <c r="J61" s="106"/>
      <c r="K61" s="127"/>
    </row>
    <row r="62" spans="1:11" x14ac:dyDescent="0.35">
      <c r="B62" t="s">
        <v>220</v>
      </c>
      <c r="D62" s="101"/>
      <c r="E62" s="103">
        <f>main!J25/1000</f>
        <v>1086.78</v>
      </c>
      <c r="F62" s="103">
        <f>main!K25/1000</f>
        <v>1209.7866824324324</v>
      </c>
      <c r="G62" s="103">
        <f>main!L25/1000</f>
        <v>377.71200834658191</v>
      </c>
      <c r="H62" s="103">
        <f>main!M25/1000</f>
        <v>107.15305445151033</v>
      </c>
      <c r="I62" s="103">
        <f>main!N25/1000</f>
        <v>95.030249999999995</v>
      </c>
      <c r="J62" s="103">
        <f>main!O25/1000</f>
        <v>95.030249999999995</v>
      </c>
      <c r="K62" s="103">
        <f>main!P25/1000</f>
        <v>95.030249999999995</v>
      </c>
    </row>
    <row r="63" spans="1:11" x14ac:dyDescent="0.35">
      <c r="B63" t="s">
        <v>185</v>
      </c>
      <c r="D63" s="103">
        <f>D19</f>
        <v>74.5</v>
      </c>
      <c r="E63" s="103">
        <f t="shared" ref="E63:K63" si="43">E19</f>
        <v>1086.2</v>
      </c>
      <c r="F63" s="103">
        <f t="shared" si="43"/>
        <v>1089.81429404597</v>
      </c>
      <c r="G63" s="127">
        <f t="shared" si="43"/>
        <v>1093.3833387142099</v>
      </c>
      <c r="H63" s="103">
        <f t="shared" si="43"/>
        <v>1097.08813151564</v>
      </c>
      <c r="I63" s="103">
        <f t="shared" si="43"/>
        <v>1101.05310823899</v>
      </c>
      <c r="J63" s="103">
        <f t="shared" si="43"/>
        <v>1105.3348306064399</v>
      </c>
      <c r="K63" s="127">
        <f t="shared" si="43"/>
        <v>1109.9502671346299</v>
      </c>
    </row>
    <row r="64" spans="1:11" s="98" customFormat="1" x14ac:dyDescent="0.35">
      <c r="B64" s="100" t="s">
        <v>186</v>
      </c>
      <c r="D64" s="104"/>
      <c r="E64" s="104"/>
      <c r="F64" s="104">
        <f>F62-F63</f>
        <v>119.9723883864624</v>
      </c>
      <c r="G64" s="104">
        <f t="shared" ref="G64:K64" si="44">G62-G63</f>
        <v>-715.671330367628</v>
      </c>
      <c r="H64" s="104">
        <f t="shared" si="44"/>
        <v>-989.9350770641297</v>
      </c>
      <c r="I64" s="104">
        <f t="shared" si="44"/>
        <v>-1006.02285823899</v>
      </c>
      <c r="J64" s="104">
        <f t="shared" si="44"/>
        <v>-1010.3045806064399</v>
      </c>
      <c r="K64" s="104">
        <f t="shared" si="44"/>
        <v>-1014.9200171346299</v>
      </c>
    </row>
    <row r="65" spans="1:11" x14ac:dyDescent="0.35">
      <c r="D65" s="103"/>
      <c r="E65" s="103"/>
      <c r="F65" s="103"/>
      <c r="G65" s="127"/>
      <c r="H65" s="106"/>
      <c r="I65" s="106"/>
      <c r="J65" s="106"/>
      <c r="K65" s="127"/>
    </row>
    <row r="66" spans="1:11" x14ac:dyDescent="0.35">
      <c r="D66" s="103"/>
      <c r="E66" s="103"/>
      <c r="F66" s="103"/>
      <c r="G66" s="127"/>
      <c r="H66" s="106"/>
      <c r="I66" s="106"/>
      <c r="J66" s="106"/>
      <c r="K66" s="127"/>
    </row>
    <row r="67" spans="1:11" ht="18.5" x14ac:dyDescent="0.45">
      <c r="A67" s="107" t="s">
        <v>204</v>
      </c>
      <c r="B67" s="107"/>
      <c r="D67" s="103"/>
      <c r="E67" s="103"/>
      <c r="F67" s="103"/>
      <c r="G67" s="127"/>
      <c r="H67" s="106"/>
      <c r="I67" s="106"/>
      <c r="J67" s="106"/>
      <c r="K67" s="127"/>
    </row>
    <row r="68" spans="1:11" x14ac:dyDescent="0.35">
      <c r="B68" t="s">
        <v>217</v>
      </c>
      <c r="D68" s="101"/>
      <c r="E68" s="101"/>
      <c r="F68" s="101">
        <f>main!K35/1000</f>
        <v>341.94074657213537</v>
      </c>
      <c r="G68" s="101">
        <f>main!L35/1000</f>
        <v>807.73841214634683</v>
      </c>
      <c r="H68" s="101">
        <f>main!M35/1000</f>
        <v>793.39040866831715</v>
      </c>
      <c r="I68" s="101">
        <f>main!N35/1000</f>
        <v>778.43368336566289</v>
      </c>
      <c r="J68" s="101">
        <f>main!O35/1000</f>
        <v>781.99866229683744</v>
      </c>
      <c r="K68" s="101">
        <f>main!P35/1000</f>
        <v>681.14101118960605</v>
      </c>
    </row>
    <row r="69" spans="1:11" x14ac:dyDescent="0.35">
      <c r="B69" t="s">
        <v>185</v>
      </c>
      <c r="D69" s="103">
        <f>D20</f>
        <v>204.37100000000001</v>
      </c>
      <c r="E69" s="103">
        <f t="shared" ref="E69:K69" si="45">E20</f>
        <v>181.51</v>
      </c>
      <c r="F69" s="103">
        <f t="shared" si="45"/>
        <v>880.48278777228302</v>
      </c>
      <c r="G69" s="127">
        <f t="shared" si="45"/>
        <v>871.04934848738606</v>
      </c>
      <c r="H69" s="103">
        <f t="shared" si="45"/>
        <v>856.57058781930402</v>
      </c>
      <c r="I69" s="103">
        <f t="shared" si="45"/>
        <v>842.93271404842005</v>
      </c>
      <c r="J69" s="103">
        <f t="shared" si="45"/>
        <v>830.41602280713198</v>
      </c>
      <c r="K69" s="127">
        <f t="shared" si="45"/>
        <v>847.53371437451995</v>
      </c>
    </row>
    <row r="70" spans="1:11" s="98" customFormat="1" x14ac:dyDescent="0.35">
      <c r="B70" s="100" t="s">
        <v>186</v>
      </c>
      <c r="D70" s="104"/>
      <c r="E70" s="104"/>
      <c r="F70" s="104">
        <f>F68-F69</f>
        <v>-538.54204120014765</v>
      </c>
      <c r="G70" s="104">
        <f t="shared" ref="G70:K70" si="46">G68-G69</f>
        <v>-63.310936341039223</v>
      </c>
      <c r="H70" s="104">
        <f t="shared" si="46"/>
        <v>-63.180179150986874</v>
      </c>
      <c r="I70" s="104">
        <f t="shared" si="46"/>
        <v>-64.499030682757166</v>
      </c>
      <c r="J70" s="104">
        <f t="shared" si="46"/>
        <v>-48.417360510294543</v>
      </c>
      <c r="K70" s="104">
        <f t="shared" si="46"/>
        <v>-166.3927031849139</v>
      </c>
    </row>
  </sheetData>
  <mergeCells count="7">
    <mergeCell ref="A1:B1"/>
    <mergeCell ref="A2:A5"/>
    <mergeCell ref="C7:F7"/>
    <mergeCell ref="G7:J7"/>
    <mergeCell ref="K7:N7"/>
    <mergeCell ref="Z1:AB1"/>
    <mergeCell ref="AC1:AF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CC41-09B2-4226-9DFF-DDF76E08500C}">
  <dimension ref="A1:AF82"/>
  <sheetViews>
    <sheetView workbookViewId="0">
      <pane ySplit="8" topLeftCell="A57" activePane="bottomLeft" state="frozen"/>
      <selection pane="bottomLeft" activeCell="C80" sqref="C80"/>
    </sheetView>
  </sheetViews>
  <sheetFormatPr defaultRowHeight="14.5" x14ac:dyDescent="0.35"/>
  <cols>
    <col min="2" max="2" width="23.7265625" customWidth="1"/>
    <col min="4" max="6" width="9.36328125" bestFit="1" customWidth="1"/>
    <col min="7" max="7" width="9.1796875" style="123" customWidth="1"/>
    <col min="8" max="10" width="9.36328125" style="96" bestFit="1" customWidth="1"/>
    <col min="11" max="11" width="9.36328125" style="123" bestFit="1" customWidth="1"/>
  </cols>
  <sheetData>
    <row r="1" spans="1:32" ht="18.5" x14ac:dyDescent="0.45">
      <c r="A1" s="142" t="s">
        <v>216</v>
      </c>
      <c r="B1" s="142"/>
      <c r="C1" s="35"/>
      <c r="H1"/>
      <c r="I1"/>
      <c r="J1"/>
      <c r="X1" t="s">
        <v>30</v>
      </c>
      <c r="Z1" s="143" t="s">
        <v>86</v>
      </c>
      <c r="AA1" s="143"/>
      <c r="AB1" s="143"/>
      <c r="AC1" s="141"/>
      <c r="AD1" s="141"/>
      <c r="AE1" s="141"/>
      <c r="AF1" s="141"/>
    </row>
    <row r="2" spans="1:32" x14ac:dyDescent="0.35">
      <c r="A2" s="152" t="s">
        <v>199</v>
      </c>
      <c r="B2" s="109"/>
      <c r="C2" t="s">
        <v>200</v>
      </c>
    </row>
    <row r="3" spans="1:32" x14ac:dyDescent="0.35">
      <c r="A3" s="152"/>
      <c r="B3" s="110"/>
      <c r="C3" t="s">
        <v>201</v>
      </c>
    </row>
    <row r="4" spans="1:32" x14ac:dyDescent="0.35">
      <c r="A4" s="152"/>
      <c r="B4" s="111"/>
      <c r="C4" t="s">
        <v>202</v>
      </c>
    </row>
    <row r="5" spans="1:32" x14ac:dyDescent="0.35">
      <c r="A5" s="152"/>
      <c r="B5" s="99"/>
      <c r="C5" t="s">
        <v>189</v>
      </c>
    </row>
    <row r="7" spans="1:32" x14ac:dyDescent="0.35">
      <c r="C7" s="144" t="s">
        <v>167</v>
      </c>
      <c r="D7" s="145"/>
      <c r="E7" s="145"/>
      <c r="F7" s="146"/>
      <c r="G7" s="144" t="s">
        <v>173</v>
      </c>
      <c r="H7" s="145"/>
      <c r="I7" s="145"/>
      <c r="J7" s="146"/>
      <c r="K7" s="144" t="s">
        <v>184</v>
      </c>
      <c r="L7" s="145"/>
      <c r="M7" s="145"/>
      <c r="N7" s="146"/>
    </row>
    <row r="8" spans="1:32" s="2" customFormat="1" x14ac:dyDescent="0.35">
      <c r="B8" s="2" t="s">
        <v>207</v>
      </c>
      <c r="C8" s="97" t="s">
        <v>5</v>
      </c>
      <c r="D8" s="97" t="s">
        <v>6</v>
      </c>
      <c r="E8" s="97" t="s">
        <v>7</v>
      </c>
      <c r="F8" s="97" t="s">
        <v>8</v>
      </c>
      <c r="G8" s="124" t="s">
        <v>5</v>
      </c>
      <c r="H8" s="97" t="s">
        <v>6</v>
      </c>
      <c r="I8" s="97" t="s">
        <v>7</v>
      </c>
      <c r="J8" s="97" t="s">
        <v>8</v>
      </c>
      <c r="K8" s="129" t="s">
        <v>5</v>
      </c>
      <c r="L8" s="97"/>
      <c r="M8" s="97"/>
      <c r="N8" s="97"/>
    </row>
    <row r="9" spans="1:32" s="2" customFormat="1" ht="18.5" x14ac:dyDescent="0.45">
      <c r="A9" s="108" t="s">
        <v>172</v>
      </c>
      <c r="B9" s="108"/>
      <c r="C9" s="78"/>
      <c r="D9" s="78"/>
      <c r="E9" s="78"/>
      <c r="F9" s="78"/>
      <c r="G9" s="125"/>
      <c r="H9" s="78"/>
      <c r="I9" s="78"/>
      <c r="J9" s="78"/>
      <c r="K9" s="130"/>
      <c r="L9" s="78"/>
      <c r="M9" s="78"/>
      <c r="N9" s="78"/>
    </row>
    <row r="10" spans="1:32" x14ac:dyDescent="0.35">
      <c r="B10" s="86" t="s">
        <v>178</v>
      </c>
      <c r="D10">
        <v>179.27799999999999</v>
      </c>
      <c r="E10">
        <v>61.09</v>
      </c>
      <c r="F10">
        <v>63.009813793412498</v>
      </c>
      <c r="G10" s="123">
        <v>65.414387073439201</v>
      </c>
      <c r="H10">
        <v>67.818960353465997</v>
      </c>
      <c r="I10">
        <v>70.223533633492494</v>
      </c>
      <c r="J10">
        <v>72.628106913519204</v>
      </c>
      <c r="K10" s="123">
        <v>71.905190915813407</v>
      </c>
    </row>
    <row r="11" spans="1:32" x14ac:dyDescent="0.35">
      <c r="B11" s="86" t="s">
        <v>179</v>
      </c>
      <c r="D11">
        <v>186.02099999999999</v>
      </c>
      <c r="E11">
        <v>465.21800000000002</v>
      </c>
      <c r="F11">
        <v>405.08098280863499</v>
      </c>
      <c r="G11" s="123">
        <v>404.20608325604502</v>
      </c>
      <c r="H11">
        <v>395.88157173561501</v>
      </c>
      <c r="I11">
        <v>388.889110037249</v>
      </c>
      <c r="J11">
        <v>377.60448780112102</v>
      </c>
      <c r="K11" s="123">
        <v>397.47458006632002</v>
      </c>
    </row>
    <row r="12" spans="1:32" x14ac:dyDescent="0.35">
      <c r="B12" s="86" t="s">
        <v>180</v>
      </c>
      <c r="D12">
        <v>1862.4</v>
      </c>
      <c r="E12">
        <v>1816.2</v>
      </c>
      <c r="F12">
        <v>1895.1488054536601</v>
      </c>
      <c r="G12" s="123">
        <v>1933.47191075455</v>
      </c>
      <c r="H12">
        <v>1965.5383751259999</v>
      </c>
      <c r="I12">
        <v>1996.7932691808101</v>
      </c>
      <c r="J12">
        <v>2030.19976826113</v>
      </c>
      <c r="K12" s="123">
        <v>2052.5745731536199</v>
      </c>
    </row>
    <row r="13" spans="1:32" x14ac:dyDescent="0.35">
      <c r="B13" s="86" t="s">
        <v>181</v>
      </c>
      <c r="D13">
        <v>62.7</v>
      </c>
      <c r="E13">
        <v>54.4</v>
      </c>
      <c r="F13">
        <v>56.7647258103067</v>
      </c>
      <c r="G13" s="123">
        <v>57.912604308472503</v>
      </c>
      <c r="H13">
        <v>58.8730798407964</v>
      </c>
      <c r="I13">
        <v>59.809246692784903</v>
      </c>
      <c r="J13">
        <v>60.809859813569702</v>
      </c>
      <c r="K13" s="123">
        <v>61.480044477236603</v>
      </c>
    </row>
    <row r="14" spans="1:32" x14ac:dyDescent="0.35">
      <c r="B14" s="86" t="s">
        <v>182</v>
      </c>
      <c r="D14">
        <v>0.6</v>
      </c>
      <c r="E14">
        <v>0.6</v>
      </c>
      <c r="F14">
        <v>0.60199647986336002</v>
      </c>
      <c r="G14" s="123">
        <v>0.60396796467365799</v>
      </c>
      <c r="H14">
        <v>0.60601443464314297</v>
      </c>
      <c r="I14">
        <v>0.60820462616773796</v>
      </c>
      <c r="J14">
        <v>0.61056978306376897</v>
      </c>
      <c r="K14" s="123">
        <v>0.61311927847613501</v>
      </c>
    </row>
    <row r="15" spans="1:32" x14ac:dyDescent="0.35">
      <c r="B15" s="86" t="s">
        <v>183</v>
      </c>
      <c r="D15">
        <v>1249.5219999999999</v>
      </c>
      <c r="E15">
        <v>1420.71</v>
      </c>
      <c r="F15">
        <v>1460.7042835549901</v>
      </c>
      <c r="G15" s="123">
        <v>1471.3575997539101</v>
      </c>
      <c r="H15">
        <v>1482.0109159528199</v>
      </c>
      <c r="I15">
        <v>1492.66423215174</v>
      </c>
      <c r="J15">
        <v>1503.31754835066</v>
      </c>
      <c r="K15" s="123">
        <v>1536.3491403461601</v>
      </c>
    </row>
    <row r="16" spans="1:32" x14ac:dyDescent="0.35">
      <c r="B16" s="86" t="s">
        <v>174</v>
      </c>
      <c r="D16">
        <v>1574.779</v>
      </c>
      <c r="E16">
        <v>3690.1819999999998</v>
      </c>
      <c r="F16">
        <v>4022.3023522170502</v>
      </c>
      <c r="G16" s="123">
        <v>3550.4202533538501</v>
      </c>
      <c r="H16">
        <v>3177.8359541396499</v>
      </c>
      <c r="I16">
        <v>2876.7404548976301</v>
      </c>
      <c r="J16">
        <v>2665.0830973586999</v>
      </c>
      <c r="K16" s="123">
        <v>2744.7441275841602</v>
      </c>
    </row>
    <row r="17" spans="1:12" x14ac:dyDescent="0.35">
      <c r="B17" s="86" t="s">
        <v>175</v>
      </c>
      <c r="D17">
        <v>3376.8</v>
      </c>
      <c r="E17">
        <v>3097</v>
      </c>
      <c r="F17">
        <v>3089.7317557359202</v>
      </c>
      <c r="G17" s="123">
        <v>3117.4031672383799</v>
      </c>
      <c r="H17">
        <v>3145.07457874083</v>
      </c>
      <c r="I17">
        <v>3172.7459902432902</v>
      </c>
      <c r="J17">
        <v>3200.4174017457399</v>
      </c>
      <c r="K17" s="123">
        <v>3246.3114308992499</v>
      </c>
    </row>
    <row r="18" spans="1:12" x14ac:dyDescent="0.35">
      <c r="B18" s="86" t="s">
        <v>176</v>
      </c>
      <c r="D18">
        <v>180.5</v>
      </c>
      <c r="E18">
        <v>173.4</v>
      </c>
      <c r="F18">
        <v>179.704320447226</v>
      </c>
      <c r="G18" s="123">
        <v>188.57281638621899</v>
      </c>
      <c r="H18">
        <v>197.44131232521099</v>
      </c>
      <c r="I18">
        <v>206.30980826420301</v>
      </c>
      <c r="J18">
        <v>215.17830420319501</v>
      </c>
      <c r="K18" s="123">
        <v>252.77338989879101</v>
      </c>
    </row>
    <row r="19" spans="1:12" x14ac:dyDescent="0.35">
      <c r="B19" s="86" t="s">
        <v>177</v>
      </c>
      <c r="D19">
        <v>74.5</v>
      </c>
      <c r="E19">
        <v>1086.2</v>
      </c>
      <c r="F19">
        <v>1089.81429404597</v>
      </c>
      <c r="G19" s="123">
        <v>1093.3833387142099</v>
      </c>
      <c r="H19">
        <v>1097.08813151564</v>
      </c>
      <c r="I19">
        <v>1101.05310823899</v>
      </c>
      <c r="J19">
        <v>1105.3348306064399</v>
      </c>
      <c r="K19" s="123">
        <v>1109.9502671346299</v>
      </c>
    </row>
    <row r="20" spans="1:12" x14ac:dyDescent="0.35">
      <c r="B20" t="s">
        <v>203</v>
      </c>
      <c r="D20">
        <v>182.97800000000001</v>
      </c>
      <c r="E20">
        <v>181.51</v>
      </c>
      <c r="F20">
        <v>793.87394730358403</v>
      </c>
      <c r="G20" s="123">
        <v>781.13535139200803</v>
      </c>
      <c r="H20">
        <v>763.35143409724697</v>
      </c>
      <c r="I20">
        <v>746.40840369968305</v>
      </c>
      <c r="J20">
        <v>730.58655583171605</v>
      </c>
      <c r="K20" s="123">
        <v>748.69791667930303</v>
      </c>
    </row>
    <row r="23" spans="1:12" ht="18.5" x14ac:dyDescent="0.45">
      <c r="A23" s="112" t="s">
        <v>192</v>
      </c>
      <c r="B23" s="112"/>
    </row>
    <row r="24" spans="1:12" x14ac:dyDescent="0.35">
      <c r="B24" t="s">
        <v>193</v>
      </c>
      <c r="D24" s="101">
        <f>D27</f>
        <v>179.27799999999999</v>
      </c>
      <c r="E24" s="101">
        <f>E27-E25</f>
        <v>203.79</v>
      </c>
      <c r="F24" s="101">
        <f>F27/E27*E24</f>
        <v>210.1943027166399</v>
      </c>
      <c r="G24" s="126">
        <f t="shared" ref="G24:K24" si="0">G27/F27*F24</f>
        <v>218.21571356516901</v>
      </c>
      <c r="H24" s="101">
        <f t="shared" si="0"/>
        <v>226.23712441369838</v>
      </c>
      <c r="I24" s="101">
        <f t="shared" si="0"/>
        <v>234.25853526222679</v>
      </c>
      <c r="J24" s="101">
        <f t="shared" si="0"/>
        <v>242.27994611075587</v>
      </c>
      <c r="K24" s="126">
        <f t="shared" si="0"/>
        <v>239.86837218421365</v>
      </c>
      <c r="L24" s="101"/>
    </row>
    <row r="25" spans="1:12" x14ac:dyDescent="0.35">
      <c r="B25" t="s">
        <v>194</v>
      </c>
      <c r="D25" s="103"/>
      <c r="E25" s="103">
        <v>-142.69999999999999</v>
      </c>
      <c r="F25" s="103">
        <v>-128.40406144067796</v>
      </c>
      <c r="G25" s="127">
        <v>-98.35239406779661</v>
      </c>
      <c r="H25" s="103">
        <v>-99.456059322033894</v>
      </c>
      <c r="I25" s="103">
        <v>-100.21983474576271</v>
      </c>
      <c r="J25" s="103">
        <v>-100.77362076271186</v>
      </c>
      <c r="K25" s="127">
        <v>-46.377972457627124</v>
      </c>
    </row>
    <row r="26" spans="1:12" x14ac:dyDescent="0.35">
      <c r="B26" t="s">
        <v>187</v>
      </c>
      <c r="D26" s="103">
        <v>1842.1</v>
      </c>
      <c r="E26" s="103">
        <f>E24+E25</f>
        <v>61.09</v>
      </c>
      <c r="F26" s="103">
        <f t="shared" ref="F26:K26" si="1">F24+F25</f>
        <v>81.790241275961932</v>
      </c>
      <c r="G26" s="127">
        <f t="shared" si="1"/>
        <v>119.8633194973724</v>
      </c>
      <c r="H26" s="103">
        <f t="shared" si="1"/>
        <v>126.78106509166449</v>
      </c>
      <c r="I26" s="103">
        <f t="shared" si="1"/>
        <v>134.03870051646408</v>
      </c>
      <c r="J26" s="103">
        <f t="shared" si="1"/>
        <v>141.50632534804402</v>
      </c>
      <c r="K26" s="127">
        <f t="shared" si="1"/>
        <v>193.49039972658653</v>
      </c>
    </row>
    <row r="27" spans="1:12" x14ac:dyDescent="0.35">
      <c r="B27" t="s">
        <v>185</v>
      </c>
      <c r="D27" s="103">
        <f>D10</f>
        <v>179.27799999999999</v>
      </c>
      <c r="E27" s="103">
        <f t="shared" ref="E27:K27" si="2">E10</f>
        <v>61.09</v>
      </c>
      <c r="F27" s="103">
        <f t="shared" si="2"/>
        <v>63.009813793412498</v>
      </c>
      <c r="G27" s="127">
        <f t="shared" si="2"/>
        <v>65.414387073439201</v>
      </c>
      <c r="H27" s="103">
        <f t="shared" si="2"/>
        <v>67.818960353465997</v>
      </c>
      <c r="I27" s="103">
        <f t="shared" si="2"/>
        <v>70.223533633492494</v>
      </c>
      <c r="J27" s="103">
        <f t="shared" si="2"/>
        <v>72.628106913519204</v>
      </c>
      <c r="K27" s="127">
        <f t="shared" si="2"/>
        <v>71.905190915813407</v>
      </c>
    </row>
    <row r="28" spans="1:12" s="98" customFormat="1" x14ac:dyDescent="0.35">
      <c r="B28" s="100" t="s">
        <v>186</v>
      </c>
      <c r="D28" s="104"/>
      <c r="E28" s="104"/>
      <c r="F28" s="104">
        <f t="shared" ref="F28:K28" si="3">F26-F27</f>
        <v>18.780427482549435</v>
      </c>
      <c r="G28" s="128">
        <f t="shared" si="3"/>
        <v>54.448932423933201</v>
      </c>
      <c r="H28" s="104">
        <f t="shared" si="3"/>
        <v>58.962104738198491</v>
      </c>
      <c r="I28" s="104">
        <f t="shared" si="3"/>
        <v>63.815166882971582</v>
      </c>
      <c r="J28" s="104">
        <f t="shared" si="3"/>
        <v>68.878218434524811</v>
      </c>
      <c r="K28" s="128">
        <f t="shared" si="3"/>
        <v>121.58520881077312</v>
      </c>
    </row>
    <row r="29" spans="1:12" x14ac:dyDescent="0.35">
      <c r="D29" s="103"/>
      <c r="E29" s="103"/>
      <c r="F29" s="103"/>
      <c r="G29" s="127"/>
      <c r="H29" s="106"/>
      <c r="I29" s="106"/>
      <c r="J29" s="106"/>
      <c r="K29" s="127"/>
    </row>
    <row r="30" spans="1:12" x14ac:dyDescent="0.35">
      <c r="D30" s="103"/>
      <c r="E30" s="103"/>
      <c r="F30" s="103"/>
      <c r="G30" s="127"/>
      <c r="H30" s="106"/>
      <c r="I30" s="106"/>
      <c r="J30" s="106"/>
      <c r="K30" s="127"/>
    </row>
    <row r="31" spans="1:12" ht="18.5" x14ac:dyDescent="0.45">
      <c r="A31" s="112" t="s">
        <v>195</v>
      </c>
      <c r="B31" s="112"/>
    </row>
    <row r="32" spans="1:12" x14ac:dyDescent="0.35">
      <c r="B32" t="s">
        <v>193</v>
      </c>
      <c r="D32" s="101">
        <f>D35-D33</f>
        <v>170.02099999999999</v>
      </c>
      <c r="E32" s="101">
        <f>E35-E33</f>
        <v>140.21800000000002</v>
      </c>
      <c r="F32" s="101">
        <f>E32*1.01</f>
        <v>141.62018000000003</v>
      </c>
      <c r="G32" s="126">
        <f t="shared" ref="G32:K32" si="4">F32*1.01</f>
        <v>143.03638180000004</v>
      </c>
      <c r="H32" s="101">
        <f t="shared" si="4"/>
        <v>144.46674561800003</v>
      </c>
      <c r="I32" s="101">
        <f t="shared" si="4"/>
        <v>145.91141307418005</v>
      </c>
      <c r="J32" s="101">
        <f t="shared" si="4"/>
        <v>147.37052720492184</v>
      </c>
      <c r="K32" s="126">
        <f t="shared" si="4"/>
        <v>148.84423247697106</v>
      </c>
      <c r="L32" s="101"/>
    </row>
    <row r="33" spans="1:11" x14ac:dyDescent="0.35">
      <c r="B33" t="s">
        <v>194</v>
      </c>
      <c r="D33" s="103">
        <v>16</v>
      </c>
      <c r="E33" s="103">
        <v>325</v>
      </c>
      <c r="F33" s="103">
        <f>305</f>
        <v>305</v>
      </c>
      <c r="G33" s="127">
        <f>47</f>
        <v>47</v>
      </c>
      <c r="H33" s="103">
        <v>47</v>
      </c>
      <c r="I33" s="103">
        <v>47</v>
      </c>
      <c r="J33" s="103">
        <v>47</v>
      </c>
      <c r="K33" s="127">
        <v>43</v>
      </c>
    </row>
    <row r="34" spans="1:11" x14ac:dyDescent="0.35">
      <c r="B34" t="s">
        <v>187</v>
      </c>
      <c r="D34" s="103">
        <v>1842.1</v>
      </c>
      <c r="E34" s="103">
        <f>E32+E33</f>
        <v>465.21800000000002</v>
      </c>
      <c r="F34" s="103">
        <f t="shared" ref="F34:K34" si="5">F32+F33</f>
        <v>446.62018</v>
      </c>
      <c r="G34" s="127">
        <f t="shared" si="5"/>
        <v>190.03638180000004</v>
      </c>
      <c r="H34" s="103">
        <f t="shared" si="5"/>
        <v>191.46674561800003</v>
      </c>
      <c r="I34" s="103">
        <f t="shared" si="5"/>
        <v>192.91141307418005</v>
      </c>
      <c r="J34" s="103">
        <f t="shared" si="5"/>
        <v>194.37052720492184</v>
      </c>
      <c r="K34" s="127">
        <f t="shared" si="5"/>
        <v>191.84423247697106</v>
      </c>
    </row>
    <row r="35" spans="1:11" x14ac:dyDescent="0.35">
      <c r="B35" t="s">
        <v>185</v>
      </c>
      <c r="D35" s="103">
        <f>D11</f>
        <v>186.02099999999999</v>
      </c>
      <c r="E35" s="103">
        <f t="shared" ref="E35:K35" si="6">E11</f>
        <v>465.21800000000002</v>
      </c>
      <c r="F35" s="103">
        <f t="shared" si="6"/>
        <v>405.08098280863499</v>
      </c>
      <c r="G35" s="127">
        <f t="shared" si="6"/>
        <v>404.20608325604502</v>
      </c>
      <c r="H35" s="103">
        <f t="shared" si="6"/>
        <v>395.88157173561501</v>
      </c>
      <c r="I35" s="103">
        <f t="shared" si="6"/>
        <v>388.889110037249</v>
      </c>
      <c r="J35" s="103">
        <f t="shared" si="6"/>
        <v>377.60448780112102</v>
      </c>
      <c r="K35" s="127">
        <f t="shared" si="6"/>
        <v>397.47458006632002</v>
      </c>
    </row>
    <row r="36" spans="1:11" s="98" customFormat="1" x14ac:dyDescent="0.35">
      <c r="B36" s="100" t="s">
        <v>186</v>
      </c>
      <c r="D36" s="104"/>
      <c r="E36" s="104"/>
      <c r="F36" s="104">
        <f t="shared" ref="F36:K36" si="7">F34-F35</f>
        <v>41.53919719136502</v>
      </c>
      <c r="G36" s="128">
        <f t="shared" si="7"/>
        <v>-214.16970145604498</v>
      </c>
      <c r="H36" s="104">
        <f t="shared" si="7"/>
        <v>-204.41482611761498</v>
      </c>
      <c r="I36" s="104">
        <f t="shared" si="7"/>
        <v>-195.97769696306895</v>
      </c>
      <c r="J36" s="104">
        <f t="shared" si="7"/>
        <v>-183.23396059619918</v>
      </c>
      <c r="K36" s="128">
        <f t="shared" si="7"/>
        <v>-205.63034758934896</v>
      </c>
    </row>
    <row r="37" spans="1:11" s="98" customFormat="1" x14ac:dyDescent="0.35">
      <c r="B37" s="100"/>
      <c r="D37" s="104"/>
      <c r="E37" s="104"/>
      <c r="F37" s="104"/>
      <c r="G37" s="128"/>
      <c r="H37" s="104"/>
      <c r="I37" s="104"/>
      <c r="J37" s="104"/>
      <c r="K37" s="128"/>
    </row>
    <row r="38" spans="1:11" s="98" customFormat="1" x14ac:dyDescent="0.35">
      <c r="B38" s="100"/>
      <c r="D38" s="104"/>
      <c r="E38" s="104"/>
      <c r="F38" s="104"/>
      <c r="G38" s="128"/>
      <c r="H38" s="104"/>
      <c r="I38" s="104"/>
      <c r="J38" s="104"/>
      <c r="K38" s="128"/>
    </row>
    <row r="39" spans="1:11" ht="18.5" x14ac:dyDescent="0.45">
      <c r="A39" s="112" t="s">
        <v>191</v>
      </c>
      <c r="B39" s="112"/>
      <c r="D39" s="103"/>
      <c r="E39" s="103"/>
      <c r="F39" s="103"/>
      <c r="G39" s="127"/>
      <c r="H39" s="106"/>
      <c r="I39" s="106"/>
      <c r="J39" s="106"/>
      <c r="K39" s="127"/>
    </row>
    <row r="40" spans="1:11" x14ac:dyDescent="0.35">
      <c r="B40" t="s">
        <v>187</v>
      </c>
      <c r="D40" s="101">
        <v>1835.9308286849882</v>
      </c>
      <c r="E40" s="101">
        <v>1798.0730623309571</v>
      </c>
      <c r="F40" s="101">
        <v>1841.3301065807598</v>
      </c>
      <c r="G40" s="126">
        <v>1846.9122859552808</v>
      </c>
      <c r="H40" s="101">
        <v>1851.7583227938521</v>
      </c>
      <c r="I40" s="101">
        <v>1864.8797418812585</v>
      </c>
      <c r="J40" s="101">
        <v>1876.08695894171</v>
      </c>
      <c r="K40" s="126">
        <v>1892.015583446143</v>
      </c>
    </row>
    <row r="41" spans="1:11" x14ac:dyDescent="0.35">
      <c r="B41" t="s">
        <v>188</v>
      </c>
      <c r="D41" s="102">
        <v>1842.1</v>
      </c>
      <c r="E41" s="102">
        <v>1797.1</v>
      </c>
      <c r="F41" s="103">
        <f>F40/E40*E41</f>
        <v>1840.3336348560522</v>
      </c>
      <c r="G41" s="127">
        <f t="shared" ref="G41:K41" si="8">G40/F40*F41</f>
        <v>1845.9127933252564</v>
      </c>
      <c r="H41" s="103">
        <f t="shared" si="8"/>
        <v>1850.7562076364118</v>
      </c>
      <c r="I41" s="103">
        <f t="shared" si="8"/>
        <v>1863.8705258117864</v>
      </c>
      <c r="J41" s="103">
        <f t="shared" si="8"/>
        <v>1875.0716778679925</v>
      </c>
      <c r="K41" s="127">
        <f t="shared" si="8"/>
        <v>1890.9916822863934</v>
      </c>
    </row>
    <row r="42" spans="1:11" x14ac:dyDescent="0.35">
      <c r="B42" t="s">
        <v>185</v>
      </c>
      <c r="D42" s="103">
        <f>D12</f>
        <v>1862.4</v>
      </c>
      <c r="E42" s="103">
        <f t="shared" ref="E42:K42" si="9">E12</f>
        <v>1816.2</v>
      </c>
      <c r="F42" s="103">
        <f t="shared" si="9"/>
        <v>1895.1488054536601</v>
      </c>
      <c r="G42" s="127">
        <f t="shared" si="9"/>
        <v>1933.47191075455</v>
      </c>
      <c r="H42" s="103">
        <f t="shared" si="9"/>
        <v>1965.5383751259999</v>
      </c>
      <c r="I42" s="103">
        <f t="shared" si="9"/>
        <v>1996.7932691808101</v>
      </c>
      <c r="J42" s="103">
        <f t="shared" si="9"/>
        <v>2030.19976826113</v>
      </c>
      <c r="K42" s="127">
        <f t="shared" si="9"/>
        <v>2052.5745731536199</v>
      </c>
    </row>
    <row r="43" spans="1:11" s="98" customFormat="1" x14ac:dyDescent="0.35">
      <c r="B43" s="100" t="s">
        <v>186</v>
      </c>
      <c r="D43" s="104"/>
      <c r="E43" s="104"/>
      <c r="F43" s="104">
        <f t="shared" ref="F43:K43" si="10">F41-F42</f>
        <v>-54.815170597607903</v>
      </c>
      <c r="G43" s="128">
        <f t="shared" si="10"/>
        <v>-87.559117429293565</v>
      </c>
      <c r="H43" s="104">
        <f t="shared" si="10"/>
        <v>-114.78216748958812</v>
      </c>
      <c r="I43" s="104">
        <f t="shared" si="10"/>
        <v>-132.92274336902369</v>
      </c>
      <c r="J43" s="104">
        <f t="shared" si="10"/>
        <v>-155.12809039313743</v>
      </c>
      <c r="K43" s="128">
        <f t="shared" si="10"/>
        <v>-161.58289086722652</v>
      </c>
    </row>
    <row r="44" spans="1:11" x14ac:dyDescent="0.35">
      <c r="D44" s="103"/>
      <c r="E44" s="103"/>
      <c r="F44" s="103"/>
      <c r="G44" s="127"/>
      <c r="H44" s="106"/>
      <c r="I44" s="106"/>
      <c r="J44" s="106"/>
      <c r="K44" s="127"/>
    </row>
    <row r="45" spans="1:11" x14ac:dyDescent="0.35">
      <c r="D45" s="103"/>
      <c r="E45" s="103"/>
      <c r="F45" s="103"/>
      <c r="G45" s="127"/>
      <c r="H45" s="106"/>
      <c r="I45" s="106"/>
      <c r="J45" s="106"/>
      <c r="K45" s="127"/>
    </row>
    <row r="46" spans="1:11" ht="18.5" x14ac:dyDescent="0.45">
      <c r="A46" s="112" t="s">
        <v>190</v>
      </c>
      <c r="B46" s="112"/>
      <c r="D46" s="103"/>
      <c r="E46" s="103"/>
      <c r="F46" s="103"/>
      <c r="G46" s="127"/>
      <c r="H46" s="106"/>
      <c r="I46" s="106"/>
      <c r="J46" s="106"/>
      <c r="K46" s="127"/>
    </row>
    <row r="47" spans="1:11" x14ac:dyDescent="0.35">
      <c r="B47" t="s">
        <v>187</v>
      </c>
      <c r="D47" s="101">
        <v>58.885625915856416</v>
      </c>
      <c r="E47" s="101">
        <v>51.906166397249173</v>
      </c>
      <c r="F47" s="101">
        <v>67.757273586954582</v>
      </c>
      <c r="G47" s="126">
        <v>67.375517870649134</v>
      </c>
      <c r="H47" s="101">
        <v>70.683858752401591</v>
      </c>
      <c r="I47" s="101">
        <v>72.126034518054027</v>
      </c>
      <c r="J47" s="101">
        <v>73.732959467368829</v>
      </c>
      <c r="K47" s="126">
        <v>74.827748020610457</v>
      </c>
    </row>
    <row r="48" spans="1:11" x14ac:dyDescent="0.35">
      <c r="B48" t="s">
        <v>188</v>
      </c>
      <c r="D48" s="102">
        <v>62.7</v>
      </c>
      <c r="E48" s="102">
        <v>67.833333333333329</v>
      </c>
      <c r="F48" s="103">
        <f>F47/E47*E48</f>
        <v>88.548279404917352</v>
      </c>
      <c r="G48" s="127">
        <f t="shared" ref="G48:K48" si="11">G47/F47*F48</f>
        <v>88.04938371383767</v>
      </c>
      <c r="H48" s="103">
        <f t="shared" si="11"/>
        <v>92.372873684079465</v>
      </c>
      <c r="I48" s="103">
        <f t="shared" si="11"/>
        <v>94.257574409000313</v>
      </c>
      <c r="J48" s="103">
        <f t="shared" si="11"/>
        <v>96.357576842127358</v>
      </c>
      <c r="K48" s="127">
        <f t="shared" si="11"/>
        <v>97.788296196225005</v>
      </c>
    </row>
    <row r="49" spans="1:12" x14ac:dyDescent="0.35">
      <c r="B49" t="s">
        <v>185</v>
      </c>
      <c r="D49" s="103">
        <f>D13</f>
        <v>62.7</v>
      </c>
      <c r="E49" s="103">
        <f t="shared" ref="E49:K49" si="12">E13</f>
        <v>54.4</v>
      </c>
      <c r="F49" s="103">
        <f t="shared" si="12"/>
        <v>56.7647258103067</v>
      </c>
      <c r="G49" s="127">
        <f t="shared" si="12"/>
        <v>57.912604308472503</v>
      </c>
      <c r="H49" s="103">
        <f t="shared" si="12"/>
        <v>58.8730798407964</v>
      </c>
      <c r="I49" s="103">
        <f t="shared" si="12"/>
        <v>59.809246692784903</v>
      </c>
      <c r="J49" s="103">
        <f t="shared" si="12"/>
        <v>60.809859813569702</v>
      </c>
      <c r="K49" s="127">
        <f t="shared" si="12"/>
        <v>61.480044477236603</v>
      </c>
    </row>
    <row r="50" spans="1:12" s="98" customFormat="1" x14ac:dyDescent="0.35">
      <c r="B50" s="100" t="s">
        <v>186</v>
      </c>
      <c r="D50" s="104"/>
      <c r="E50" s="104"/>
      <c r="F50" s="104">
        <f t="shared" ref="F50:K50" si="13">F48-F49</f>
        <v>31.783553594610652</v>
      </c>
      <c r="G50" s="128">
        <f t="shared" si="13"/>
        <v>30.136779405365168</v>
      </c>
      <c r="H50" s="104">
        <f t="shared" si="13"/>
        <v>33.499793843283065</v>
      </c>
      <c r="I50" s="104">
        <f t="shared" si="13"/>
        <v>34.44832771621541</v>
      </c>
      <c r="J50" s="104">
        <f t="shared" si="13"/>
        <v>35.547717028557656</v>
      </c>
      <c r="K50" s="128">
        <f t="shared" si="13"/>
        <v>36.308251718988402</v>
      </c>
    </row>
    <row r="51" spans="1:12" x14ac:dyDescent="0.35">
      <c r="D51" s="103"/>
      <c r="E51" s="103"/>
      <c r="F51" s="103"/>
      <c r="G51" s="127"/>
      <c r="H51" s="106"/>
      <c r="I51" s="106"/>
      <c r="J51" s="106"/>
      <c r="K51" s="127"/>
    </row>
    <row r="53" spans="1:12" ht="18.5" x14ac:dyDescent="0.45">
      <c r="A53" s="107" t="s">
        <v>196</v>
      </c>
      <c r="B53" s="107"/>
    </row>
    <row r="54" spans="1:12" x14ac:dyDescent="0.35">
      <c r="B54" t="s">
        <v>193</v>
      </c>
      <c r="D54" s="101">
        <f>D57</f>
        <v>1249.5219999999999</v>
      </c>
      <c r="E54" s="101">
        <f>F57/E57*D54</f>
        <v>1284.697185066761</v>
      </c>
      <c r="F54" s="101">
        <f>F57/E57*E54</f>
        <v>1320.8625837067771</v>
      </c>
      <c r="G54" s="126">
        <f t="shared" ref="G54:K54" si="14">G57/F57*F54</f>
        <v>1330.4959961078855</v>
      </c>
      <c r="H54" s="101">
        <f t="shared" si="14"/>
        <v>1340.1294085089846</v>
      </c>
      <c r="I54" s="101">
        <f t="shared" si="14"/>
        <v>1349.7628209100931</v>
      </c>
      <c r="J54" s="101">
        <f t="shared" si="14"/>
        <v>1359.3962333112015</v>
      </c>
      <c r="K54" s="126">
        <f t="shared" si="14"/>
        <v>1389.2655192702591</v>
      </c>
      <c r="L54" s="101"/>
    </row>
    <row r="55" spans="1:12" x14ac:dyDescent="0.35">
      <c r="B55" t="s">
        <v>194</v>
      </c>
      <c r="D55" s="103"/>
      <c r="E55" s="101">
        <v>153.80000000000001</v>
      </c>
      <c r="F55" s="101">
        <v>286.06375423728815</v>
      </c>
      <c r="G55" s="126">
        <v>148.87042372881399</v>
      </c>
      <c r="H55" s="101">
        <v>144.45576271186439</v>
      </c>
      <c r="I55" s="101">
        <v>131.40066101694916</v>
      </c>
      <c r="J55" s="101">
        <v>129.18551694915254</v>
      </c>
      <c r="K55" s="126">
        <v>77.568110169491518</v>
      </c>
    </row>
    <row r="56" spans="1:12" x14ac:dyDescent="0.35">
      <c r="B56" t="s">
        <v>187</v>
      </c>
      <c r="D56" s="103">
        <f>D57</f>
        <v>1249.5219999999999</v>
      </c>
      <c r="E56" s="103">
        <f>E54+E55</f>
        <v>1438.4971850667609</v>
      </c>
      <c r="F56" s="103">
        <f t="shared" ref="F56:K56" si="15">F54+F55</f>
        <v>1606.9263379440652</v>
      </c>
      <c r="G56" s="127">
        <f t="shared" si="15"/>
        <v>1479.3664198366996</v>
      </c>
      <c r="H56" s="103">
        <f t="shared" si="15"/>
        <v>1484.5851712208491</v>
      </c>
      <c r="I56" s="103">
        <f t="shared" si="15"/>
        <v>1481.1634819270423</v>
      </c>
      <c r="J56" s="103">
        <f t="shared" si="15"/>
        <v>1488.5817502603541</v>
      </c>
      <c r="K56" s="127">
        <f t="shared" si="15"/>
        <v>1466.8336294397507</v>
      </c>
    </row>
    <row r="57" spans="1:12" x14ac:dyDescent="0.35">
      <c r="B57" t="s">
        <v>185</v>
      </c>
      <c r="D57" s="103">
        <f>D15</f>
        <v>1249.5219999999999</v>
      </c>
      <c r="E57" s="103">
        <f t="shared" ref="E57:K57" si="16">E15</f>
        <v>1420.71</v>
      </c>
      <c r="F57" s="103">
        <f t="shared" si="16"/>
        <v>1460.7042835549901</v>
      </c>
      <c r="G57" s="127">
        <f t="shared" si="16"/>
        <v>1471.3575997539101</v>
      </c>
      <c r="H57" s="103">
        <f t="shared" si="16"/>
        <v>1482.0109159528199</v>
      </c>
      <c r="I57" s="103">
        <f t="shared" si="16"/>
        <v>1492.66423215174</v>
      </c>
      <c r="J57" s="103">
        <f t="shared" si="16"/>
        <v>1503.31754835066</v>
      </c>
      <c r="K57" s="127">
        <f t="shared" si="16"/>
        <v>1536.3491403461601</v>
      </c>
    </row>
    <row r="58" spans="1:12" s="98" customFormat="1" x14ac:dyDescent="0.35">
      <c r="B58" s="100" t="s">
        <v>186</v>
      </c>
      <c r="D58" s="104"/>
      <c r="E58" s="104"/>
      <c r="F58" s="104">
        <f t="shared" ref="F58:K58" si="17">F56-F57</f>
        <v>146.22205438907508</v>
      </c>
      <c r="G58" s="128">
        <f t="shared" si="17"/>
        <v>8.008820082789498</v>
      </c>
      <c r="H58" s="104">
        <f t="shared" si="17"/>
        <v>2.5742552680292192</v>
      </c>
      <c r="I58" s="104">
        <f t="shared" si="17"/>
        <v>-11.50075022469764</v>
      </c>
      <c r="J58" s="104">
        <f t="shared" si="17"/>
        <v>-14.735798090305934</v>
      </c>
      <c r="K58" s="128">
        <f t="shared" si="17"/>
        <v>-69.515510906409418</v>
      </c>
    </row>
    <row r="59" spans="1:12" x14ac:dyDescent="0.35">
      <c r="D59" s="103"/>
      <c r="E59" s="103"/>
      <c r="F59" s="103"/>
      <c r="G59" s="127"/>
      <c r="H59" s="106"/>
      <c r="I59" s="106"/>
      <c r="J59" s="106"/>
      <c r="K59" s="127"/>
    </row>
    <row r="60" spans="1:12" x14ac:dyDescent="0.35">
      <c r="D60" s="103"/>
      <c r="E60" s="103"/>
      <c r="F60" s="103"/>
      <c r="G60" s="127"/>
      <c r="H60" s="106"/>
      <c r="I60" s="106"/>
      <c r="J60" s="106"/>
      <c r="K60" s="127"/>
    </row>
    <row r="61" spans="1:12" ht="18.5" x14ac:dyDescent="0.45">
      <c r="A61" s="107" t="s">
        <v>197</v>
      </c>
      <c r="B61" s="107"/>
    </row>
    <row r="62" spans="1:12" x14ac:dyDescent="0.35">
      <c r="B62" t="s">
        <v>193</v>
      </c>
      <c r="D62" s="101">
        <f>D65</f>
        <v>1574.779</v>
      </c>
      <c r="E62" s="101">
        <f>E65-E63</f>
        <v>1810.2197385128904</v>
      </c>
      <c r="F62" s="101">
        <f>E62*1.01</f>
        <v>1828.3219358980193</v>
      </c>
      <c r="G62" s="126">
        <f t="shared" ref="G62:K62" si="18">F62*1.01</f>
        <v>1846.6051552569995</v>
      </c>
      <c r="H62" s="101">
        <f t="shared" si="18"/>
        <v>1865.0712068095695</v>
      </c>
      <c r="I62" s="101">
        <f t="shared" si="18"/>
        <v>1883.7219188776653</v>
      </c>
      <c r="J62" s="101">
        <f t="shared" si="18"/>
        <v>1902.5591380664421</v>
      </c>
      <c r="K62" s="126">
        <f t="shared" si="18"/>
        <v>1921.5847294471066</v>
      </c>
      <c r="L62" s="101"/>
    </row>
    <row r="63" spans="1:12" x14ac:dyDescent="0.35">
      <c r="B63" t="s">
        <v>194</v>
      </c>
      <c r="D63" s="103"/>
      <c r="E63" s="101">
        <v>1879.9622614871093</v>
      </c>
      <c r="F63" s="101">
        <v>528.73890499481013</v>
      </c>
      <c r="G63" s="126">
        <v>254.38002674526047</v>
      </c>
      <c r="H63" s="101">
        <v>207.78441675387188</v>
      </c>
      <c r="I63" s="101">
        <v>107.99598198110886</v>
      </c>
      <c r="J63" s="101">
        <v>91.348568818485461</v>
      </c>
      <c r="K63" s="126">
        <v>85.98974092242338</v>
      </c>
    </row>
    <row r="64" spans="1:12" x14ac:dyDescent="0.35">
      <c r="B64" t="s">
        <v>187</v>
      </c>
      <c r="D64" s="103">
        <v>1842.1</v>
      </c>
      <c r="E64" s="103">
        <f t="shared" ref="E64:K64" si="19">E62+E63</f>
        <v>3690.1819999999998</v>
      </c>
      <c r="F64" s="103">
        <f t="shared" si="19"/>
        <v>2357.0608408928292</v>
      </c>
      <c r="G64" s="127">
        <f t="shared" si="19"/>
        <v>2100.98518200226</v>
      </c>
      <c r="H64" s="103">
        <f t="shared" si="19"/>
        <v>2072.8556235634414</v>
      </c>
      <c r="I64" s="103">
        <f t="shared" si="19"/>
        <v>1991.7179008587741</v>
      </c>
      <c r="J64" s="103">
        <f t="shared" si="19"/>
        <v>1993.9077068849276</v>
      </c>
      <c r="K64" s="127">
        <f t="shared" si="19"/>
        <v>2007.57447036953</v>
      </c>
    </row>
    <row r="65" spans="1:11" x14ac:dyDescent="0.35">
      <c r="B65" t="s">
        <v>185</v>
      </c>
      <c r="D65" s="103">
        <f>D16</f>
        <v>1574.779</v>
      </c>
      <c r="E65" s="103">
        <f t="shared" ref="E65:K65" si="20">E16</f>
        <v>3690.1819999999998</v>
      </c>
      <c r="F65" s="103">
        <f t="shared" si="20"/>
        <v>4022.3023522170502</v>
      </c>
      <c r="G65" s="127">
        <f t="shared" si="20"/>
        <v>3550.4202533538501</v>
      </c>
      <c r="H65" s="103">
        <f t="shared" si="20"/>
        <v>3177.8359541396499</v>
      </c>
      <c r="I65" s="103">
        <f t="shared" si="20"/>
        <v>2876.7404548976301</v>
      </c>
      <c r="J65" s="103">
        <f t="shared" si="20"/>
        <v>2665.0830973586999</v>
      </c>
      <c r="K65" s="127">
        <f t="shared" si="20"/>
        <v>2744.7441275841602</v>
      </c>
    </row>
    <row r="66" spans="1:11" s="98" customFormat="1" x14ac:dyDescent="0.35">
      <c r="B66" s="100" t="s">
        <v>186</v>
      </c>
      <c r="D66" s="104"/>
      <c r="E66" s="104"/>
      <c r="F66" s="104">
        <f t="shared" ref="F66:K66" si="21">F64-F65</f>
        <v>-1665.2415113242209</v>
      </c>
      <c r="G66" s="128">
        <f t="shared" si="21"/>
        <v>-1449.4350713515901</v>
      </c>
      <c r="H66" s="104">
        <f t="shared" si="21"/>
        <v>-1104.9803305762084</v>
      </c>
      <c r="I66" s="104">
        <f t="shared" si="21"/>
        <v>-885.02255403885601</v>
      </c>
      <c r="J66" s="104">
        <f t="shared" si="21"/>
        <v>-671.17539047377227</v>
      </c>
      <c r="K66" s="128">
        <f t="shared" si="21"/>
        <v>-737.16965721463021</v>
      </c>
    </row>
    <row r="67" spans="1:11" s="98" customFormat="1" x14ac:dyDescent="0.35">
      <c r="B67" s="100"/>
      <c r="D67" s="104"/>
      <c r="E67" s="104"/>
      <c r="F67" s="104"/>
      <c r="G67" s="128"/>
      <c r="H67" s="104"/>
      <c r="I67" s="104"/>
      <c r="J67" s="104"/>
      <c r="K67" s="128"/>
    </row>
    <row r="68" spans="1:11" s="98" customFormat="1" x14ac:dyDescent="0.35">
      <c r="B68" s="100"/>
      <c r="D68" s="104"/>
      <c r="E68" s="104"/>
      <c r="F68" s="104"/>
      <c r="G68" s="128"/>
      <c r="H68" s="104"/>
      <c r="I68" s="104"/>
      <c r="J68" s="104"/>
      <c r="K68" s="128"/>
    </row>
    <row r="69" spans="1:11" ht="18.5" x14ac:dyDescent="0.45">
      <c r="A69" s="107" t="s">
        <v>198</v>
      </c>
      <c r="B69" s="107"/>
      <c r="D69" s="103"/>
      <c r="E69" s="103"/>
      <c r="F69" s="103"/>
      <c r="G69" s="127"/>
      <c r="H69" s="106"/>
      <c r="I69" s="106"/>
      <c r="J69" s="106"/>
      <c r="K69" s="127"/>
    </row>
    <row r="70" spans="1:11" x14ac:dyDescent="0.35">
      <c r="B70" t="s">
        <v>4</v>
      </c>
      <c r="D70" s="101"/>
      <c r="E70" s="103">
        <f>main!J25/1000</f>
        <v>1086.78</v>
      </c>
      <c r="F70" s="103">
        <f>main!K25/1000</f>
        <v>1209.7866824324324</v>
      </c>
      <c r="G70" s="103">
        <f>main!L25/1000</f>
        <v>377.71200834658191</v>
      </c>
      <c r="H70" s="103">
        <f>main!M25/1000</f>
        <v>107.15305445151033</v>
      </c>
      <c r="I70" s="103">
        <f>main!N25/1000</f>
        <v>95.030249999999995</v>
      </c>
      <c r="J70" s="103">
        <f>main!O25/1000</f>
        <v>95.030249999999995</v>
      </c>
      <c r="K70" s="103">
        <f>main!P25/1000</f>
        <v>95.030249999999995</v>
      </c>
    </row>
    <row r="71" spans="1:11" x14ac:dyDescent="0.35">
      <c r="B71" t="s">
        <v>185</v>
      </c>
      <c r="D71" s="103">
        <f>D19</f>
        <v>74.5</v>
      </c>
      <c r="E71" s="103">
        <f t="shared" ref="E71:K71" si="22">E19</f>
        <v>1086.2</v>
      </c>
      <c r="F71" s="103">
        <f t="shared" si="22"/>
        <v>1089.81429404597</v>
      </c>
      <c r="G71" s="127">
        <f t="shared" si="22"/>
        <v>1093.3833387142099</v>
      </c>
      <c r="H71" s="103">
        <f t="shared" si="22"/>
        <v>1097.08813151564</v>
      </c>
      <c r="I71" s="103">
        <f t="shared" si="22"/>
        <v>1101.05310823899</v>
      </c>
      <c r="J71" s="103">
        <f t="shared" si="22"/>
        <v>1105.3348306064399</v>
      </c>
      <c r="K71" s="127">
        <f t="shared" si="22"/>
        <v>1109.9502671346299</v>
      </c>
    </row>
    <row r="72" spans="1:11" s="98" customFormat="1" x14ac:dyDescent="0.35">
      <c r="B72" s="100" t="s">
        <v>186</v>
      </c>
      <c r="D72" s="104"/>
      <c r="E72" s="104"/>
      <c r="F72" s="104">
        <f>F70-F71</f>
        <v>119.9723883864624</v>
      </c>
      <c r="G72" s="104">
        <f t="shared" ref="G72:K72" si="23">G70-G71</f>
        <v>-715.671330367628</v>
      </c>
      <c r="H72" s="104">
        <f t="shared" si="23"/>
        <v>-989.9350770641297</v>
      </c>
      <c r="I72" s="104">
        <f t="shared" si="23"/>
        <v>-1006.02285823899</v>
      </c>
      <c r="J72" s="104">
        <f t="shared" si="23"/>
        <v>-1010.3045806064399</v>
      </c>
      <c r="K72" s="104">
        <f t="shared" si="23"/>
        <v>-1014.9200171346299</v>
      </c>
    </row>
    <row r="73" spans="1:11" x14ac:dyDescent="0.35">
      <c r="D73" s="103"/>
      <c r="E73" s="103"/>
      <c r="F73" s="103"/>
      <c r="G73" s="127"/>
      <c r="H73" s="106"/>
      <c r="I73" s="106"/>
      <c r="J73" s="106"/>
      <c r="K73" s="127"/>
    </row>
    <row r="74" spans="1:11" x14ac:dyDescent="0.35">
      <c r="D74" s="103"/>
      <c r="E74" s="103"/>
      <c r="F74" s="103"/>
      <c r="G74" s="127"/>
      <c r="H74" s="106"/>
      <c r="I74" s="106"/>
      <c r="J74" s="106"/>
      <c r="K74" s="127"/>
    </row>
    <row r="75" spans="1:11" ht="18.5" x14ac:dyDescent="0.45">
      <c r="A75" s="107" t="s">
        <v>204</v>
      </c>
      <c r="B75" s="107"/>
      <c r="D75" s="103"/>
      <c r="E75" s="103"/>
      <c r="F75" s="103"/>
      <c r="G75" s="127"/>
      <c r="H75" s="106"/>
      <c r="I75" s="106"/>
      <c r="J75" s="106"/>
      <c r="K75" s="127"/>
    </row>
    <row r="76" spans="1:11" x14ac:dyDescent="0.35">
      <c r="B76" t="s">
        <v>193</v>
      </c>
      <c r="D76" s="101">
        <f>D81</f>
        <v>182.97800000000001</v>
      </c>
      <c r="E76" s="101">
        <f>F81/E81*D76</f>
        <v>800.2945685070531</v>
      </c>
      <c r="F76" s="101">
        <f>F81/E81*E76</f>
        <v>3500.2644929001863</v>
      </c>
      <c r="G76" s="126">
        <f t="shared" ref="G76:K76" si="24">G81/F81*F76</f>
        <v>3444.098831953459</v>
      </c>
      <c r="H76" s="101">
        <f t="shared" si="24"/>
        <v>3365.6878770871931</v>
      </c>
      <c r="I76" s="101">
        <f t="shared" si="24"/>
        <v>3290.9844712075155</v>
      </c>
      <c r="J76" s="101">
        <f t="shared" si="24"/>
        <v>3221.224463976625</v>
      </c>
      <c r="K76" s="126">
        <f t="shared" si="24"/>
        <v>3301.0791480964817</v>
      </c>
    </row>
    <row r="77" spans="1:11" x14ac:dyDescent="0.35">
      <c r="B77" t="s">
        <v>194</v>
      </c>
      <c r="F77" s="103">
        <f>((SUM($F$78:$I$79)/4)/6)*4</f>
        <v>120</v>
      </c>
      <c r="G77" s="127">
        <f t="shared" ref="G77:K77" si="25">((SUM($F$78:$I$79)/4)/6)*4</f>
        <v>120</v>
      </c>
      <c r="H77" s="103">
        <f t="shared" si="25"/>
        <v>120</v>
      </c>
      <c r="I77" s="103">
        <f t="shared" si="25"/>
        <v>120</v>
      </c>
      <c r="J77" s="103">
        <f t="shared" si="25"/>
        <v>120</v>
      </c>
      <c r="K77" s="127">
        <f t="shared" si="25"/>
        <v>120</v>
      </c>
    </row>
    <row r="78" spans="1:11" x14ac:dyDescent="0.35">
      <c r="B78" s="113" t="s">
        <v>205</v>
      </c>
      <c r="F78" s="103">
        <v>300</v>
      </c>
      <c r="G78" s="127">
        <v>150</v>
      </c>
      <c r="H78" s="103">
        <v>100</v>
      </c>
      <c r="I78" s="103">
        <v>50</v>
      </c>
      <c r="J78" s="103"/>
      <c r="K78" s="127"/>
    </row>
    <row r="79" spans="1:11" x14ac:dyDescent="0.35">
      <c r="B79" s="114" t="s">
        <v>206</v>
      </c>
      <c r="F79" s="103">
        <v>17</v>
      </c>
      <c r="G79" s="127">
        <v>50</v>
      </c>
      <c r="H79" s="103">
        <v>35</v>
      </c>
      <c r="I79" s="103">
        <v>18</v>
      </c>
      <c r="J79" s="103"/>
      <c r="K79" s="127"/>
    </row>
    <row r="80" spans="1:11" x14ac:dyDescent="0.35">
      <c r="B80" t="s">
        <v>187</v>
      </c>
      <c r="D80" s="103">
        <f>D76+D77</f>
        <v>182.97800000000001</v>
      </c>
      <c r="E80" s="103">
        <f t="shared" ref="E80:K80" si="26">E76+E77</f>
        <v>800.2945685070531</v>
      </c>
      <c r="F80" s="103">
        <f t="shared" si="26"/>
        <v>3620.2644929001863</v>
      </c>
      <c r="G80" s="127">
        <f t="shared" si="26"/>
        <v>3564.098831953459</v>
      </c>
      <c r="H80" s="103">
        <f t="shared" si="26"/>
        <v>3485.6878770871931</v>
      </c>
      <c r="I80" s="103">
        <f t="shared" si="26"/>
        <v>3410.9844712075155</v>
      </c>
      <c r="J80" s="103">
        <f t="shared" si="26"/>
        <v>3341.224463976625</v>
      </c>
      <c r="K80" s="127">
        <f t="shared" si="26"/>
        <v>3421.0791480964817</v>
      </c>
    </row>
    <row r="81" spans="2:11" x14ac:dyDescent="0.35">
      <c r="B81" t="s">
        <v>185</v>
      </c>
      <c r="D81" s="103">
        <f>D20</f>
        <v>182.97800000000001</v>
      </c>
      <c r="E81" s="103">
        <f t="shared" ref="E81:K81" si="27">E20</f>
        <v>181.51</v>
      </c>
      <c r="F81" s="103">
        <f t="shared" si="27"/>
        <v>793.87394730358403</v>
      </c>
      <c r="G81" s="127">
        <f t="shared" si="27"/>
        <v>781.13535139200803</v>
      </c>
      <c r="H81" s="103">
        <f t="shared" si="27"/>
        <v>763.35143409724697</v>
      </c>
      <c r="I81" s="103">
        <f t="shared" si="27"/>
        <v>746.40840369968305</v>
      </c>
      <c r="J81" s="103">
        <f t="shared" si="27"/>
        <v>730.58655583171605</v>
      </c>
      <c r="K81" s="127">
        <f t="shared" si="27"/>
        <v>748.69791667930303</v>
      </c>
    </row>
    <row r="82" spans="2:11" s="98" customFormat="1" x14ac:dyDescent="0.35">
      <c r="B82" s="100" t="s">
        <v>186</v>
      </c>
      <c r="D82" s="104"/>
      <c r="E82" s="104"/>
      <c r="F82" s="104">
        <f>F80-F81</f>
        <v>2826.3905455966024</v>
      </c>
      <c r="G82" s="128">
        <f t="shared" ref="G82:K82" si="28">G80-G81</f>
        <v>2782.963480561451</v>
      </c>
      <c r="H82" s="104">
        <f t="shared" si="28"/>
        <v>2722.3364429899461</v>
      </c>
      <c r="I82" s="104">
        <f t="shared" si="28"/>
        <v>2664.5760675078327</v>
      </c>
      <c r="J82" s="104">
        <f t="shared" si="28"/>
        <v>2610.637908144909</v>
      </c>
      <c r="K82" s="128">
        <f t="shared" si="28"/>
        <v>2672.3812314171787</v>
      </c>
    </row>
  </sheetData>
  <mergeCells count="7">
    <mergeCell ref="A1:B1"/>
    <mergeCell ref="Z1:AB1"/>
    <mergeCell ref="AC1:AF1"/>
    <mergeCell ref="A2:A5"/>
    <mergeCell ref="C7:F7"/>
    <mergeCell ref="G7:J7"/>
    <mergeCell ref="K7:N7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29D8-3B4C-4287-8349-C362C52DEB32}">
  <dimension ref="A1:W38"/>
  <sheetViews>
    <sheetView topLeftCell="A13" workbookViewId="0">
      <selection activeCell="J5" sqref="J5"/>
    </sheetView>
  </sheetViews>
  <sheetFormatPr defaultRowHeight="14.5" x14ac:dyDescent="0.35"/>
  <cols>
    <col min="1" max="1" width="6.54296875" customWidth="1"/>
    <col min="2" max="2" width="62.453125" customWidth="1"/>
    <col min="3" max="10" width="12.453125" customWidth="1"/>
  </cols>
  <sheetData>
    <row r="1" spans="1:23" x14ac:dyDescent="0.35">
      <c r="K1" s="46"/>
      <c r="L1" s="46"/>
    </row>
    <row r="2" spans="1:23" x14ac:dyDescent="0.35">
      <c r="A2" s="157" t="s">
        <v>106</v>
      </c>
      <c r="B2" s="157"/>
      <c r="C2" s="157"/>
      <c r="D2" s="157"/>
      <c r="E2" s="157"/>
      <c r="F2" s="157"/>
      <c r="G2" s="157"/>
      <c r="H2" s="157"/>
      <c r="I2" s="157"/>
      <c r="J2" s="77"/>
    </row>
    <row r="3" spans="1:23" x14ac:dyDescent="0.35">
      <c r="A3" s="157" t="s">
        <v>107</v>
      </c>
      <c r="B3" s="157"/>
      <c r="C3" s="157"/>
      <c r="D3" s="157"/>
      <c r="E3" s="157"/>
      <c r="F3" s="157"/>
      <c r="G3" s="157"/>
      <c r="H3" s="157"/>
      <c r="I3" s="157"/>
      <c r="J3" s="77"/>
    </row>
    <row r="4" spans="1:23" ht="15" thickBot="1" x14ac:dyDescent="0.4">
      <c r="A4" s="158"/>
      <c r="B4" s="158"/>
      <c r="C4" s="158"/>
      <c r="D4" s="158"/>
      <c r="E4" s="158"/>
      <c r="F4" s="158"/>
      <c r="G4" s="158"/>
      <c r="H4" s="158"/>
      <c r="I4" s="158"/>
      <c r="J4" s="163" t="s">
        <v>167</v>
      </c>
      <c r="K4" s="163"/>
      <c r="L4" s="163"/>
      <c r="M4" s="163"/>
    </row>
    <row r="5" spans="1:23" x14ac:dyDescent="0.35">
      <c r="A5" s="47"/>
      <c r="B5" s="48"/>
      <c r="C5" s="159" t="s">
        <v>108</v>
      </c>
      <c r="D5" s="160"/>
      <c r="E5" s="160"/>
      <c r="F5" s="160"/>
      <c r="G5" s="160"/>
      <c r="H5" s="160"/>
      <c r="I5" s="161"/>
      <c r="J5" s="78"/>
      <c r="K5" s="162" t="s">
        <v>109</v>
      </c>
      <c r="L5" s="141"/>
      <c r="M5" s="141"/>
    </row>
    <row r="6" spans="1:23" x14ac:dyDescent="0.35">
      <c r="A6" s="1" t="s">
        <v>111</v>
      </c>
      <c r="B6" s="49"/>
      <c r="C6" s="153">
        <v>2020</v>
      </c>
      <c r="D6" s="154"/>
      <c r="E6" s="154"/>
      <c r="F6" s="154"/>
      <c r="G6" s="154"/>
      <c r="H6" s="154"/>
      <c r="I6" s="155"/>
      <c r="J6" s="78" t="s">
        <v>137</v>
      </c>
      <c r="K6" t="s">
        <v>112</v>
      </c>
      <c r="L6" t="s">
        <v>113</v>
      </c>
      <c r="M6" t="s">
        <v>114</v>
      </c>
      <c r="N6" t="s">
        <v>137</v>
      </c>
      <c r="O6" t="s">
        <v>112</v>
      </c>
      <c r="P6" t="s">
        <v>113</v>
      </c>
      <c r="Q6" t="s">
        <v>114</v>
      </c>
      <c r="R6" t="s">
        <v>137</v>
      </c>
    </row>
    <row r="7" spans="1:23" x14ac:dyDescent="0.35">
      <c r="A7" s="50"/>
      <c r="B7" s="51"/>
      <c r="C7" s="52" t="s">
        <v>115</v>
      </c>
      <c r="D7" s="53" t="s">
        <v>116</v>
      </c>
      <c r="E7" s="54" t="s">
        <v>117</v>
      </c>
      <c r="F7" s="55" t="s">
        <v>118</v>
      </c>
      <c r="G7" s="55" t="s">
        <v>119</v>
      </c>
      <c r="H7" s="55" t="s">
        <v>120</v>
      </c>
      <c r="I7" s="56" t="s">
        <v>121</v>
      </c>
      <c r="J7" s="78"/>
    </row>
    <row r="8" spans="1:23" x14ac:dyDescent="0.35">
      <c r="A8" s="57">
        <v>23</v>
      </c>
      <c r="B8" s="58" t="s">
        <v>132</v>
      </c>
      <c r="C8" s="59">
        <v>28.1</v>
      </c>
      <c r="D8" s="60">
        <v>27.8</v>
      </c>
      <c r="E8" s="61">
        <v>74.400000000000006</v>
      </c>
      <c r="F8" s="60">
        <v>495.8</v>
      </c>
      <c r="G8" s="61">
        <v>1372.3</v>
      </c>
      <c r="H8" s="60">
        <v>1469.5</v>
      </c>
      <c r="I8" s="61">
        <v>1364</v>
      </c>
      <c r="J8" s="82">
        <v>27.8</v>
      </c>
      <c r="K8" s="73">
        <v>43.4</v>
      </c>
      <c r="L8" s="73">
        <f>AVERAGE(F8:H8)</f>
        <v>1112.5333333333333</v>
      </c>
      <c r="M8" s="73">
        <f>4*M26</f>
        <v>1044.2666666666667</v>
      </c>
    </row>
    <row r="9" spans="1:23" ht="16.5" x14ac:dyDescent="0.35">
      <c r="B9" s="74" t="s">
        <v>133</v>
      </c>
      <c r="C9" s="62"/>
      <c r="D9" s="63"/>
      <c r="E9" s="64"/>
      <c r="F9" s="63"/>
      <c r="G9" s="64"/>
      <c r="H9" s="63"/>
      <c r="I9" s="64"/>
      <c r="J9" s="82"/>
      <c r="K9" s="73"/>
      <c r="L9" s="73"/>
      <c r="M9" s="73"/>
      <c r="W9" s="72"/>
    </row>
    <row r="10" spans="1:23" x14ac:dyDescent="0.35">
      <c r="A10">
        <v>24</v>
      </c>
      <c r="B10" s="75" t="s">
        <v>134</v>
      </c>
      <c r="C10" s="62"/>
      <c r="D10" s="63"/>
      <c r="E10" s="64"/>
      <c r="F10" s="63">
        <v>1</v>
      </c>
      <c r="G10" s="64">
        <v>7.4</v>
      </c>
      <c r="H10" s="63">
        <v>12.8</v>
      </c>
      <c r="I10" s="64">
        <v>16.899999999999999</v>
      </c>
      <c r="J10" s="82" t="s">
        <v>146</v>
      </c>
      <c r="K10" s="73"/>
      <c r="L10" s="73">
        <f t="shared" ref="L10:L12" si="0">AVERAGE(F10:H10)</f>
        <v>7.0666666666666673</v>
      </c>
      <c r="M10" s="73">
        <f t="shared" ref="M10:N12" si="1">4*M28</f>
        <v>37.413333333333327</v>
      </c>
      <c r="N10">
        <f t="shared" si="1"/>
        <v>60</v>
      </c>
    </row>
    <row r="11" spans="1:23" x14ac:dyDescent="0.35">
      <c r="A11" s="57">
        <v>25</v>
      </c>
      <c r="B11" s="76" t="s">
        <v>135</v>
      </c>
      <c r="C11" s="59"/>
      <c r="D11" s="60"/>
      <c r="E11" s="61"/>
      <c r="F11" s="60">
        <v>30.9</v>
      </c>
      <c r="G11" s="61">
        <v>138.4</v>
      </c>
      <c r="H11" s="60">
        <v>198.9</v>
      </c>
      <c r="I11" s="61">
        <v>184.3</v>
      </c>
      <c r="J11" s="82" t="s">
        <v>145</v>
      </c>
      <c r="K11" s="73"/>
      <c r="L11" s="73">
        <f t="shared" si="0"/>
        <v>122.73333333333335</v>
      </c>
      <c r="M11" s="73">
        <f t="shared" si="1"/>
        <v>146.10666666666663</v>
      </c>
      <c r="N11">
        <f t="shared" si="1"/>
        <v>40</v>
      </c>
      <c r="O11">
        <v>0</v>
      </c>
      <c r="P11">
        <v>0</v>
      </c>
      <c r="Q11">
        <v>0</v>
      </c>
      <c r="R11">
        <v>0</v>
      </c>
    </row>
    <row r="12" spans="1:23" x14ac:dyDescent="0.35">
      <c r="A12">
        <v>26</v>
      </c>
      <c r="B12" s="75" t="s">
        <v>136</v>
      </c>
      <c r="C12" s="62"/>
      <c r="D12" s="63"/>
      <c r="E12" s="64"/>
      <c r="F12" s="63">
        <v>172.6</v>
      </c>
      <c r="G12" s="64">
        <v>907.8</v>
      </c>
      <c r="H12" s="63">
        <v>977.8</v>
      </c>
      <c r="I12" s="64">
        <v>901.7</v>
      </c>
      <c r="J12" s="82" t="s">
        <v>144</v>
      </c>
      <c r="K12" s="73"/>
      <c r="L12" s="73">
        <f t="shared" si="0"/>
        <v>686.06666666666661</v>
      </c>
      <c r="M12" s="73">
        <f t="shared" si="1"/>
        <v>456.1733333333334</v>
      </c>
      <c r="N12">
        <f t="shared" si="1"/>
        <v>20</v>
      </c>
    </row>
    <row r="13" spans="1:23" x14ac:dyDescent="0.35">
      <c r="J13" s="35" t="s">
        <v>142</v>
      </c>
      <c r="L13" s="73">
        <f>12</f>
        <v>12</v>
      </c>
      <c r="M13" s="73">
        <f>12</f>
        <v>12</v>
      </c>
      <c r="N13">
        <f>4*N31</f>
        <v>8</v>
      </c>
    </row>
    <row r="15" spans="1:23" x14ac:dyDescent="0.35">
      <c r="J15" t="s">
        <v>139</v>
      </c>
    </row>
    <row r="17" spans="3:19" x14ac:dyDescent="0.35">
      <c r="D17" t="s">
        <v>122</v>
      </c>
      <c r="I17" s="79" t="s">
        <v>140</v>
      </c>
      <c r="J17" s="80">
        <f t="shared" ref="J17:K17" si="2">4*J37</f>
        <v>0</v>
      </c>
      <c r="K17" s="80">
        <f t="shared" si="2"/>
        <v>0</v>
      </c>
      <c r="L17" s="80">
        <f>4*L37</f>
        <v>834.93333333333328</v>
      </c>
      <c r="M17" s="80">
        <f t="shared" ref="M17:R17" si="3">4*M37</f>
        <v>689.10666666666668</v>
      </c>
      <c r="N17" s="80">
        <f t="shared" si="3"/>
        <v>188</v>
      </c>
      <c r="O17" s="80">
        <f t="shared" si="3"/>
        <v>40</v>
      </c>
      <c r="P17" s="80">
        <f t="shared" si="3"/>
        <v>40</v>
      </c>
      <c r="Q17" s="80">
        <f t="shared" si="3"/>
        <v>40</v>
      </c>
      <c r="R17" s="80">
        <f t="shared" si="3"/>
        <v>40</v>
      </c>
    </row>
    <row r="18" spans="3:19" x14ac:dyDescent="0.35">
      <c r="I18" s="79" t="s">
        <v>141</v>
      </c>
      <c r="J18" s="80">
        <f t="shared" ref="J18:K18" si="4">4*J38</f>
        <v>27.8</v>
      </c>
      <c r="K18" s="80">
        <f t="shared" si="4"/>
        <v>43.4</v>
      </c>
      <c r="L18" s="80">
        <f>4*L38</f>
        <v>277.60000000000002</v>
      </c>
      <c r="M18" s="80">
        <f t="shared" ref="M18:R18" si="5">4*M38</f>
        <v>355.15999999999997</v>
      </c>
      <c r="N18" s="80">
        <f t="shared" si="5"/>
        <v>104</v>
      </c>
      <c r="O18" s="80">
        <f t="shared" si="5"/>
        <v>100</v>
      </c>
      <c r="P18" s="80">
        <f t="shared" si="5"/>
        <v>96</v>
      </c>
      <c r="Q18" s="80">
        <f t="shared" si="5"/>
        <v>60</v>
      </c>
      <c r="R18" s="80">
        <f t="shared" si="5"/>
        <v>40</v>
      </c>
    </row>
    <row r="19" spans="3:19" x14ac:dyDescent="0.35">
      <c r="C19" s="65"/>
      <c r="D19" s="65"/>
      <c r="E19" s="65"/>
      <c r="F19" s="66">
        <v>2020</v>
      </c>
      <c r="G19" s="66">
        <v>2021</v>
      </c>
      <c r="H19">
        <v>2022</v>
      </c>
    </row>
    <row r="20" spans="3:19" ht="58" x14ac:dyDescent="0.35">
      <c r="C20" s="67"/>
      <c r="D20" s="67"/>
      <c r="E20" s="67"/>
      <c r="F20" s="68"/>
      <c r="G20" s="68"/>
      <c r="M20" s="81" t="s">
        <v>138</v>
      </c>
    </row>
    <row r="21" spans="3:19" x14ac:dyDescent="0.35">
      <c r="C21" s="69" t="s">
        <v>123</v>
      </c>
      <c r="D21" s="69"/>
      <c r="E21" s="69"/>
      <c r="F21" s="70"/>
      <c r="G21" s="67"/>
    </row>
    <row r="22" spans="3:19" x14ac:dyDescent="0.35">
      <c r="C22" s="69"/>
      <c r="D22" s="71" t="s">
        <v>124</v>
      </c>
      <c r="E22" s="69"/>
      <c r="F22" s="70">
        <v>285.56</v>
      </c>
      <c r="G22" s="70">
        <v>5</v>
      </c>
      <c r="H22">
        <v>0</v>
      </c>
    </row>
    <row r="23" spans="3:19" x14ac:dyDescent="0.35">
      <c r="C23" s="67"/>
      <c r="D23" s="69" t="s">
        <v>125</v>
      </c>
      <c r="E23" s="67"/>
      <c r="F23" s="70">
        <v>67.209999999999994</v>
      </c>
      <c r="G23" s="70">
        <v>13.68</v>
      </c>
      <c r="H23">
        <v>0</v>
      </c>
      <c r="J23" s="156" t="s">
        <v>110</v>
      </c>
      <c r="K23" s="156"/>
      <c r="L23" s="156"/>
      <c r="M23" s="156"/>
      <c r="N23" s="35" t="s">
        <v>150</v>
      </c>
      <c r="O23" s="35"/>
      <c r="P23" s="35"/>
      <c r="Q23" s="35"/>
    </row>
    <row r="24" spans="3:19" x14ac:dyDescent="0.35">
      <c r="C24" s="67"/>
      <c r="D24" s="69" t="s">
        <v>126</v>
      </c>
      <c r="E24" s="67"/>
      <c r="F24" s="70">
        <v>11.12</v>
      </c>
      <c r="G24" s="70">
        <v>47.8</v>
      </c>
      <c r="H24">
        <v>0</v>
      </c>
      <c r="J24" s="35" t="s">
        <v>137</v>
      </c>
      <c r="K24" s="35" t="s">
        <v>112</v>
      </c>
      <c r="L24" s="35" t="s">
        <v>113</v>
      </c>
      <c r="M24" s="35" t="s">
        <v>114</v>
      </c>
      <c r="N24" s="35" t="s">
        <v>137</v>
      </c>
      <c r="O24" s="35" t="s">
        <v>6</v>
      </c>
      <c r="P24" s="35" t="s">
        <v>7</v>
      </c>
      <c r="Q24" s="35" t="s">
        <v>8</v>
      </c>
      <c r="R24" s="35" t="s">
        <v>5</v>
      </c>
    </row>
    <row r="25" spans="3:19" x14ac:dyDescent="0.35">
      <c r="C25" s="67"/>
      <c r="D25" s="69" t="s">
        <v>60</v>
      </c>
      <c r="E25" s="67"/>
      <c r="F25" s="70">
        <v>6.2149999999999999</v>
      </c>
      <c r="G25" s="70">
        <v>5.0049999999999999</v>
      </c>
      <c r="H25">
        <v>0</v>
      </c>
      <c r="J25" s="35"/>
      <c r="K25" s="35"/>
      <c r="L25" s="35"/>
      <c r="M25" s="35"/>
      <c r="N25" s="35"/>
      <c r="O25" s="35"/>
      <c r="P25" s="35"/>
      <c r="Q25" s="35"/>
    </row>
    <row r="26" spans="3:19" x14ac:dyDescent="0.35">
      <c r="C26" s="67"/>
      <c r="D26" s="69"/>
      <c r="E26" s="67"/>
      <c r="F26" s="70" t="s">
        <v>99</v>
      </c>
      <c r="G26" s="70" t="s">
        <v>99</v>
      </c>
      <c r="J26" s="83">
        <f>J8/4</f>
        <v>6.95</v>
      </c>
      <c r="K26" s="83">
        <f>K8/4</f>
        <v>10.85</v>
      </c>
      <c r="L26" s="83">
        <f>L8/4</f>
        <v>278.13333333333333</v>
      </c>
      <c r="M26" s="83">
        <f>F29-L26-K26-J26</f>
        <v>261.06666666666666</v>
      </c>
      <c r="N26" s="84">
        <f>N33+N34</f>
        <v>57</v>
      </c>
      <c r="O26" s="84">
        <f>O33+O34</f>
        <v>51</v>
      </c>
      <c r="P26" s="84">
        <f>P33+P34</f>
        <v>37</v>
      </c>
      <c r="Q26" s="84">
        <f>Q33+Q34</f>
        <v>22</v>
      </c>
      <c r="R26" s="72">
        <v>20</v>
      </c>
      <c r="S26" s="72"/>
    </row>
    <row r="27" spans="3:19" x14ac:dyDescent="0.35">
      <c r="C27" s="67"/>
      <c r="D27" s="69"/>
      <c r="E27" s="67" t="s">
        <v>127</v>
      </c>
      <c r="F27" s="70">
        <v>370.10500000000002</v>
      </c>
      <c r="G27" s="70">
        <v>71.484999999999999</v>
      </c>
      <c r="H27">
        <v>0</v>
      </c>
      <c r="J27" s="83"/>
      <c r="K27" s="83"/>
      <c r="L27" s="83"/>
      <c r="M27" s="83"/>
      <c r="N27" s="84"/>
      <c r="O27" s="35"/>
      <c r="P27" s="35"/>
      <c r="Q27" s="35"/>
      <c r="R27" s="72"/>
    </row>
    <row r="28" spans="3:19" x14ac:dyDescent="0.35">
      <c r="I28" s="82" t="s">
        <v>146</v>
      </c>
      <c r="J28" s="83">
        <v>0</v>
      </c>
      <c r="K28" s="83">
        <f t="shared" ref="K28:L30" si="6">K10/4</f>
        <v>0</v>
      </c>
      <c r="L28" s="83">
        <f t="shared" si="6"/>
        <v>1.7666666666666668</v>
      </c>
      <c r="M28" s="83">
        <f>F24-L28</f>
        <v>9.3533333333333317</v>
      </c>
      <c r="N28" s="84">
        <v>15</v>
      </c>
      <c r="O28" s="35">
        <v>20</v>
      </c>
      <c r="P28" s="35">
        <v>13</v>
      </c>
      <c r="Q28" s="35">
        <v>0</v>
      </c>
      <c r="R28" s="72">
        <v>0</v>
      </c>
    </row>
    <row r="29" spans="3:19" x14ac:dyDescent="0.35">
      <c r="C29" t="s">
        <v>128</v>
      </c>
      <c r="F29">
        <f>557</f>
        <v>557</v>
      </c>
      <c r="G29">
        <v>166</v>
      </c>
      <c r="H29">
        <v>67</v>
      </c>
      <c r="I29" s="82" t="s">
        <v>145</v>
      </c>
      <c r="J29" s="83">
        <v>0</v>
      </c>
      <c r="K29" s="83">
        <f t="shared" si="6"/>
        <v>0</v>
      </c>
      <c r="L29" s="83">
        <f t="shared" si="6"/>
        <v>30.683333333333337</v>
      </c>
      <c r="M29" s="83">
        <f>F23-L29</f>
        <v>36.526666666666657</v>
      </c>
      <c r="N29" s="84">
        <v>10</v>
      </c>
      <c r="O29" s="35">
        <v>4</v>
      </c>
      <c r="P29" s="35">
        <v>0</v>
      </c>
      <c r="Q29" s="35">
        <v>0</v>
      </c>
      <c r="R29" s="72"/>
    </row>
    <row r="30" spans="3:19" x14ac:dyDescent="0.35">
      <c r="C30" t="s">
        <v>129</v>
      </c>
      <c r="F30" s="72">
        <f>F29-F27</f>
        <v>186.89499999999998</v>
      </c>
      <c r="G30" s="72">
        <f>G29-G27</f>
        <v>94.515000000000001</v>
      </c>
      <c r="H30">
        <f>H29</f>
        <v>67</v>
      </c>
      <c r="I30" s="82" t="s">
        <v>144</v>
      </c>
      <c r="J30" s="83">
        <v>0</v>
      </c>
      <c r="K30" s="83">
        <f t="shared" si="6"/>
        <v>0</v>
      </c>
      <c r="L30" s="83">
        <f t="shared" si="6"/>
        <v>171.51666666666665</v>
      </c>
      <c r="M30" s="83">
        <f>F22-L30</f>
        <v>114.04333333333335</v>
      </c>
      <c r="N30" s="84">
        <v>5</v>
      </c>
      <c r="O30" s="84">
        <v>0</v>
      </c>
      <c r="P30" s="35">
        <v>0</v>
      </c>
      <c r="Q30" s="35">
        <v>0</v>
      </c>
      <c r="R30" s="72"/>
    </row>
    <row r="31" spans="3:19" x14ac:dyDescent="0.35">
      <c r="C31" t="s">
        <v>130</v>
      </c>
      <c r="F31" s="72">
        <f>F24</f>
        <v>11.12</v>
      </c>
      <c r="G31" s="72">
        <f>G24</f>
        <v>47.8</v>
      </c>
      <c r="H31">
        <f>24</f>
        <v>24</v>
      </c>
      <c r="I31" s="35" t="s">
        <v>142</v>
      </c>
      <c r="J31" s="35"/>
      <c r="K31" s="35"/>
      <c r="L31" s="83">
        <f>L13/4</f>
        <v>3</v>
      </c>
      <c r="M31" s="83">
        <f>M13/4</f>
        <v>3</v>
      </c>
      <c r="N31" s="84">
        <v>2</v>
      </c>
      <c r="O31" s="35">
        <v>2</v>
      </c>
      <c r="P31" s="35">
        <v>1</v>
      </c>
      <c r="Q31" s="35">
        <v>0</v>
      </c>
      <c r="R31" s="72"/>
    </row>
    <row r="32" spans="3:19" x14ac:dyDescent="0.35">
      <c r="C32" t="s">
        <v>131</v>
      </c>
      <c r="F32" s="72">
        <f>F30-F31</f>
        <v>175.77499999999998</v>
      </c>
      <c r="G32" s="72">
        <f>G30-G31</f>
        <v>46.715000000000003</v>
      </c>
      <c r="H32">
        <f>H29-H31</f>
        <v>43</v>
      </c>
      <c r="M32" s="72"/>
    </row>
    <row r="33" spans="4:19" x14ac:dyDescent="0.35">
      <c r="I33" s="85" t="s">
        <v>147</v>
      </c>
      <c r="L33" s="72">
        <f t="shared" ref="L33:Q33" si="7">SUM(L28:L31)</f>
        <v>206.96666666666664</v>
      </c>
      <c r="M33" s="72">
        <f t="shared" si="7"/>
        <v>162.92333333333335</v>
      </c>
      <c r="N33" s="72">
        <f t="shared" si="7"/>
        <v>32</v>
      </c>
      <c r="O33" s="72">
        <f t="shared" si="7"/>
        <v>26</v>
      </c>
      <c r="P33" s="72">
        <f t="shared" si="7"/>
        <v>14</v>
      </c>
      <c r="Q33" s="72">
        <f t="shared" si="7"/>
        <v>0</v>
      </c>
      <c r="R33" s="72"/>
    </row>
    <row r="34" spans="4:19" x14ac:dyDescent="0.35">
      <c r="I34" t="s">
        <v>148</v>
      </c>
      <c r="J34" s="72">
        <f>J26-J33</f>
        <v>6.95</v>
      </c>
      <c r="K34" s="72">
        <f>K26-K33</f>
        <v>10.85</v>
      </c>
      <c r="L34" s="72">
        <f>L26-L33</f>
        <v>71.166666666666686</v>
      </c>
      <c r="M34" s="72">
        <f>M26-M33</f>
        <v>98.143333333333317</v>
      </c>
      <c r="N34" s="72">
        <v>25</v>
      </c>
      <c r="O34" s="72">
        <v>25</v>
      </c>
      <c r="P34" s="72">
        <v>23</v>
      </c>
      <c r="Q34" s="72">
        <v>22</v>
      </c>
      <c r="R34" s="72">
        <v>20</v>
      </c>
      <c r="S34" s="72"/>
    </row>
    <row r="35" spans="4:19" x14ac:dyDescent="0.35">
      <c r="M35" s="72">
        <f>SUM(J34:M34)</f>
        <v>187.11</v>
      </c>
      <c r="Q35" s="72"/>
    </row>
    <row r="37" spans="4:19" x14ac:dyDescent="0.35">
      <c r="D37" s="72"/>
      <c r="E37" s="72"/>
      <c r="I37" t="s">
        <v>149</v>
      </c>
      <c r="J37" s="72">
        <f>J33+J28</f>
        <v>0</v>
      </c>
      <c r="K37" s="72">
        <f t="shared" ref="K37:N37" si="8">K33+K28</f>
        <v>0</v>
      </c>
      <c r="L37" s="72">
        <f t="shared" si="8"/>
        <v>208.73333333333332</v>
      </c>
      <c r="M37" s="72">
        <f t="shared" si="8"/>
        <v>172.27666666666667</v>
      </c>
      <c r="N37" s="72">
        <f t="shared" si="8"/>
        <v>47</v>
      </c>
      <c r="O37" s="72">
        <v>10</v>
      </c>
      <c r="P37" s="72">
        <v>10</v>
      </c>
      <c r="Q37" s="72">
        <v>10</v>
      </c>
      <c r="R37" s="72">
        <v>10</v>
      </c>
    </row>
    <row r="38" spans="4:19" x14ac:dyDescent="0.35">
      <c r="I38" t="s">
        <v>131</v>
      </c>
      <c r="J38" s="72">
        <f>J26-J37</f>
        <v>6.95</v>
      </c>
      <c r="K38" s="72">
        <f t="shared" ref="K38:R38" si="9">K26-K37</f>
        <v>10.85</v>
      </c>
      <c r="L38" s="72">
        <f t="shared" si="9"/>
        <v>69.400000000000006</v>
      </c>
      <c r="M38" s="72">
        <f t="shared" si="9"/>
        <v>88.789999999999992</v>
      </c>
      <c r="N38" s="72">
        <v>26</v>
      </c>
      <c r="O38" s="72">
        <v>25</v>
      </c>
      <c r="P38" s="72">
        <v>24</v>
      </c>
      <c r="Q38" s="72">
        <v>15</v>
      </c>
      <c r="R38" s="72">
        <f t="shared" si="9"/>
        <v>10</v>
      </c>
    </row>
  </sheetData>
  <mergeCells count="8">
    <mergeCell ref="C6:I6"/>
    <mergeCell ref="J23:M23"/>
    <mergeCell ref="A2:I2"/>
    <mergeCell ref="A3:I3"/>
    <mergeCell ref="A4:I4"/>
    <mergeCell ref="C5:I5"/>
    <mergeCell ref="K5:M5"/>
    <mergeCell ref="J4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2277-50A8-4EC7-9AFE-96BB2900F5B9}">
  <dimension ref="A1:T55"/>
  <sheetViews>
    <sheetView workbookViewId="0">
      <selection activeCell="G19" sqref="G19"/>
    </sheetView>
  </sheetViews>
  <sheetFormatPr defaultRowHeight="14.5" x14ac:dyDescent="0.35"/>
  <sheetData>
    <row r="1" spans="1:18" x14ac:dyDescent="0.35">
      <c r="A1" t="s">
        <v>87</v>
      </c>
    </row>
    <row r="2" spans="1:18" x14ac:dyDescent="0.35">
      <c r="A2" t="s">
        <v>88</v>
      </c>
    </row>
    <row r="4" spans="1:18" x14ac:dyDescent="0.35">
      <c r="A4" s="36" t="s">
        <v>96</v>
      </c>
      <c r="B4" s="36"/>
      <c r="C4" s="36"/>
      <c r="D4" s="36"/>
      <c r="E4" s="37" t="s">
        <v>37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18" t="s">
        <v>38</v>
      </c>
      <c r="R4" s="18" t="s">
        <v>38</v>
      </c>
    </row>
    <row r="5" spans="1:18" x14ac:dyDescent="0.35">
      <c r="A5" s="39"/>
      <c r="B5" s="39"/>
      <c r="C5" s="39"/>
      <c r="D5" s="40"/>
      <c r="E5" s="22">
        <v>2019</v>
      </c>
      <c r="F5" s="22">
        <v>2020</v>
      </c>
      <c r="G5" s="22">
        <v>2021</v>
      </c>
      <c r="H5" s="22">
        <v>2022</v>
      </c>
      <c r="I5" s="22">
        <v>2023</v>
      </c>
      <c r="J5" s="22">
        <v>2024</v>
      </c>
      <c r="K5" s="22">
        <v>2025</v>
      </c>
      <c r="L5" s="22">
        <v>2026</v>
      </c>
      <c r="M5" s="22">
        <v>2027</v>
      </c>
      <c r="N5" s="22">
        <v>2028</v>
      </c>
      <c r="O5" s="22">
        <v>2029</v>
      </c>
      <c r="P5" s="22">
        <v>2030</v>
      </c>
      <c r="Q5" s="22">
        <v>2025</v>
      </c>
      <c r="R5" s="22">
        <v>2030</v>
      </c>
    </row>
    <row r="6" spans="1:18" x14ac:dyDescent="0.35">
      <c r="A6" s="41"/>
      <c r="B6" s="41"/>
      <c r="C6" s="41"/>
      <c r="D6" s="41"/>
      <c r="E6" s="165" t="s">
        <v>89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</row>
    <row r="7" spans="1:18" x14ac:dyDescent="0.35">
      <c r="A7" s="164" t="s">
        <v>90</v>
      </c>
      <c r="B7" s="164"/>
      <c r="C7" s="164"/>
      <c r="D7" s="164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</row>
    <row r="8" spans="1:18" x14ac:dyDescent="0.35">
      <c r="A8" s="36"/>
      <c r="B8" s="164" t="s">
        <v>91</v>
      </c>
      <c r="C8" s="164"/>
      <c r="D8" s="164"/>
      <c r="E8" s="42">
        <v>1717.857</v>
      </c>
      <c r="F8" s="42">
        <v>1533.181</v>
      </c>
      <c r="G8" s="42">
        <v>1571.079</v>
      </c>
      <c r="H8" s="42">
        <v>1820.96</v>
      </c>
      <c r="I8" s="42">
        <v>1912.7429999999999</v>
      </c>
      <c r="J8" s="42">
        <v>1981.9649999999999</v>
      </c>
      <c r="K8" s="42">
        <v>2089.1390000000001</v>
      </c>
      <c r="L8" s="42">
        <v>2333.9029999999998</v>
      </c>
      <c r="M8" s="42">
        <v>2568.991</v>
      </c>
      <c r="N8" s="42">
        <v>2676.59</v>
      </c>
      <c r="O8" s="42">
        <v>2791.902</v>
      </c>
      <c r="P8" s="42">
        <v>2906.4380000000001</v>
      </c>
      <c r="Q8" s="42">
        <v>9375.8860000000004</v>
      </c>
      <c r="R8" s="42">
        <v>22653.71</v>
      </c>
    </row>
    <row r="9" spans="1:18" x14ac:dyDescent="0.35">
      <c r="A9" s="36"/>
      <c r="B9" s="164" t="s">
        <v>92</v>
      </c>
      <c r="C9" s="164"/>
      <c r="D9" s="164"/>
      <c r="E9" s="42">
        <v>1243.3720000000001</v>
      </c>
      <c r="F9" s="42">
        <v>1313.463</v>
      </c>
      <c r="G9" s="42">
        <v>1245.848</v>
      </c>
      <c r="H9" s="42">
        <v>1334.6990000000001</v>
      </c>
      <c r="I9" s="42">
        <v>1412.018</v>
      </c>
      <c r="J9" s="42">
        <v>1462.884</v>
      </c>
      <c r="K9" s="42">
        <v>1507.4</v>
      </c>
      <c r="L9" s="42">
        <v>1567.104</v>
      </c>
      <c r="M9" s="42">
        <v>1627.4010000000001</v>
      </c>
      <c r="N9" s="42">
        <v>1689.1659999999999</v>
      </c>
      <c r="O9" s="42">
        <v>1750.2249999999999</v>
      </c>
      <c r="P9" s="42">
        <v>1809.9739999999999</v>
      </c>
      <c r="Q9" s="42">
        <v>6962.8490000000002</v>
      </c>
      <c r="R9" s="42">
        <v>15406.718999999999</v>
      </c>
    </row>
    <row r="10" spans="1:18" x14ac:dyDescent="0.35">
      <c r="A10" s="36"/>
      <c r="B10" s="164" t="s">
        <v>93</v>
      </c>
      <c r="C10" s="164"/>
      <c r="D10" s="164"/>
      <c r="E10" s="42">
        <v>230.245</v>
      </c>
      <c r="F10" s="42">
        <v>151.084</v>
      </c>
      <c r="G10" s="42">
        <v>122.754</v>
      </c>
      <c r="H10" s="42">
        <v>234.07599999999999</v>
      </c>
      <c r="I10" s="42">
        <v>289.27600000000001</v>
      </c>
      <c r="J10" s="42">
        <v>318.899</v>
      </c>
      <c r="K10" s="42">
        <v>347.32900000000001</v>
      </c>
      <c r="L10" s="42">
        <v>352.27699999999999</v>
      </c>
      <c r="M10" s="42">
        <v>355.589</v>
      </c>
      <c r="N10" s="42">
        <v>368.08600000000001</v>
      </c>
      <c r="O10" s="42">
        <v>377.565</v>
      </c>
      <c r="P10" s="42">
        <v>386.58199999999999</v>
      </c>
      <c r="Q10" s="42">
        <v>1312.3340000000001</v>
      </c>
      <c r="R10" s="42">
        <v>3152.433</v>
      </c>
    </row>
    <row r="11" spans="1:18" x14ac:dyDescent="0.35">
      <c r="A11" s="36"/>
      <c r="B11" s="164" t="s">
        <v>60</v>
      </c>
      <c r="C11" s="164"/>
      <c r="D11" s="164"/>
      <c r="E11" s="42">
        <v>271.327</v>
      </c>
      <c r="F11" s="42">
        <v>297.779</v>
      </c>
      <c r="G11" s="42">
        <v>316.37700000000001</v>
      </c>
      <c r="H11" s="42">
        <v>349.38600000000002</v>
      </c>
      <c r="I11" s="42">
        <v>366.04599999999999</v>
      </c>
      <c r="J11" s="42">
        <v>381.91</v>
      </c>
      <c r="K11" s="42">
        <v>390.11799999999999</v>
      </c>
      <c r="L11" s="42">
        <v>402.255</v>
      </c>
      <c r="M11" s="42">
        <v>400.24299999999999</v>
      </c>
      <c r="N11" s="42">
        <v>388.892</v>
      </c>
      <c r="O11" s="42">
        <v>375.959</v>
      </c>
      <c r="P11" s="42">
        <v>354.14499999999998</v>
      </c>
      <c r="Q11" s="42">
        <v>1803.837</v>
      </c>
      <c r="R11" s="42">
        <v>3725.3310000000001</v>
      </c>
    </row>
    <row r="12" spans="1:18" x14ac:dyDescent="0.35">
      <c r="A12" s="36"/>
      <c r="B12" s="36"/>
      <c r="C12" s="36"/>
      <c r="D12" s="36"/>
      <c r="E12" s="43" t="s">
        <v>42</v>
      </c>
      <c r="F12" s="43" t="s">
        <v>42</v>
      </c>
      <c r="G12" s="43" t="s">
        <v>42</v>
      </c>
      <c r="H12" s="43" t="s">
        <v>42</v>
      </c>
      <c r="I12" s="43" t="s">
        <v>42</v>
      </c>
      <c r="J12" s="43" t="s">
        <v>42</v>
      </c>
      <c r="K12" s="43" t="s">
        <v>42</v>
      </c>
      <c r="L12" s="43" t="s">
        <v>42</v>
      </c>
      <c r="M12" s="43" t="s">
        <v>42</v>
      </c>
      <c r="N12" s="43" t="s">
        <v>42</v>
      </c>
      <c r="O12" s="43" t="s">
        <v>42</v>
      </c>
      <c r="P12" s="43" t="s">
        <v>42</v>
      </c>
      <c r="Q12" s="43" t="s">
        <v>42</v>
      </c>
      <c r="R12" s="43" t="s">
        <v>42</v>
      </c>
    </row>
    <row r="13" spans="1:18" x14ac:dyDescent="0.35">
      <c r="A13" s="36"/>
      <c r="B13" s="36"/>
      <c r="C13" s="164" t="s">
        <v>36</v>
      </c>
      <c r="D13" s="164"/>
      <c r="E13" s="42">
        <v>3462.8009999999999</v>
      </c>
      <c r="F13" s="42">
        <v>3295.5070000000001</v>
      </c>
      <c r="G13" s="42">
        <v>3256.058</v>
      </c>
      <c r="H13" s="42">
        <v>3739.1210000000001</v>
      </c>
      <c r="I13" s="42">
        <v>3980.0830000000001</v>
      </c>
      <c r="J13" s="42">
        <v>4145.6580000000004</v>
      </c>
      <c r="K13" s="42">
        <v>4333.9859999999999</v>
      </c>
      <c r="L13" s="42">
        <v>4655.5389999999998</v>
      </c>
      <c r="M13" s="42">
        <v>4952.2240000000002</v>
      </c>
      <c r="N13" s="42">
        <v>5122.7340000000004</v>
      </c>
      <c r="O13" s="42">
        <v>5295.6509999999998</v>
      </c>
      <c r="P13" s="42">
        <v>5457.1390000000001</v>
      </c>
      <c r="Q13" s="42">
        <v>19454.905999999999</v>
      </c>
      <c r="R13" s="42">
        <v>44938.192999999999</v>
      </c>
    </row>
    <row r="14" spans="1:18" x14ac:dyDescent="0.35">
      <c r="A14" s="36"/>
      <c r="B14" s="36"/>
      <c r="C14" s="36"/>
      <c r="D14" s="36" t="s">
        <v>94</v>
      </c>
      <c r="E14" s="42">
        <v>2548.498</v>
      </c>
      <c r="F14" s="42">
        <v>2330.0810000000001</v>
      </c>
      <c r="G14" s="42">
        <v>2357.7620000000002</v>
      </c>
      <c r="H14" s="42">
        <v>2808.799</v>
      </c>
      <c r="I14" s="42">
        <v>2983.1750000000002</v>
      </c>
      <c r="J14" s="42">
        <v>3105.2530000000002</v>
      </c>
      <c r="K14" s="42">
        <v>3248.6930000000002</v>
      </c>
      <c r="L14" s="42">
        <v>3522.8409999999999</v>
      </c>
      <c r="M14" s="42">
        <v>3770.317</v>
      </c>
      <c r="N14" s="42">
        <v>3891.6170000000002</v>
      </c>
      <c r="O14" s="42">
        <v>4017.2150000000001</v>
      </c>
      <c r="P14" s="42">
        <v>4131.652</v>
      </c>
      <c r="Q14" s="42">
        <v>14503.682000000001</v>
      </c>
      <c r="R14" s="42">
        <v>33837.324000000001</v>
      </c>
    </row>
    <row r="15" spans="1:18" ht="17" x14ac:dyDescent="0.35">
      <c r="A15" s="36"/>
      <c r="B15" s="36"/>
      <c r="C15" s="36"/>
      <c r="D15" s="36" t="s">
        <v>95</v>
      </c>
      <c r="E15" s="42">
        <v>914.303</v>
      </c>
      <c r="F15" s="42">
        <v>965.42600000000004</v>
      </c>
      <c r="G15" s="42">
        <v>898.29600000000005</v>
      </c>
      <c r="H15" s="42">
        <v>930.322</v>
      </c>
      <c r="I15" s="42">
        <v>996.90800000000002</v>
      </c>
      <c r="J15" s="42">
        <v>1040.405</v>
      </c>
      <c r="K15" s="42">
        <v>1085.2929999999999</v>
      </c>
      <c r="L15" s="42">
        <v>1132.6980000000001</v>
      </c>
      <c r="M15" s="42">
        <v>1181.9069999999999</v>
      </c>
      <c r="N15" s="42">
        <v>1231.117</v>
      </c>
      <c r="O15" s="42">
        <v>1278.4359999999999</v>
      </c>
      <c r="P15" s="42">
        <v>1325.4870000000001</v>
      </c>
      <c r="Q15" s="42">
        <v>4951.2240000000002</v>
      </c>
      <c r="R15" s="42">
        <v>11100.869000000001</v>
      </c>
    </row>
    <row r="17" spans="1:20" x14ac:dyDescent="0.35">
      <c r="A17" t="s">
        <v>105</v>
      </c>
    </row>
    <row r="19" spans="1:20" x14ac:dyDescent="0.35">
      <c r="A19" s="36"/>
      <c r="B19" s="164" t="s">
        <v>91</v>
      </c>
      <c r="C19" s="164"/>
      <c r="D19" s="164"/>
      <c r="E19" s="42">
        <v>1717.857</v>
      </c>
      <c r="F19" s="42">
        <f>F8-F39-F50</f>
        <v>1680.13</v>
      </c>
      <c r="G19" s="42">
        <f t="shared" ref="G19:R19" si="0">G8-G39-G50</f>
        <v>1709.366</v>
      </c>
      <c r="H19" s="42">
        <f t="shared" si="0"/>
        <v>1795.097</v>
      </c>
      <c r="I19" s="42">
        <f t="shared" si="0"/>
        <v>1908.4369999999999</v>
      </c>
      <c r="J19" s="42">
        <f t="shared" si="0"/>
        <v>2002.6479999999999</v>
      </c>
      <c r="K19" s="42">
        <f t="shared" si="0"/>
        <v>2105.8620000000001</v>
      </c>
      <c r="L19" s="42">
        <f t="shared" si="0"/>
        <v>2343.3269999999998</v>
      </c>
      <c r="M19" s="42">
        <f t="shared" si="0"/>
        <v>2583.9690000000001</v>
      </c>
      <c r="N19" s="42">
        <f t="shared" si="0"/>
        <v>2690.0340000000001</v>
      </c>
      <c r="O19" s="42">
        <f t="shared" si="0"/>
        <v>2805.2579999999998</v>
      </c>
      <c r="P19" s="42">
        <f t="shared" si="0"/>
        <v>2919.2780000000002</v>
      </c>
      <c r="Q19" s="42">
        <f t="shared" si="0"/>
        <v>9521.41</v>
      </c>
      <c r="R19" s="42">
        <f t="shared" si="0"/>
        <v>22863.275999999998</v>
      </c>
    </row>
    <row r="20" spans="1:20" x14ac:dyDescent="0.35">
      <c r="A20" s="36"/>
      <c r="B20" s="164" t="s">
        <v>92</v>
      </c>
      <c r="C20" s="164"/>
      <c r="D20" s="164"/>
      <c r="E20" s="42">
        <v>1243.3720000000001</v>
      </c>
      <c r="F20" s="42">
        <f>F9-F41-F52</f>
        <v>1213.471</v>
      </c>
      <c r="G20" s="42">
        <f>G9-G41-G52</f>
        <v>1280.6189999999999</v>
      </c>
      <c r="H20" s="42">
        <f>H9-H41-H52</f>
        <v>1359.354</v>
      </c>
      <c r="I20" s="42">
        <f>I9-I41-I52</f>
        <v>1409.212</v>
      </c>
      <c r="J20" s="42">
        <f>J9-J41-J52</f>
        <v>1460.943</v>
      </c>
      <c r="K20" s="42">
        <f t="shared" ref="K20:R20" si="1">K9-K41-K52</f>
        <v>1513.7830000000001</v>
      </c>
      <c r="L20" s="42">
        <f t="shared" si="1"/>
        <v>1575.3409999999999</v>
      </c>
      <c r="M20" s="42">
        <f t="shared" si="1"/>
        <v>1637.6590000000001</v>
      </c>
      <c r="N20" s="42">
        <f t="shared" si="1"/>
        <v>1699.8210000000001</v>
      </c>
      <c r="O20" s="42">
        <f t="shared" si="1"/>
        <v>1760.4639999999999</v>
      </c>
      <c r="P20" s="42">
        <f t="shared" si="1"/>
        <v>1823.6389999999999</v>
      </c>
      <c r="Q20" s="42">
        <f t="shared" si="1"/>
        <v>7023.9110000000001</v>
      </c>
      <c r="R20" s="42">
        <f t="shared" si="1"/>
        <v>15520.834999999999</v>
      </c>
      <c r="S20" s="42">
        <f t="shared" ref="S20" si="2">S9-S41</f>
        <v>0</v>
      </c>
    </row>
    <row r="21" spans="1:20" x14ac:dyDescent="0.35">
      <c r="A21" s="36"/>
      <c r="B21" s="164" t="s">
        <v>93</v>
      </c>
      <c r="C21" s="164"/>
      <c r="D21" s="164"/>
      <c r="E21" s="42">
        <v>230.245</v>
      </c>
      <c r="F21" s="42">
        <f>F10-F40-F51</f>
        <v>203.75</v>
      </c>
      <c r="G21" s="42">
        <f t="shared" ref="G21:R21" si="3">G10-G40-G51</f>
        <v>210.79400000000001</v>
      </c>
      <c r="H21" s="42">
        <f t="shared" si="3"/>
        <v>249.709</v>
      </c>
      <c r="I21" s="42">
        <f t="shared" si="3"/>
        <v>297.50200000000001</v>
      </c>
      <c r="J21" s="42">
        <f t="shared" si="3"/>
        <v>328.74699999999996</v>
      </c>
      <c r="K21" s="42">
        <f t="shared" si="3"/>
        <v>356.61099999999999</v>
      </c>
      <c r="L21" s="42">
        <f t="shared" si="3"/>
        <v>360.68200000000002</v>
      </c>
      <c r="M21" s="42">
        <f t="shared" si="3"/>
        <v>362.90500000000003</v>
      </c>
      <c r="N21" s="42">
        <f t="shared" si="3"/>
        <v>374.08000000000004</v>
      </c>
      <c r="O21" s="42">
        <f t="shared" si="3"/>
        <v>382.767</v>
      </c>
      <c r="P21" s="42">
        <f t="shared" si="3"/>
        <v>391.15299999999996</v>
      </c>
      <c r="Q21" s="42">
        <f t="shared" si="3"/>
        <v>1443.3630000000001</v>
      </c>
      <c r="R21" s="42">
        <f t="shared" si="3"/>
        <v>3314.95</v>
      </c>
    </row>
    <row r="22" spans="1:20" x14ac:dyDescent="0.35">
      <c r="A22" s="36"/>
      <c r="B22" s="164" t="s">
        <v>60</v>
      </c>
      <c r="C22" s="164"/>
      <c r="D22" s="164"/>
      <c r="E22" s="42">
        <v>271.327</v>
      </c>
      <c r="F22" s="42">
        <f t="shared" ref="F22:R22" si="4">F11-F42-F53</f>
        <v>311.45299999999997</v>
      </c>
      <c r="G22" s="42">
        <f t="shared" si="4"/>
        <v>328.09700000000004</v>
      </c>
      <c r="H22" s="42">
        <f t="shared" si="4"/>
        <v>357.02100000000002</v>
      </c>
      <c r="I22" s="42">
        <f t="shared" si="4"/>
        <v>373.58100000000002</v>
      </c>
      <c r="J22" s="42">
        <f t="shared" si="4"/>
        <v>386.29400000000004</v>
      </c>
      <c r="K22" s="42">
        <f t="shared" si="4"/>
        <v>398.26</v>
      </c>
      <c r="L22" s="42">
        <f t="shared" si="4"/>
        <v>411.36699999999996</v>
      </c>
      <c r="M22" s="42">
        <f t="shared" si="4"/>
        <v>410.86099999999999</v>
      </c>
      <c r="N22" s="42">
        <f t="shared" si="4"/>
        <v>401.00700000000001</v>
      </c>
      <c r="O22" s="42">
        <f t="shared" si="4"/>
        <v>390.49</v>
      </c>
      <c r="P22" s="42">
        <f t="shared" si="4"/>
        <v>364.04300000000001</v>
      </c>
      <c r="Q22" s="42">
        <f t="shared" si="4"/>
        <v>1843.2529999999999</v>
      </c>
      <c r="R22" s="42">
        <f t="shared" si="4"/>
        <v>3821.0209999999997</v>
      </c>
    </row>
    <row r="23" spans="1:20" x14ac:dyDescent="0.35">
      <c r="A23" s="36"/>
      <c r="B23" s="36"/>
      <c r="C23" s="36"/>
      <c r="D23" s="36"/>
      <c r="E23" s="43" t="s">
        <v>42</v>
      </c>
      <c r="F23" s="43" t="s">
        <v>42</v>
      </c>
      <c r="G23" s="43" t="s">
        <v>42</v>
      </c>
      <c r="H23" s="43" t="s">
        <v>42</v>
      </c>
      <c r="I23" s="43" t="s">
        <v>42</v>
      </c>
      <c r="J23" s="43" t="s">
        <v>42</v>
      </c>
      <c r="K23" s="43" t="s">
        <v>42</v>
      </c>
      <c r="L23" s="43" t="s">
        <v>42</v>
      </c>
      <c r="M23" s="43" t="s">
        <v>42</v>
      </c>
      <c r="N23" s="43" t="s">
        <v>42</v>
      </c>
      <c r="O23" s="43" t="s">
        <v>42</v>
      </c>
      <c r="P23" s="43" t="s">
        <v>42</v>
      </c>
      <c r="Q23" s="43" t="s">
        <v>42</v>
      </c>
      <c r="R23" s="43" t="s">
        <v>42</v>
      </c>
    </row>
    <row r="27" spans="1:20" x14ac:dyDescent="0.35">
      <c r="A27" s="24"/>
      <c r="B27" s="10"/>
      <c r="C27" s="24"/>
      <c r="D27" s="24"/>
      <c r="E27" s="24"/>
      <c r="F27" s="24"/>
      <c r="G27" s="24"/>
      <c r="H27" s="166" t="s">
        <v>97</v>
      </c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</row>
    <row r="28" spans="1:20" x14ac:dyDescent="0.35">
      <c r="A28" s="24" t="s">
        <v>98</v>
      </c>
      <c r="B28" s="10"/>
      <c r="C28" s="24"/>
      <c r="D28" s="24"/>
      <c r="E28" s="24"/>
      <c r="F28" s="24"/>
      <c r="G28" s="24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1:20" x14ac:dyDescent="0.35">
      <c r="A29" s="24"/>
      <c r="B29" s="10" t="s">
        <v>91</v>
      </c>
      <c r="C29" s="24"/>
      <c r="D29" s="24"/>
      <c r="E29" s="24"/>
      <c r="F29" s="26">
        <v>-111.265</v>
      </c>
      <c r="G29" s="26">
        <v>-194.99700000000001</v>
      </c>
      <c r="H29" s="26">
        <v>-200.69</v>
      </c>
      <c r="I29" s="26">
        <v>-187.191</v>
      </c>
      <c r="J29" s="26">
        <v>-175.74199999999999</v>
      </c>
      <c r="K29" s="26">
        <v>-160.589</v>
      </c>
      <c r="L29" s="26">
        <v>-140.24600000000001</v>
      </c>
      <c r="M29" s="26">
        <v>-124.735</v>
      </c>
      <c r="N29" s="26">
        <v>-118.693</v>
      </c>
      <c r="O29" s="26">
        <v>-121.679</v>
      </c>
      <c r="P29" s="26">
        <v>-126.747</v>
      </c>
      <c r="Q29" s="26">
        <v>-919.20899999999995</v>
      </c>
      <c r="R29" s="26">
        <v>-1551.309</v>
      </c>
    </row>
    <row r="30" spans="1:20" x14ac:dyDescent="0.35">
      <c r="A30" s="24"/>
      <c r="B30" s="10" t="s">
        <v>92</v>
      </c>
      <c r="C30" s="24"/>
      <c r="D30" s="24"/>
      <c r="E30" s="24"/>
      <c r="F30" s="26">
        <v>-88.86</v>
      </c>
      <c r="G30" s="26">
        <v>-75.733000000000004</v>
      </c>
      <c r="H30" s="26">
        <v>-49.185000000000002</v>
      </c>
      <c r="I30" s="26">
        <v>-54.503</v>
      </c>
      <c r="J30" s="26">
        <v>-62.215000000000003</v>
      </c>
      <c r="K30" s="26">
        <v>-69.822000000000003</v>
      </c>
      <c r="L30" s="26">
        <v>-67.025000000000006</v>
      </c>
      <c r="M30" s="26">
        <v>-65.760999999999996</v>
      </c>
      <c r="N30" s="26">
        <v>-67.971999999999994</v>
      </c>
      <c r="O30" s="26">
        <v>-71.534999999999997</v>
      </c>
      <c r="P30" s="26">
        <v>-72.603999999999999</v>
      </c>
      <c r="Q30" s="26">
        <v>-311.45800000000003</v>
      </c>
      <c r="R30" s="26">
        <v>-656.35500000000002</v>
      </c>
    </row>
    <row r="31" spans="1:20" x14ac:dyDescent="0.35">
      <c r="A31" s="24"/>
      <c r="B31" s="10" t="s">
        <v>93</v>
      </c>
      <c r="C31" s="24"/>
      <c r="D31" s="24"/>
      <c r="E31" s="24"/>
      <c r="F31" s="26">
        <v>-30.038</v>
      </c>
      <c r="G31" s="26">
        <v>-45.917999999999999</v>
      </c>
      <c r="H31" s="26">
        <v>-42.037999999999997</v>
      </c>
      <c r="I31" s="26">
        <v>-36.393000000000001</v>
      </c>
      <c r="J31" s="26">
        <v>-33.680999999999997</v>
      </c>
      <c r="K31" s="26">
        <v>-29.541</v>
      </c>
      <c r="L31" s="26">
        <v>-24.231000000000002</v>
      </c>
      <c r="M31" s="26">
        <v>-19.233000000000001</v>
      </c>
      <c r="N31" s="26">
        <v>-16.082999999999998</v>
      </c>
      <c r="O31" s="26">
        <v>-15.045</v>
      </c>
      <c r="P31" s="26">
        <v>-14.564</v>
      </c>
      <c r="Q31" s="26">
        <v>-187.571</v>
      </c>
      <c r="R31" s="26">
        <v>-276.72699999999998</v>
      </c>
    </row>
    <row r="32" spans="1:20" x14ac:dyDescent="0.35">
      <c r="A32" s="24"/>
      <c r="B32" s="10" t="s">
        <v>60</v>
      </c>
      <c r="C32" s="24"/>
      <c r="D32" s="24"/>
      <c r="E32" s="24"/>
      <c r="F32" s="26">
        <v>6.6820000000000004</v>
      </c>
      <c r="G32" s="26">
        <v>30.050999999999998</v>
      </c>
      <c r="H32" s="26">
        <v>52.707999999999998</v>
      </c>
      <c r="I32" s="26">
        <v>61.954000000000001</v>
      </c>
      <c r="J32" s="26">
        <v>68.875</v>
      </c>
      <c r="K32" s="26">
        <v>72.260999999999996</v>
      </c>
      <c r="L32" s="26">
        <v>71.623999999999995</v>
      </c>
      <c r="M32" s="26">
        <v>51.695999999999998</v>
      </c>
      <c r="N32" s="26">
        <v>26.245000000000001</v>
      </c>
      <c r="O32" s="26">
        <v>3.2320000000000002</v>
      </c>
      <c r="P32" s="26">
        <v>-31.146999999999998</v>
      </c>
      <c r="Q32" s="26">
        <v>285.84899999999999</v>
      </c>
      <c r="R32" s="26">
        <v>407.49900000000002</v>
      </c>
    </row>
    <row r="33" spans="1:18" ht="3" customHeight="1" x14ac:dyDescent="0.35">
      <c r="A33" s="24"/>
      <c r="B33" s="10"/>
      <c r="C33" s="24"/>
      <c r="D33" s="24"/>
      <c r="E33" s="24"/>
      <c r="F33" s="26" t="s">
        <v>99</v>
      </c>
      <c r="G33" s="26" t="s">
        <v>99</v>
      </c>
      <c r="H33" s="26" t="s">
        <v>99</v>
      </c>
      <c r="I33" s="26" t="s">
        <v>99</v>
      </c>
      <c r="J33" s="26" t="s">
        <v>99</v>
      </c>
      <c r="K33" s="26" t="s">
        <v>99</v>
      </c>
      <c r="L33" s="26" t="s">
        <v>99</v>
      </c>
      <c r="M33" s="26" t="s">
        <v>99</v>
      </c>
      <c r="N33" s="26" t="s">
        <v>99</v>
      </c>
      <c r="O33" s="26" t="s">
        <v>99</v>
      </c>
      <c r="P33" s="26"/>
      <c r="Q33" s="26" t="s">
        <v>99</v>
      </c>
      <c r="R33" s="26" t="s">
        <v>99</v>
      </c>
    </row>
    <row r="34" spans="1:18" x14ac:dyDescent="0.35">
      <c r="A34" s="24"/>
      <c r="B34" s="10"/>
      <c r="C34" s="24"/>
      <c r="D34" s="24" t="s">
        <v>100</v>
      </c>
      <c r="E34" s="24"/>
      <c r="F34" s="26">
        <v>-223.48099999999999</v>
      </c>
      <c r="G34" s="26">
        <v>-286.59699999999998</v>
      </c>
      <c r="H34" s="26">
        <v>-239.20500000000001</v>
      </c>
      <c r="I34" s="26">
        <v>-216.13300000000001</v>
      </c>
      <c r="J34" s="26">
        <v>-202.76300000000001</v>
      </c>
      <c r="K34" s="26">
        <v>-187.691</v>
      </c>
      <c r="L34" s="26">
        <v>-159.87799999999999</v>
      </c>
      <c r="M34" s="26">
        <v>-158.03299999999999</v>
      </c>
      <c r="N34" s="26">
        <v>-176.50299999999999</v>
      </c>
      <c r="O34" s="26">
        <v>-205.02699999999999</v>
      </c>
      <c r="P34" s="26">
        <v>-245.06200000000001</v>
      </c>
      <c r="Q34" s="26">
        <v>-1132.3889999999999</v>
      </c>
      <c r="R34" s="26">
        <v>-2076.8919999999998</v>
      </c>
    </row>
    <row r="37" spans="1:18" x14ac:dyDescent="0.35">
      <c r="A37" s="10"/>
      <c r="B37" s="10"/>
      <c r="C37" s="10"/>
      <c r="D37" s="10"/>
      <c r="E37" s="10"/>
      <c r="F37" s="167" t="s">
        <v>101</v>
      </c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</row>
    <row r="38" spans="1:18" ht="17" x14ac:dyDescent="0.35">
      <c r="A38" s="24" t="s">
        <v>102</v>
      </c>
      <c r="B38" s="10"/>
      <c r="C38" s="24"/>
      <c r="D38" s="24"/>
      <c r="E38" s="24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</row>
    <row r="39" spans="1:18" x14ac:dyDescent="0.35">
      <c r="A39" s="24"/>
      <c r="B39" s="10" t="s">
        <v>91</v>
      </c>
      <c r="C39" s="24"/>
      <c r="D39" s="24"/>
      <c r="E39" s="24"/>
      <c r="F39" s="26">
        <v>-462.17899999999997</v>
      </c>
      <c r="G39" s="26">
        <v>-256.19600000000003</v>
      </c>
      <c r="H39" s="26">
        <v>184.066</v>
      </c>
      <c r="I39" s="26">
        <v>179.33</v>
      </c>
      <c r="J39" s="26">
        <v>1.8979999999999999</v>
      </c>
      <c r="K39" s="26">
        <v>1.6779999999999999</v>
      </c>
      <c r="L39" s="26">
        <v>1.649</v>
      </c>
      <c r="M39" s="26">
        <v>0.93600000000000005</v>
      </c>
      <c r="N39" s="26">
        <v>0.57299999999999995</v>
      </c>
      <c r="O39" s="26">
        <v>0.14599999999999999</v>
      </c>
      <c r="P39" s="26">
        <v>0.114</v>
      </c>
      <c r="Q39" s="26">
        <v>110.776</v>
      </c>
      <c r="R39" s="26">
        <v>114.194</v>
      </c>
    </row>
    <row r="40" spans="1:18" x14ac:dyDescent="0.35">
      <c r="A40" s="24"/>
      <c r="B40" s="10" t="s">
        <v>93</v>
      </c>
      <c r="C40" s="24"/>
      <c r="D40" s="24"/>
      <c r="E40" s="24"/>
      <c r="F40" s="26">
        <v>-75.200999999999993</v>
      </c>
      <c r="G40" s="26">
        <v>-6.3540000000000001</v>
      </c>
      <c r="H40" s="26">
        <v>1.994</v>
      </c>
      <c r="I40" s="26">
        <v>2.8119999999999998</v>
      </c>
      <c r="J40" s="26">
        <v>7.3979999999999997</v>
      </c>
      <c r="K40" s="26">
        <v>11.17</v>
      </c>
      <c r="L40" s="26">
        <v>10.891999999999999</v>
      </c>
      <c r="M40" s="26">
        <v>7.2939999999999996</v>
      </c>
      <c r="N40" s="26">
        <v>5.0490000000000004</v>
      </c>
      <c r="O40" s="26">
        <v>2.097</v>
      </c>
      <c r="P40" s="26">
        <v>2.5640000000000001</v>
      </c>
      <c r="Q40" s="26">
        <v>17.02</v>
      </c>
      <c r="R40" s="26">
        <v>44.915999999999997</v>
      </c>
    </row>
    <row r="41" spans="1:18" x14ac:dyDescent="0.35">
      <c r="A41" s="24"/>
      <c r="B41" s="10" t="s">
        <v>92</v>
      </c>
      <c r="C41" s="24"/>
      <c r="D41" s="24"/>
      <c r="E41" s="24"/>
      <c r="F41" s="26">
        <v>2.758</v>
      </c>
      <c r="G41" s="26">
        <v>-0.17399999999999999</v>
      </c>
      <c r="H41" s="26">
        <v>-0.51200000000000001</v>
      </c>
      <c r="I41" s="26">
        <v>-0.58699999999999997</v>
      </c>
      <c r="J41" s="26">
        <v>-0.56100000000000005</v>
      </c>
      <c r="K41" s="26">
        <v>-0.47199999999999998</v>
      </c>
      <c r="L41" s="26">
        <v>-0.44700000000000001</v>
      </c>
      <c r="M41" s="26">
        <v>-0.40100000000000002</v>
      </c>
      <c r="N41" s="26">
        <v>-0.39</v>
      </c>
      <c r="O41" s="26">
        <v>-0.40699999999999997</v>
      </c>
      <c r="P41" s="26">
        <v>-0.42599999999999999</v>
      </c>
      <c r="Q41" s="26">
        <v>-2.306</v>
      </c>
      <c r="R41" s="26">
        <v>-4.3769999999999998</v>
      </c>
    </row>
    <row r="42" spans="1:18" x14ac:dyDescent="0.35">
      <c r="A42" s="24"/>
      <c r="B42" s="10" t="s">
        <v>60</v>
      </c>
      <c r="C42" s="24"/>
      <c r="D42" s="24"/>
      <c r="E42" s="24"/>
      <c r="F42" s="26">
        <v>-3.9169999999999998</v>
      </c>
      <c r="G42" s="26">
        <v>-1.6120000000000001</v>
      </c>
      <c r="H42" s="26">
        <v>0</v>
      </c>
      <c r="I42" s="26">
        <v>0</v>
      </c>
      <c r="J42" s="26">
        <v>2E-3</v>
      </c>
      <c r="K42" s="26">
        <v>3.0000000000000001E-3</v>
      </c>
      <c r="L42" s="26">
        <v>4.0000000000000001E-3</v>
      </c>
      <c r="M42" s="26">
        <v>4.0000000000000001E-3</v>
      </c>
      <c r="N42" s="26">
        <v>5.0000000000000001E-3</v>
      </c>
      <c r="O42" s="26">
        <v>5.0000000000000001E-3</v>
      </c>
      <c r="P42" s="26">
        <v>5.0000000000000001E-3</v>
      </c>
      <c r="Q42" s="26">
        <v>-1.607</v>
      </c>
      <c r="R42" s="26">
        <v>-1.5840000000000001</v>
      </c>
    </row>
    <row r="43" spans="1:18" ht="3" customHeight="1" x14ac:dyDescent="0.35">
      <c r="A43" s="24"/>
      <c r="B43" s="10"/>
      <c r="C43" s="24"/>
      <c r="D43" s="24"/>
      <c r="E43" s="24"/>
      <c r="F43" s="26" t="s">
        <v>99</v>
      </c>
      <c r="G43" s="26" t="s">
        <v>99</v>
      </c>
      <c r="H43" s="26" t="s">
        <v>99</v>
      </c>
      <c r="I43" s="26" t="s">
        <v>99</v>
      </c>
      <c r="J43" s="26" t="s">
        <v>99</v>
      </c>
      <c r="K43" s="26" t="s">
        <v>99</v>
      </c>
      <c r="L43" s="26" t="s">
        <v>99</v>
      </c>
      <c r="M43" s="26" t="s">
        <v>99</v>
      </c>
      <c r="N43" s="26" t="s">
        <v>99</v>
      </c>
      <c r="O43" s="26" t="s">
        <v>99</v>
      </c>
      <c r="P43" s="26" t="s">
        <v>99</v>
      </c>
      <c r="Q43" s="26" t="s">
        <v>99</v>
      </c>
      <c r="R43" s="26" t="s">
        <v>99</v>
      </c>
    </row>
    <row r="44" spans="1:18" x14ac:dyDescent="0.35">
      <c r="A44" s="24"/>
      <c r="B44" s="10"/>
      <c r="C44" s="24" t="s">
        <v>100</v>
      </c>
      <c r="D44" s="24"/>
      <c r="E44" s="24"/>
      <c r="F44" s="26">
        <v>-538.53899999999999</v>
      </c>
      <c r="G44" s="26">
        <v>-264.33600000000001</v>
      </c>
      <c r="H44" s="26">
        <v>185.548</v>
      </c>
      <c r="I44" s="26">
        <v>181.55500000000001</v>
      </c>
      <c r="J44" s="26">
        <v>8.7370000000000001</v>
      </c>
      <c r="K44" s="26">
        <v>12.379</v>
      </c>
      <c r="L44" s="26">
        <v>12.098000000000001</v>
      </c>
      <c r="M44" s="26">
        <v>7.8330000000000002</v>
      </c>
      <c r="N44" s="26">
        <v>5.2370000000000001</v>
      </c>
      <c r="O44" s="26">
        <v>1.841</v>
      </c>
      <c r="P44" s="26">
        <v>2.2570000000000001</v>
      </c>
      <c r="Q44" s="26">
        <v>123.883</v>
      </c>
      <c r="R44" s="26">
        <v>153.149</v>
      </c>
    </row>
    <row r="48" spans="1:18" ht="12" customHeight="1" x14ac:dyDescent="0.35">
      <c r="A48" s="10"/>
      <c r="B48" s="24"/>
      <c r="C48" s="10"/>
      <c r="D48" s="10"/>
      <c r="E48" s="10"/>
      <c r="F48" s="166" t="s">
        <v>103</v>
      </c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</row>
    <row r="49" spans="1:18" x14ac:dyDescent="0.35">
      <c r="A49" s="24" t="s">
        <v>98</v>
      </c>
      <c r="B49" s="10"/>
      <c r="C49" s="10"/>
      <c r="D49" s="10"/>
      <c r="E49" s="10"/>
      <c r="F49" s="26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18" x14ac:dyDescent="0.35">
      <c r="A50" s="24"/>
      <c r="B50" s="10" t="s">
        <v>91</v>
      </c>
      <c r="C50" s="10"/>
      <c r="D50" s="10"/>
      <c r="E50" s="10"/>
      <c r="F50" s="26">
        <v>315.23</v>
      </c>
      <c r="G50" s="26">
        <v>117.90900000000001</v>
      </c>
      <c r="H50" s="26">
        <v>-158.203</v>
      </c>
      <c r="I50" s="26">
        <v>-175.024</v>
      </c>
      <c r="J50" s="26">
        <v>-22.581</v>
      </c>
      <c r="K50" s="26">
        <v>-18.401</v>
      </c>
      <c r="L50" s="26">
        <v>-11.073</v>
      </c>
      <c r="M50" s="26">
        <v>-15.914</v>
      </c>
      <c r="N50" s="26">
        <v>-14.016999999999999</v>
      </c>
      <c r="O50" s="26">
        <v>-13.502000000000001</v>
      </c>
      <c r="P50" s="26">
        <v>-12.954000000000001</v>
      </c>
      <c r="Q50" s="26">
        <v>-256.3</v>
      </c>
      <c r="R50" s="26">
        <v>-323.76</v>
      </c>
    </row>
    <row r="51" spans="1:18" x14ac:dyDescent="0.35">
      <c r="A51" s="10"/>
      <c r="B51" s="10" t="s">
        <v>93</v>
      </c>
      <c r="C51" s="10"/>
      <c r="D51" s="10"/>
      <c r="E51" s="10"/>
      <c r="F51" s="26">
        <v>22.535</v>
      </c>
      <c r="G51" s="26">
        <v>-81.686000000000007</v>
      </c>
      <c r="H51" s="26">
        <v>-17.626999999999999</v>
      </c>
      <c r="I51" s="26">
        <v>-11.038</v>
      </c>
      <c r="J51" s="26">
        <v>-17.245999999999999</v>
      </c>
      <c r="K51" s="26">
        <v>-20.452000000000002</v>
      </c>
      <c r="L51" s="26">
        <v>-19.297000000000001</v>
      </c>
      <c r="M51" s="26">
        <v>-14.61</v>
      </c>
      <c r="N51" s="26">
        <v>-11.042999999999999</v>
      </c>
      <c r="O51" s="26">
        <v>-7.2990000000000004</v>
      </c>
      <c r="P51" s="26">
        <v>-7.1349999999999998</v>
      </c>
      <c r="Q51" s="26">
        <v>-148.04900000000001</v>
      </c>
      <c r="R51" s="26">
        <v>-207.43299999999999</v>
      </c>
    </row>
    <row r="52" spans="1:18" x14ac:dyDescent="0.35">
      <c r="A52" s="10"/>
      <c r="B52" s="10" t="s">
        <v>92</v>
      </c>
      <c r="C52" s="10"/>
      <c r="D52" s="10"/>
      <c r="E52" s="10"/>
      <c r="F52" s="26">
        <v>97.233999999999995</v>
      </c>
      <c r="G52" s="26">
        <v>-34.597000000000001</v>
      </c>
      <c r="H52" s="26">
        <v>-24.143000000000001</v>
      </c>
      <c r="I52" s="26">
        <v>3.3929999999999998</v>
      </c>
      <c r="J52" s="26">
        <v>2.5019999999999998</v>
      </c>
      <c r="K52" s="26">
        <v>-5.9109999999999996</v>
      </c>
      <c r="L52" s="26">
        <v>-7.79</v>
      </c>
      <c r="M52" s="26">
        <v>-9.8569999999999993</v>
      </c>
      <c r="N52" s="26">
        <v>-10.265000000000001</v>
      </c>
      <c r="O52" s="26">
        <v>-9.8320000000000007</v>
      </c>
      <c r="P52" s="26">
        <v>-13.239000000000001</v>
      </c>
      <c r="Q52" s="26">
        <v>-58.756</v>
      </c>
      <c r="R52" s="26">
        <v>-109.739</v>
      </c>
    </row>
    <row r="53" spans="1:18" x14ac:dyDescent="0.35">
      <c r="A53" s="10"/>
      <c r="B53" s="10" t="s">
        <v>60</v>
      </c>
      <c r="C53" s="10"/>
      <c r="D53" s="10"/>
      <c r="E53" s="10"/>
      <c r="F53" s="26">
        <v>-9.7569999999999997</v>
      </c>
      <c r="G53" s="26">
        <v>-10.108000000000001</v>
      </c>
      <c r="H53" s="26">
        <v>-7.6349999999999998</v>
      </c>
      <c r="I53" s="26">
        <v>-7.5350000000000001</v>
      </c>
      <c r="J53" s="26">
        <v>-4.3860000000000001</v>
      </c>
      <c r="K53" s="26">
        <v>-8.1449999999999996</v>
      </c>
      <c r="L53" s="26">
        <v>-9.1159999999999997</v>
      </c>
      <c r="M53" s="26">
        <v>-10.622</v>
      </c>
      <c r="N53" s="26">
        <v>-12.12</v>
      </c>
      <c r="O53" s="26">
        <v>-14.536</v>
      </c>
      <c r="P53" s="26">
        <v>-9.9030000000000005</v>
      </c>
      <c r="Q53" s="26">
        <v>-37.808999999999997</v>
      </c>
      <c r="R53" s="26">
        <v>-94.105999999999995</v>
      </c>
    </row>
    <row r="54" spans="1:18" ht="3" customHeight="1" x14ac:dyDescent="0.35">
      <c r="A54" s="10"/>
      <c r="B54" s="10"/>
      <c r="C54" s="10"/>
      <c r="D54" s="10"/>
      <c r="E54" s="10"/>
      <c r="F54" s="26" t="s">
        <v>99</v>
      </c>
      <c r="G54" s="26" t="s">
        <v>99</v>
      </c>
      <c r="H54" s="26" t="s">
        <v>99</v>
      </c>
      <c r="I54" s="26" t="s">
        <v>99</v>
      </c>
      <c r="J54" s="26" t="s">
        <v>99</v>
      </c>
      <c r="K54" s="26" t="s">
        <v>99</v>
      </c>
      <c r="L54" s="26" t="s">
        <v>99</v>
      </c>
      <c r="M54" s="26" t="s">
        <v>99</v>
      </c>
      <c r="N54" s="26" t="s">
        <v>99</v>
      </c>
      <c r="O54" s="26" t="s">
        <v>99</v>
      </c>
      <c r="P54" s="26" t="s">
        <v>99</v>
      </c>
      <c r="Q54" s="26" t="s">
        <v>99</v>
      </c>
      <c r="R54" s="26" t="s">
        <v>99</v>
      </c>
    </row>
    <row r="55" spans="1:18" x14ac:dyDescent="0.35">
      <c r="A55" s="10"/>
      <c r="B55" s="24"/>
      <c r="C55" s="10"/>
      <c r="D55" s="24" t="s">
        <v>100</v>
      </c>
      <c r="E55" s="10"/>
      <c r="F55" s="26">
        <v>425.24200000000002</v>
      </c>
      <c r="G55" s="26">
        <v>-8.4819999999999993</v>
      </c>
      <c r="H55" s="26">
        <v>-207.608</v>
      </c>
      <c r="I55" s="26">
        <v>-190.20400000000001</v>
      </c>
      <c r="J55" s="26">
        <v>-41.710999999999999</v>
      </c>
      <c r="K55" s="26">
        <v>-52.908999999999999</v>
      </c>
      <c r="L55" s="26">
        <v>-47.276000000000003</v>
      </c>
      <c r="M55" s="26">
        <v>-51.003</v>
      </c>
      <c r="N55" s="26">
        <v>-47.445</v>
      </c>
      <c r="O55" s="26">
        <v>-45.168999999999997</v>
      </c>
      <c r="P55" s="26">
        <v>-43.231000000000002</v>
      </c>
      <c r="Q55" s="26">
        <v>-500.91399999999999</v>
      </c>
      <c r="R55" s="26">
        <v>-735.03800000000001</v>
      </c>
    </row>
  </sheetData>
  <mergeCells count="14">
    <mergeCell ref="C13:D13"/>
    <mergeCell ref="H27:T27"/>
    <mergeCell ref="F37:R37"/>
    <mergeCell ref="F48:R48"/>
    <mergeCell ref="B19:D19"/>
    <mergeCell ref="B20:D20"/>
    <mergeCell ref="B21:D21"/>
    <mergeCell ref="B22:D22"/>
    <mergeCell ref="B11:D11"/>
    <mergeCell ref="E6:R6"/>
    <mergeCell ref="A7:D7"/>
    <mergeCell ref="B8:D8"/>
    <mergeCell ref="B9:D9"/>
    <mergeCell ref="B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404F-448D-4E36-A88E-C07F48F0DCD8}">
  <dimension ref="A1:X91"/>
  <sheetViews>
    <sheetView topLeftCell="A6" workbookViewId="0">
      <pane ySplit="5" topLeftCell="A37" activePane="bottomLeft" state="frozen"/>
      <selection activeCell="A6" sqref="A6"/>
      <selection pane="bottomLeft" activeCell="I48" sqref="I48"/>
    </sheetView>
  </sheetViews>
  <sheetFormatPr defaultRowHeight="14.5" x14ac:dyDescent="0.35"/>
  <sheetData>
    <row r="1" spans="1:19" s="6" customFormat="1" ht="15" customHeight="1" x14ac:dyDescent="0.35">
      <c r="A1" s="4" t="s">
        <v>32</v>
      </c>
      <c r="B1" s="5"/>
      <c r="C1" s="5"/>
      <c r="D1" s="5"/>
      <c r="E1" s="5"/>
    </row>
    <row r="2" spans="1:19" s="6" customFormat="1" ht="15" customHeight="1" x14ac:dyDescent="0.3">
      <c r="A2" s="7" t="s">
        <v>33</v>
      </c>
      <c r="B2" s="8"/>
      <c r="C2" s="8"/>
      <c r="D2" s="8"/>
      <c r="E2" s="8"/>
    </row>
    <row r="3" spans="1:19" s="6" customFormat="1" ht="15" customHeight="1" x14ac:dyDescent="0.3"/>
    <row r="4" spans="1:19" s="6" customFormat="1" ht="15" customHeight="1" x14ac:dyDescent="0.3"/>
    <row r="5" spans="1:19" s="6" customFormat="1" ht="30" customHeight="1" x14ac:dyDescent="0.3">
      <c r="A5" s="168" t="s">
        <v>34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</row>
    <row r="6" spans="1:19" s="6" customFormat="1" ht="15" customHeight="1" x14ac:dyDescent="0.3">
      <c r="A6" s="170" t="s">
        <v>35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</row>
    <row r="7" spans="1:19" s="6" customFormat="1" ht="15" customHeigh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s="6" customFormat="1" ht="15" customHeight="1" x14ac:dyDescent="0.3">
      <c r="A8" s="10"/>
      <c r="B8" s="10"/>
      <c r="C8" s="11"/>
      <c r="D8" s="11"/>
      <c r="E8" s="11"/>
      <c r="F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171" t="s">
        <v>36</v>
      </c>
      <c r="S8" s="172"/>
    </row>
    <row r="9" spans="1:19" s="6" customFormat="1" ht="15" customHeight="1" x14ac:dyDescent="0.3">
      <c r="A9" s="10"/>
      <c r="B9" s="10"/>
      <c r="C9" s="14"/>
      <c r="D9" s="14"/>
      <c r="E9" s="14"/>
      <c r="F9" s="15" t="s">
        <v>37</v>
      </c>
      <c r="G9" s="16"/>
      <c r="H9" s="17"/>
      <c r="I9" s="16"/>
      <c r="J9" s="17"/>
      <c r="K9" s="13"/>
      <c r="L9" s="13"/>
      <c r="M9" s="13"/>
      <c r="N9" s="13"/>
      <c r="O9" s="13"/>
      <c r="P9" s="13"/>
      <c r="Q9" s="17"/>
      <c r="R9" s="18" t="s">
        <v>38</v>
      </c>
      <c r="S9" s="18" t="s">
        <v>38</v>
      </c>
    </row>
    <row r="10" spans="1:19" s="6" customFormat="1" ht="15" customHeight="1" x14ac:dyDescent="0.3">
      <c r="A10" s="19"/>
      <c r="B10" s="19"/>
      <c r="C10" s="20"/>
      <c r="D10" s="20"/>
      <c r="E10" s="20"/>
      <c r="F10" s="21">
        <v>2019</v>
      </c>
      <c r="G10" s="21">
        <v>2020</v>
      </c>
      <c r="H10" s="21">
        <v>2021</v>
      </c>
      <c r="I10" s="21">
        <v>2022</v>
      </c>
      <c r="J10" s="21">
        <v>2023</v>
      </c>
      <c r="K10" s="21">
        <v>2024</v>
      </c>
      <c r="L10" s="21">
        <v>2025</v>
      </c>
      <c r="M10" s="21">
        <v>2026</v>
      </c>
      <c r="N10" s="21">
        <v>2027</v>
      </c>
      <c r="O10" s="21">
        <v>2028</v>
      </c>
      <c r="P10" s="21">
        <v>2029</v>
      </c>
      <c r="Q10" s="21">
        <v>2030</v>
      </c>
      <c r="R10" s="22">
        <v>2025</v>
      </c>
      <c r="S10" s="22">
        <v>2030</v>
      </c>
    </row>
    <row r="11" spans="1:19" s="6" customFormat="1" ht="15" customHeight="1" x14ac:dyDescent="0.3">
      <c r="A11" s="10" t="s">
        <v>39</v>
      </c>
      <c r="B11" s="10"/>
      <c r="C11" s="10"/>
      <c r="D11" s="10"/>
      <c r="E11" s="10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</row>
    <row r="12" spans="1:19" s="6" customFormat="1" ht="16.5" customHeight="1" x14ac:dyDescent="0.3">
      <c r="A12" s="10"/>
      <c r="B12" s="10" t="s">
        <v>40</v>
      </c>
      <c r="C12" s="10"/>
      <c r="D12" s="10"/>
      <c r="E12" s="10"/>
      <c r="F12" s="25">
        <v>893.31600000000003</v>
      </c>
      <c r="G12" s="25">
        <v>945.50099999999998</v>
      </c>
      <c r="H12" s="25">
        <v>992.75099999999998</v>
      </c>
      <c r="I12" s="25">
        <v>1045.5989999999999</v>
      </c>
      <c r="J12" s="25">
        <v>1104.202</v>
      </c>
      <c r="K12" s="25">
        <v>1168.675</v>
      </c>
      <c r="L12" s="25">
        <v>1237.8699999999999</v>
      </c>
      <c r="M12" s="25">
        <v>1309.1790000000001</v>
      </c>
      <c r="N12" s="25">
        <v>1381.18</v>
      </c>
      <c r="O12" s="25">
        <v>1463.298</v>
      </c>
      <c r="P12" s="25">
        <v>1544.8389999999999</v>
      </c>
      <c r="Q12" s="25">
        <v>1628.78</v>
      </c>
      <c r="R12" s="25">
        <v>5549.0969999999998</v>
      </c>
      <c r="S12" s="25">
        <v>12876.373</v>
      </c>
    </row>
    <row r="13" spans="1:19" s="6" customFormat="1" ht="15" customHeight="1" x14ac:dyDescent="0.3">
      <c r="A13" s="10"/>
      <c r="B13" s="10" t="s">
        <v>41</v>
      </c>
      <c r="C13" s="10"/>
      <c r="D13" s="10"/>
      <c r="E13" s="10"/>
      <c r="F13" s="25">
        <v>145.173</v>
      </c>
      <c r="G13" s="25">
        <v>145.40199999999999</v>
      </c>
      <c r="H13" s="25">
        <v>149.36199999999999</v>
      </c>
      <c r="I13" s="25">
        <v>155.83199999999999</v>
      </c>
      <c r="J13" s="25">
        <v>163.71299999999999</v>
      </c>
      <c r="K13" s="25">
        <v>172.196</v>
      </c>
      <c r="L13" s="25">
        <v>179.38399999999999</v>
      </c>
      <c r="M13" s="25">
        <v>187.07300000000001</v>
      </c>
      <c r="N13" s="25">
        <v>194.27600000000001</v>
      </c>
      <c r="O13" s="25">
        <v>196.48699999999999</v>
      </c>
      <c r="P13" s="25">
        <v>200.899</v>
      </c>
      <c r="Q13" s="25">
        <v>205.81</v>
      </c>
      <c r="R13" s="25">
        <v>820.48699999999997</v>
      </c>
      <c r="S13" s="25">
        <v>1805.0319999999999</v>
      </c>
    </row>
    <row r="14" spans="1:19" s="6" customFormat="1" ht="3" customHeight="1" x14ac:dyDescent="0.3">
      <c r="A14" s="10"/>
      <c r="B14" s="10"/>
      <c r="C14" s="10"/>
      <c r="D14" s="10"/>
      <c r="E14" s="10"/>
      <c r="F14" s="26" t="s">
        <v>42</v>
      </c>
      <c r="G14" s="26" t="s">
        <v>42</v>
      </c>
      <c r="H14" s="26" t="s">
        <v>42</v>
      </c>
      <c r="I14" s="26" t="s">
        <v>42</v>
      </c>
      <c r="J14" s="26" t="s">
        <v>42</v>
      </c>
      <c r="K14" s="26" t="s">
        <v>42</v>
      </c>
      <c r="L14" s="26" t="s">
        <v>42</v>
      </c>
      <c r="M14" s="26" t="s">
        <v>42</v>
      </c>
      <c r="N14" s="26" t="s">
        <v>42</v>
      </c>
      <c r="O14" s="26" t="s">
        <v>42</v>
      </c>
      <c r="P14" s="26" t="s">
        <v>42</v>
      </c>
      <c r="Q14" s="26" t="s">
        <v>42</v>
      </c>
      <c r="R14" s="26" t="s">
        <v>42</v>
      </c>
      <c r="S14" s="26" t="s">
        <v>43</v>
      </c>
    </row>
    <row r="15" spans="1:19" s="6" customFormat="1" ht="16.5" customHeight="1" x14ac:dyDescent="0.3">
      <c r="A15" s="10"/>
      <c r="B15" s="10"/>
      <c r="C15" s="10"/>
      <c r="D15" s="10" t="s">
        <v>44</v>
      </c>
      <c r="E15" s="10"/>
      <c r="F15" s="25">
        <v>1038.489</v>
      </c>
      <c r="G15" s="25">
        <v>1090.903</v>
      </c>
      <c r="H15" s="25">
        <v>1142.1130000000001</v>
      </c>
      <c r="I15" s="25">
        <v>1201.431</v>
      </c>
      <c r="J15" s="25">
        <v>1267.915</v>
      </c>
      <c r="K15" s="25">
        <v>1340.8710000000001</v>
      </c>
      <c r="L15" s="25">
        <v>1417.2539999999999</v>
      </c>
      <c r="M15" s="25">
        <v>1496.252</v>
      </c>
      <c r="N15" s="25">
        <v>1575.4559999999999</v>
      </c>
      <c r="O15" s="25">
        <v>1659.7850000000001</v>
      </c>
      <c r="P15" s="25">
        <v>1745.7380000000001</v>
      </c>
      <c r="Q15" s="25">
        <v>1834.59</v>
      </c>
      <c r="R15" s="25">
        <v>6369.5839999999998</v>
      </c>
      <c r="S15" s="25">
        <v>14681.405000000001</v>
      </c>
    </row>
    <row r="16" spans="1:19" s="6" customFormat="1" ht="15" customHeight="1" x14ac:dyDescent="0.3">
      <c r="A16" s="10"/>
      <c r="B16" s="10"/>
      <c r="C16" s="10"/>
      <c r="D16" s="10"/>
      <c r="E16" s="10"/>
      <c r="F16" s="23"/>
      <c r="G16" s="1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20" s="6" customFormat="1" ht="14" x14ac:dyDescent="0.3">
      <c r="A17" s="10" t="s">
        <v>45</v>
      </c>
      <c r="B17" s="10"/>
      <c r="C17" s="10"/>
      <c r="D17" s="10"/>
      <c r="E17" s="10"/>
      <c r="F17" s="24"/>
      <c r="G17" s="24"/>
      <c r="H17" s="24"/>
      <c r="I17" s="27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20" s="6" customFormat="1" ht="16.5" customHeight="1" x14ac:dyDescent="0.3">
      <c r="A18" s="10"/>
      <c r="B18" s="28" t="s">
        <v>46</v>
      </c>
      <c r="C18" s="28"/>
      <c r="D18" s="28"/>
      <c r="E18" s="28"/>
      <c r="F18" s="25">
        <v>775.40599999999995</v>
      </c>
      <c r="G18" s="25">
        <v>862.06799999999998</v>
      </c>
      <c r="H18" s="25">
        <v>809.73299999999995</v>
      </c>
      <c r="I18" s="25">
        <v>973.27200000000005</v>
      </c>
      <c r="J18" s="25">
        <v>1013.1</v>
      </c>
      <c r="K18" s="25">
        <v>1036.248</v>
      </c>
      <c r="L18" s="25">
        <v>1157.7950000000001</v>
      </c>
      <c r="M18" s="25">
        <v>1239.729</v>
      </c>
      <c r="N18" s="25">
        <v>1327.9649999999999</v>
      </c>
      <c r="O18" s="25">
        <v>1490.789</v>
      </c>
      <c r="P18" s="25">
        <v>1449.9179999999999</v>
      </c>
      <c r="Q18" s="25">
        <v>1611.2940000000001</v>
      </c>
      <c r="R18" s="25">
        <v>4990.1480000000001</v>
      </c>
      <c r="S18" s="25">
        <v>12109.843000000001</v>
      </c>
    </row>
    <row r="19" spans="1:20" s="6" customFormat="1" ht="15" customHeight="1" x14ac:dyDescent="0.3">
      <c r="A19" s="10"/>
      <c r="B19" s="28" t="s">
        <v>2</v>
      </c>
      <c r="C19" s="28"/>
      <c r="D19" s="28"/>
      <c r="E19" s="28"/>
      <c r="F19" s="25">
        <v>409.42099999999999</v>
      </c>
      <c r="G19" s="25">
        <v>466.24400000000003</v>
      </c>
      <c r="H19" s="25">
        <v>537.41499999999996</v>
      </c>
      <c r="I19" s="25">
        <v>516.01800000000003</v>
      </c>
      <c r="J19" s="25">
        <v>494.83100000000002</v>
      </c>
      <c r="K19" s="25">
        <v>517.13499999999999</v>
      </c>
      <c r="L19" s="25">
        <v>545.38900000000001</v>
      </c>
      <c r="M19" s="25">
        <v>574.79</v>
      </c>
      <c r="N19" s="25">
        <v>605.32899999999995</v>
      </c>
      <c r="O19" s="25">
        <v>637.02200000000005</v>
      </c>
      <c r="P19" s="25">
        <v>670.57799999999997</v>
      </c>
      <c r="Q19" s="25">
        <v>707.21</v>
      </c>
      <c r="R19" s="25">
        <v>2610.788</v>
      </c>
      <c r="S19" s="25">
        <v>5805.7169999999996</v>
      </c>
    </row>
    <row r="20" spans="1:20" s="6" customFormat="1" ht="15" customHeight="1" x14ac:dyDescent="0.3">
      <c r="A20" s="10"/>
      <c r="B20" s="28" t="s">
        <v>47</v>
      </c>
      <c r="C20" s="10"/>
      <c r="D20" s="10"/>
      <c r="E20" s="10"/>
      <c r="F20" s="25">
        <v>55.533000000000001</v>
      </c>
      <c r="G20" s="25">
        <v>54.094999999999999</v>
      </c>
      <c r="H20" s="25">
        <v>56.356999999999999</v>
      </c>
      <c r="I20" s="25">
        <v>54.631999999999998</v>
      </c>
      <c r="J20" s="25">
        <v>54.654000000000003</v>
      </c>
      <c r="K20" s="25">
        <v>55.994</v>
      </c>
      <c r="L20" s="25">
        <v>56.795999999999999</v>
      </c>
      <c r="M20" s="25">
        <v>58.15</v>
      </c>
      <c r="N20" s="25">
        <v>60.082000000000001</v>
      </c>
      <c r="O20" s="25">
        <v>63.768999999999998</v>
      </c>
      <c r="P20" s="25">
        <v>67.947000000000003</v>
      </c>
      <c r="Q20" s="25">
        <v>72.968000000000004</v>
      </c>
      <c r="R20" s="25">
        <v>278.43299999999999</v>
      </c>
      <c r="S20" s="25">
        <v>601.34900000000005</v>
      </c>
    </row>
    <row r="21" spans="1:20" s="6" customFormat="1" ht="15" customHeight="1" x14ac:dyDescent="0.3">
      <c r="A21" s="10"/>
      <c r="B21" s="28" t="s">
        <v>48</v>
      </c>
      <c r="C21" s="28"/>
      <c r="D21" s="28"/>
      <c r="E21" s="28"/>
      <c r="F21" s="25">
        <v>17.689</v>
      </c>
      <c r="G21" s="25">
        <v>17.004999999999999</v>
      </c>
      <c r="H21" s="25">
        <v>15.552</v>
      </c>
      <c r="I21" s="25">
        <v>15.342000000000001</v>
      </c>
      <c r="J21" s="25">
        <v>15.228999999999999</v>
      </c>
      <c r="K21" s="25">
        <v>15.723000000000001</v>
      </c>
      <c r="L21" s="25">
        <v>16.260000000000002</v>
      </c>
      <c r="M21" s="25">
        <v>16.841999999999999</v>
      </c>
      <c r="N21" s="25">
        <v>17.452000000000002</v>
      </c>
      <c r="O21" s="25">
        <v>17.805</v>
      </c>
      <c r="P21" s="25">
        <v>18.521999999999998</v>
      </c>
      <c r="Q21" s="25">
        <v>19.343</v>
      </c>
      <c r="R21" s="25">
        <v>78.105999999999995</v>
      </c>
      <c r="S21" s="25">
        <v>168.07</v>
      </c>
    </row>
    <row r="22" spans="1:20" s="6" customFormat="1" ht="3" customHeight="1" x14ac:dyDescent="0.3">
      <c r="A22" s="10"/>
      <c r="B22" s="10"/>
      <c r="C22" s="10"/>
      <c r="D22" s="10"/>
      <c r="E22" s="10"/>
      <c r="F22" s="26" t="s">
        <v>42</v>
      </c>
      <c r="G22" s="26" t="s">
        <v>42</v>
      </c>
      <c r="H22" s="26" t="s">
        <v>42</v>
      </c>
      <c r="I22" s="26" t="s">
        <v>42</v>
      </c>
      <c r="J22" s="26" t="s">
        <v>42</v>
      </c>
      <c r="K22" s="26" t="s">
        <v>42</v>
      </c>
      <c r="L22" s="26" t="s">
        <v>42</v>
      </c>
      <c r="M22" s="26" t="s">
        <v>42</v>
      </c>
      <c r="N22" s="26" t="s">
        <v>42</v>
      </c>
      <c r="O22" s="26" t="s">
        <v>42</v>
      </c>
      <c r="P22" s="26" t="s">
        <v>42</v>
      </c>
      <c r="Q22" s="26" t="s">
        <v>42</v>
      </c>
      <c r="R22" s="26" t="s">
        <v>42</v>
      </c>
      <c r="S22" s="26" t="s">
        <v>43</v>
      </c>
    </row>
    <row r="23" spans="1:20" s="6" customFormat="1" ht="15" customHeight="1" x14ac:dyDescent="0.3">
      <c r="A23" s="10"/>
      <c r="B23" s="10"/>
      <c r="C23" s="10"/>
      <c r="D23" s="10" t="s">
        <v>49</v>
      </c>
      <c r="E23" s="10"/>
      <c r="F23" s="25">
        <v>1258.049</v>
      </c>
      <c r="G23" s="25">
        <v>1399.412</v>
      </c>
      <c r="H23" s="25">
        <v>1419.057</v>
      </c>
      <c r="I23" s="25">
        <v>1559.2639999999999</v>
      </c>
      <c r="J23" s="25">
        <v>1577.8140000000001</v>
      </c>
      <c r="K23" s="25">
        <v>1625.1</v>
      </c>
      <c r="L23" s="25">
        <v>1776.24</v>
      </c>
      <c r="M23" s="25">
        <v>1889.511</v>
      </c>
      <c r="N23" s="25">
        <v>2010.828</v>
      </c>
      <c r="O23" s="25">
        <v>2209.3850000000002</v>
      </c>
      <c r="P23" s="25">
        <v>2206.9650000000001</v>
      </c>
      <c r="Q23" s="25">
        <v>2410.8150000000001</v>
      </c>
      <c r="R23" s="25">
        <v>7957.4750000000004</v>
      </c>
      <c r="S23" s="25">
        <v>18684.978999999999</v>
      </c>
      <c r="T23" s="25"/>
    </row>
    <row r="24" spans="1:20" s="6" customFormat="1" ht="15" customHeight="1" x14ac:dyDescent="0.3">
      <c r="A24" s="10"/>
      <c r="B24" s="10"/>
      <c r="C24" s="10"/>
      <c r="D24" s="10"/>
      <c r="E24" s="10"/>
      <c r="F24" s="23">
        <f>F23+F68</f>
        <v>1126.519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20" s="6" customFormat="1" ht="15" customHeight="1" x14ac:dyDescent="0.3">
      <c r="A25" s="10" t="s">
        <v>50</v>
      </c>
      <c r="B25" s="10"/>
      <c r="C25" s="10"/>
      <c r="D25" s="10"/>
      <c r="E25" s="10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20" s="6" customFormat="1" ht="16.5" customHeight="1" x14ac:dyDescent="0.3">
      <c r="A26" s="10"/>
      <c r="B26" s="10" t="s">
        <v>51</v>
      </c>
      <c r="C26" s="10"/>
      <c r="D26" s="10"/>
      <c r="E26" s="10"/>
      <c r="F26" s="25">
        <v>99.244</v>
      </c>
      <c r="G26" s="25">
        <v>369.25299999999999</v>
      </c>
      <c r="H26" s="25">
        <v>102.35299999999999</v>
      </c>
      <c r="I26" s="25">
        <v>99.980999999999995</v>
      </c>
      <c r="J26" s="25">
        <v>97.82</v>
      </c>
      <c r="K26" s="25">
        <v>98.616</v>
      </c>
      <c r="L26" s="25">
        <v>98.67</v>
      </c>
      <c r="M26" s="25">
        <v>98.427000000000007</v>
      </c>
      <c r="N26" s="25">
        <v>84.466999999999999</v>
      </c>
      <c r="O26" s="25">
        <v>83.573999999999998</v>
      </c>
      <c r="P26" s="25">
        <v>83.302999999999997</v>
      </c>
      <c r="Q26" s="25">
        <v>83.73</v>
      </c>
      <c r="R26" s="25">
        <v>497.44</v>
      </c>
      <c r="S26" s="25">
        <v>930.94100000000003</v>
      </c>
    </row>
    <row r="27" spans="1:20" s="6" customFormat="1" ht="15" customHeight="1" x14ac:dyDescent="0.3">
      <c r="A27" s="10"/>
      <c r="B27" s="10" t="s">
        <v>52</v>
      </c>
      <c r="C27" s="10"/>
      <c r="D27" s="10"/>
      <c r="E27" s="10"/>
      <c r="F27" s="25">
        <v>63.465000000000003</v>
      </c>
      <c r="G27" s="25">
        <v>91.944000000000003</v>
      </c>
      <c r="H27" s="25">
        <v>114.301</v>
      </c>
      <c r="I27" s="25">
        <v>94.231999999999999</v>
      </c>
      <c r="J27" s="25">
        <v>84.835999999999999</v>
      </c>
      <c r="K27" s="25">
        <v>84.662000000000006</v>
      </c>
      <c r="L27" s="25">
        <v>84.671000000000006</v>
      </c>
      <c r="M27" s="25">
        <v>84.638000000000005</v>
      </c>
      <c r="N27" s="25">
        <v>84.537000000000006</v>
      </c>
      <c r="O27" s="25">
        <v>83.39</v>
      </c>
      <c r="P27" s="25">
        <v>81.198999999999998</v>
      </c>
      <c r="Q27" s="25">
        <v>78.844999999999999</v>
      </c>
      <c r="R27" s="25">
        <v>462.702</v>
      </c>
      <c r="S27" s="25">
        <v>875.31100000000004</v>
      </c>
    </row>
    <row r="28" spans="1:20" s="6" customFormat="1" ht="16.5" customHeight="1" x14ac:dyDescent="0.3">
      <c r="A28" s="10"/>
      <c r="B28" s="10" t="s">
        <v>53</v>
      </c>
      <c r="C28" s="10"/>
      <c r="D28" s="10"/>
      <c r="E28" s="10"/>
      <c r="F28" s="25">
        <v>56.072000000000003</v>
      </c>
      <c r="G28" s="25">
        <v>57</v>
      </c>
      <c r="H28" s="25">
        <v>58.31</v>
      </c>
      <c r="I28" s="25">
        <v>65.16</v>
      </c>
      <c r="J28" s="25">
        <v>62.86</v>
      </c>
      <c r="K28" s="25">
        <v>60.36</v>
      </c>
      <c r="L28" s="25">
        <v>68.209999999999994</v>
      </c>
      <c r="M28" s="25">
        <v>70.36</v>
      </c>
      <c r="N28" s="25">
        <v>72.069999999999993</v>
      </c>
      <c r="O28" s="25">
        <v>79.540000000000006</v>
      </c>
      <c r="P28" s="25">
        <v>69.14</v>
      </c>
      <c r="Q28" s="25">
        <v>76.709999999999994</v>
      </c>
      <c r="R28" s="25">
        <v>314.89999999999998</v>
      </c>
      <c r="S28" s="25">
        <v>682.72</v>
      </c>
    </row>
    <row r="29" spans="1:20" s="6" customFormat="1" ht="15" customHeight="1" x14ac:dyDescent="0.3">
      <c r="A29" s="10"/>
      <c r="B29" s="10" t="s">
        <v>54</v>
      </c>
      <c r="C29" s="10"/>
      <c r="D29" s="10"/>
      <c r="E29" s="10"/>
      <c r="F29" s="25">
        <v>27.626999999999999</v>
      </c>
      <c r="G29" s="25">
        <v>556.65700000000004</v>
      </c>
      <c r="H29" s="25">
        <v>166.24100000000001</v>
      </c>
      <c r="I29" s="25">
        <v>66.784000000000006</v>
      </c>
      <c r="J29" s="25">
        <v>57.195999999999998</v>
      </c>
      <c r="K29" s="25">
        <v>53.128</v>
      </c>
      <c r="L29" s="25">
        <v>49.076000000000001</v>
      </c>
      <c r="M29" s="25">
        <v>46.4</v>
      </c>
      <c r="N29" s="25">
        <v>43.795000000000002</v>
      </c>
      <c r="O29" s="25">
        <v>42.014000000000003</v>
      </c>
      <c r="P29" s="25">
        <v>42.326999999999998</v>
      </c>
      <c r="Q29" s="25">
        <v>43.463000000000001</v>
      </c>
      <c r="R29" s="25">
        <v>392.42500000000001</v>
      </c>
      <c r="S29" s="25">
        <v>610.42399999999998</v>
      </c>
    </row>
    <row r="30" spans="1:20" s="6" customFormat="1" ht="16.5" customHeight="1" x14ac:dyDescent="0.3">
      <c r="A30" s="10"/>
      <c r="B30" s="10" t="s">
        <v>55</v>
      </c>
      <c r="C30" s="10"/>
      <c r="D30" s="10"/>
      <c r="E30" s="10"/>
      <c r="F30" s="25">
        <v>32.091999999999999</v>
      </c>
      <c r="G30" s="25">
        <v>33.136000000000003</v>
      </c>
      <c r="H30" s="25">
        <v>33.457000000000001</v>
      </c>
      <c r="I30" s="25">
        <v>33.357999999999997</v>
      </c>
      <c r="J30" s="25">
        <v>33.220999999999997</v>
      </c>
      <c r="K30" s="25">
        <v>33.551000000000002</v>
      </c>
      <c r="L30" s="25">
        <v>33.93</v>
      </c>
      <c r="M30" s="25">
        <v>34.127000000000002</v>
      </c>
      <c r="N30" s="25">
        <v>34.392000000000003</v>
      </c>
      <c r="O30" s="25">
        <v>34.612000000000002</v>
      </c>
      <c r="P30" s="25">
        <v>34.838000000000001</v>
      </c>
      <c r="Q30" s="25">
        <v>35.093000000000004</v>
      </c>
      <c r="R30" s="25">
        <v>167.517</v>
      </c>
      <c r="S30" s="25">
        <v>340.57900000000001</v>
      </c>
    </row>
    <row r="31" spans="1:20" s="6" customFormat="1" ht="15" customHeight="1" x14ac:dyDescent="0.3">
      <c r="A31" s="10"/>
      <c r="B31" s="10" t="s">
        <v>56</v>
      </c>
      <c r="C31" s="10"/>
      <c r="D31" s="10"/>
      <c r="E31" s="10"/>
      <c r="F31" s="25">
        <v>24.148</v>
      </c>
      <c r="G31" s="25">
        <v>23.616</v>
      </c>
      <c r="H31" s="25">
        <v>24.824999999999999</v>
      </c>
      <c r="I31" s="25">
        <v>26.01</v>
      </c>
      <c r="J31" s="25">
        <v>26.977</v>
      </c>
      <c r="K31" s="25">
        <v>27.97</v>
      </c>
      <c r="L31" s="25">
        <v>29.050999999999998</v>
      </c>
      <c r="M31" s="25">
        <v>30.202999999999999</v>
      </c>
      <c r="N31" s="25">
        <v>31.414999999999999</v>
      </c>
      <c r="O31" s="25">
        <v>32.686</v>
      </c>
      <c r="P31" s="25">
        <v>34.037999999999997</v>
      </c>
      <c r="Q31" s="25">
        <v>35.448999999999998</v>
      </c>
      <c r="R31" s="25">
        <v>134.833</v>
      </c>
      <c r="S31" s="25">
        <v>298.62400000000002</v>
      </c>
    </row>
    <row r="32" spans="1:20" s="6" customFormat="1" ht="3" customHeight="1" x14ac:dyDescent="0.3">
      <c r="A32" s="10"/>
      <c r="B32" s="10"/>
      <c r="C32" s="10"/>
      <c r="D32" s="10"/>
      <c r="E32" s="10"/>
      <c r="F32" s="26" t="s">
        <v>42</v>
      </c>
      <c r="G32" s="26" t="s">
        <v>42</v>
      </c>
      <c r="H32" s="26" t="s">
        <v>42</v>
      </c>
      <c r="I32" s="26" t="s">
        <v>42</v>
      </c>
      <c r="J32" s="26" t="s">
        <v>42</v>
      </c>
      <c r="K32" s="26" t="s">
        <v>42</v>
      </c>
      <c r="L32" s="26" t="s">
        <v>42</v>
      </c>
      <c r="M32" s="26" t="s">
        <v>42</v>
      </c>
      <c r="N32" s="26" t="s">
        <v>42</v>
      </c>
      <c r="O32" s="26" t="s">
        <v>42</v>
      </c>
      <c r="P32" s="26" t="s">
        <v>42</v>
      </c>
      <c r="Q32" s="26" t="s">
        <v>42</v>
      </c>
      <c r="R32" s="26" t="s">
        <v>42</v>
      </c>
      <c r="S32" s="26" t="s">
        <v>43</v>
      </c>
    </row>
    <row r="33" spans="1:24" s="6" customFormat="1" ht="15" customHeight="1" x14ac:dyDescent="0.3">
      <c r="A33" s="10"/>
      <c r="B33" s="10"/>
      <c r="C33" s="10"/>
      <c r="D33" s="10" t="s">
        <v>44</v>
      </c>
      <c r="E33" s="10"/>
      <c r="F33" s="25">
        <v>302.64800000000002</v>
      </c>
      <c r="G33" s="25">
        <v>1131.606</v>
      </c>
      <c r="H33" s="25">
        <v>499.48700000000002</v>
      </c>
      <c r="I33" s="25">
        <v>385.52499999999998</v>
      </c>
      <c r="J33" s="25">
        <v>362.91</v>
      </c>
      <c r="K33" s="25">
        <v>358.28699999999998</v>
      </c>
      <c r="L33" s="25">
        <v>363.608</v>
      </c>
      <c r="M33" s="25">
        <v>364.15499999999997</v>
      </c>
      <c r="N33" s="25">
        <v>350.67599999999999</v>
      </c>
      <c r="O33" s="25">
        <v>355.81599999999997</v>
      </c>
      <c r="P33" s="25">
        <v>344.84500000000003</v>
      </c>
      <c r="Q33" s="25">
        <v>353.29</v>
      </c>
      <c r="R33" s="25">
        <v>1969.817</v>
      </c>
      <c r="S33" s="25">
        <v>3738.5990000000002</v>
      </c>
    </row>
    <row r="34" spans="1:24" s="6" customFormat="1" ht="15" customHeight="1" x14ac:dyDescent="0.3">
      <c r="A34" s="10"/>
      <c r="B34" s="10"/>
      <c r="C34" s="10"/>
      <c r="D34" s="10"/>
      <c r="E34" s="10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V34" s="6">
        <v>2156</v>
      </c>
      <c r="W34" s="6">
        <v>3225</v>
      </c>
      <c r="X34" s="6">
        <f>W34-V34</f>
        <v>1069</v>
      </c>
    </row>
    <row r="35" spans="1:24" s="6" customFormat="1" ht="15" customHeight="1" x14ac:dyDescent="0.3">
      <c r="A35" s="10" t="s">
        <v>57</v>
      </c>
      <c r="B35" s="10"/>
      <c r="C35" s="10"/>
      <c r="D35" s="10"/>
      <c r="E35" s="10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U35" s="6" t="s">
        <v>154</v>
      </c>
      <c r="V35" s="6">
        <v>775</v>
      </c>
      <c r="W35" s="6">
        <v>862</v>
      </c>
      <c r="X35" s="6">
        <f>W35-V35</f>
        <v>87</v>
      </c>
    </row>
    <row r="36" spans="1:24" s="6" customFormat="1" ht="16.5" customHeight="1" x14ac:dyDescent="0.3">
      <c r="A36" s="10"/>
      <c r="B36" s="10" t="s">
        <v>58</v>
      </c>
      <c r="C36" s="10"/>
      <c r="D36" s="10"/>
      <c r="E36" s="10"/>
      <c r="F36" s="25">
        <v>105.95099999999999</v>
      </c>
      <c r="G36" s="25">
        <v>108.867</v>
      </c>
      <c r="H36" s="25">
        <v>111.551</v>
      </c>
      <c r="I36" s="25">
        <v>114.39</v>
      </c>
      <c r="J36" s="25">
        <v>117.389</v>
      </c>
      <c r="K36" s="25">
        <v>120.721</v>
      </c>
      <c r="L36" s="25">
        <v>124.235</v>
      </c>
      <c r="M36" s="25">
        <v>127.459</v>
      </c>
      <c r="N36" s="25">
        <v>131.07499999999999</v>
      </c>
      <c r="O36" s="25">
        <v>134.679</v>
      </c>
      <c r="P36" s="25">
        <v>138.11099999999999</v>
      </c>
      <c r="Q36" s="25">
        <v>141.51</v>
      </c>
      <c r="R36" s="25">
        <v>588.28599999999994</v>
      </c>
      <c r="S36" s="25">
        <v>1261.1199999999999</v>
      </c>
      <c r="U36" s="6" t="s">
        <v>155</v>
      </c>
      <c r="V36" s="6">
        <v>99</v>
      </c>
      <c r="W36" s="6">
        <v>369</v>
      </c>
      <c r="X36" s="6">
        <f>W36-V36</f>
        <v>270</v>
      </c>
    </row>
    <row r="37" spans="1:24" s="6" customFormat="1" ht="15" customHeight="1" x14ac:dyDescent="0.3">
      <c r="A37" s="10"/>
      <c r="B37" s="10" t="s">
        <v>59</v>
      </c>
      <c r="C37" s="10"/>
      <c r="D37" s="10"/>
      <c r="E37" s="10"/>
      <c r="F37" s="25">
        <v>60.703000000000003</v>
      </c>
      <c r="G37" s="25">
        <v>62.25</v>
      </c>
      <c r="H37" s="25">
        <v>63.75</v>
      </c>
      <c r="I37" s="25">
        <v>70.5</v>
      </c>
      <c r="J37" s="25">
        <v>67.2</v>
      </c>
      <c r="K37" s="25">
        <v>63.35</v>
      </c>
      <c r="L37" s="25">
        <v>70.400000000000006</v>
      </c>
      <c r="M37" s="25">
        <v>72.2</v>
      </c>
      <c r="N37" s="25">
        <v>74</v>
      </c>
      <c r="O37" s="25">
        <v>81.8</v>
      </c>
      <c r="P37" s="25">
        <v>71.7</v>
      </c>
      <c r="Q37" s="25">
        <v>79.599999999999994</v>
      </c>
      <c r="R37" s="25">
        <v>335.2</v>
      </c>
      <c r="S37" s="25">
        <v>714.5</v>
      </c>
      <c r="U37" s="6" t="s">
        <v>13</v>
      </c>
      <c r="V37" s="6">
        <v>28</v>
      </c>
      <c r="W37" s="6">
        <v>557</v>
      </c>
      <c r="X37" s="6">
        <f>W37-V37</f>
        <v>529</v>
      </c>
    </row>
    <row r="38" spans="1:24" s="6" customFormat="1" ht="15" customHeight="1" x14ac:dyDescent="0.3">
      <c r="A38" s="10"/>
      <c r="B38" s="10" t="s">
        <v>60</v>
      </c>
      <c r="C38" s="10"/>
      <c r="D38" s="10"/>
      <c r="E38" s="10"/>
      <c r="F38" s="25">
        <v>3.3919999999999999</v>
      </c>
      <c r="G38" s="25">
        <v>2.0179999999999998</v>
      </c>
      <c r="H38" s="25">
        <v>3.8940000000000001</v>
      </c>
      <c r="I38" s="25">
        <v>4.3310000000000004</v>
      </c>
      <c r="J38" s="25">
        <v>5.1680000000000001</v>
      </c>
      <c r="K38" s="25">
        <v>5.306</v>
      </c>
      <c r="L38" s="25">
        <v>1.9339999999999999</v>
      </c>
      <c r="M38" s="25">
        <v>10.694000000000001</v>
      </c>
      <c r="N38" s="25">
        <v>6.8220000000000001</v>
      </c>
      <c r="O38" s="25">
        <v>6.0540000000000003</v>
      </c>
      <c r="P38" s="25">
        <v>6.1280000000000001</v>
      </c>
      <c r="Q38" s="25">
        <v>6.3620000000000001</v>
      </c>
      <c r="R38" s="25">
        <v>20.632999999999999</v>
      </c>
      <c r="S38" s="25">
        <v>56.692999999999998</v>
      </c>
      <c r="U38" s="6" t="s">
        <v>156</v>
      </c>
      <c r="V38" s="6">
        <v>63</v>
      </c>
      <c r="W38" s="6">
        <v>92</v>
      </c>
      <c r="X38" s="6">
        <f>W38-V38</f>
        <v>29</v>
      </c>
    </row>
    <row r="39" spans="1:24" s="6" customFormat="1" ht="3" customHeight="1" x14ac:dyDescent="0.3">
      <c r="A39" s="10"/>
      <c r="B39" s="10"/>
      <c r="C39" s="10"/>
      <c r="D39" s="10"/>
      <c r="E39" s="10"/>
      <c r="F39" s="26" t="s">
        <v>42</v>
      </c>
      <c r="G39" s="26" t="s">
        <v>42</v>
      </c>
      <c r="H39" s="26" t="s">
        <v>42</v>
      </c>
      <c r="I39" s="26" t="s">
        <v>42</v>
      </c>
      <c r="J39" s="26" t="s">
        <v>42</v>
      </c>
      <c r="K39" s="26" t="s">
        <v>42</v>
      </c>
      <c r="L39" s="26" t="s">
        <v>42</v>
      </c>
      <c r="M39" s="26" t="s">
        <v>42</v>
      </c>
      <c r="N39" s="26" t="s">
        <v>42</v>
      </c>
      <c r="O39" s="26" t="s">
        <v>42</v>
      </c>
      <c r="P39" s="26" t="s">
        <v>42</v>
      </c>
      <c r="Q39" s="26" t="s">
        <v>42</v>
      </c>
      <c r="R39" s="26" t="s">
        <v>42</v>
      </c>
      <c r="S39" s="26" t="s">
        <v>43</v>
      </c>
    </row>
    <row r="40" spans="1:24" s="6" customFormat="1" ht="15" customHeight="1" x14ac:dyDescent="0.3">
      <c r="A40" s="10"/>
      <c r="B40" s="10"/>
      <c r="C40" s="10"/>
      <c r="D40" s="10" t="s">
        <v>44</v>
      </c>
      <c r="E40" s="10"/>
      <c r="F40" s="25">
        <v>170.04599999999999</v>
      </c>
      <c r="G40" s="25">
        <v>173.13499999999999</v>
      </c>
      <c r="H40" s="25">
        <v>179.19499999999999</v>
      </c>
      <c r="I40" s="25">
        <v>189.221</v>
      </c>
      <c r="J40" s="25">
        <v>189.75700000000001</v>
      </c>
      <c r="K40" s="25">
        <v>189.37700000000001</v>
      </c>
      <c r="L40" s="25">
        <v>196.56899999999999</v>
      </c>
      <c r="M40" s="25">
        <v>210.35300000000001</v>
      </c>
      <c r="N40" s="25">
        <v>211.89699999999999</v>
      </c>
      <c r="O40" s="25">
        <v>222.53299999999999</v>
      </c>
      <c r="P40" s="25">
        <v>215.93899999999999</v>
      </c>
      <c r="Q40" s="25">
        <v>227.47200000000001</v>
      </c>
      <c r="R40" s="25">
        <v>944.11900000000003</v>
      </c>
      <c r="S40" s="25">
        <v>2032.3130000000001</v>
      </c>
      <c r="U40" s="6" t="s">
        <v>157</v>
      </c>
      <c r="V40" s="6">
        <v>115</v>
      </c>
      <c r="W40" s="6">
        <v>122</v>
      </c>
      <c r="X40" s="6">
        <f>W40-V40</f>
        <v>7</v>
      </c>
    </row>
    <row r="41" spans="1:24" s="6" customFormat="1" ht="15" customHeight="1" x14ac:dyDescent="0.3">
      <c r="A41" s="10"/>
      <c r="B41" s="10"/>
      <c r="C41" s="10"/>
      <c r="D41" s="10"/>
      <c r="E41" s="10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U41" s="6" t="s">
        <v>158</v>
      </c>
      <c r="V41" s="6">
        <v>1038</v>
      </c>
      <c r="W41" s="6">
        <v>1091</v>
      </c>
      <c r="X41" s="6">
        <f>W41-V41</f>
        <v>53</v>
      </c>
    </row>
    <row r="42" spans="1:24" s="6" customFormat="1" ht="16.5" customHeight="1" x14ac:dyDescent="0.3">
      <c r="A42" s="10" t="s">
        <v>61</v>
      </c>
      <c r="B42" s="10"/>
      <c r="C42" s="10"/>
      <c r="D42" s="10"/>
      <c r="E42" s="10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U42" s="6" t="s">
        <v>159</v>
      </c>
      <c r="V42" s="6">
        <v>0</v>
      </c>
      <c r="W42" s="6">
        <v>105</v>
      </c>
      <c r="X42" s="6">
        <f>W42-V42</f>
        <v>105</v>
      </c>
    </row>
    <row r="43" spans="1:24" s="6" customFormat="1" ht="15" customHeight="1" x14ac:dyDescent="0.3">
      <c r="A43" s="10"/>
      <c r="B43" s="10" t="s">
        <v>62</v>
      </c>
      <c r="C43" s="10"/>
      <c r="D43" s="10"/>
      <c r="E43" s="10"/>
      <c r="F43" s="25">
        <v>101.09699999999999</v>
      </c>
      <c r="G43" s="25">
        <v>111.658</v>
      </c>
      <c r="H43" s="25">
        <v>115.39100000000001</v>
      </c>
      <c r="I43" s="25">
        <v>128.47800000000001</v>
      </c>
      <c r="J43" s="25">
        <v>123.547</v>
      </c>
      <c r="K43" s="25">
        <v>116.509</v>
      </c>
      <c r="L43" s="25">
        <v>131.29</v>
      </c>
      <c r="M43" s="25">
        <v>135.39500000000001</v>
      </c>
      <c r="N43" s="25">
        <v>139.499</v>
      </c>
      <c r="O43" s="25">
        <v>155.96</v>
      </c>
      <c r="P43" s="25">
        <v>135.941</v>
      </c>
      <c r="Q43" s="25">
        <v>152.64099999999999</v>
      </c>
      <c r="R43" s="25">
        <v>615.21500000000003</v>
      </c>
      <c r="S43" s="25">
        <v>1334.6510000000001</v>
      </c>
      <c r="T43" s="25"/>
      <c r="X43" s="6">
        <f>SUM(X35:X42)</f>
        <v>1080</v>
      </c>
    </row>
    <row r="44" spans="1:24" s="6" customFormat="1" ht="15" customHeight="1" x14ac:dyDescent="0.3">
      <c r="A44" s="10"/>
      <c r="B44" s="10" t="s">
        <v>60</v>
      </c>
      <c r="C44" s="10"/>
      <c r="D44" s="10"/>
      <c r="E44" s="10"/>
      <c r="F44" s="25">
        <v>13.925000000000001</v>
      </c>
      <c r="G44" s="25">
        <v>9.9890000000000008</v>
      </c>
      <c r="H44" s="25">
        <v>16.190999999999999</v>
      </c>
      <c r="I44" s="25">
        <v>18.504999999999999</v>
      </c>
      <c r="J44" s="25">
        <v>17.693999999999999</v>
      </c>
      <c r="K44" s="25">
        <v>16.899999999999999</v>
      </c>
      <c r="L44" s="25">
        <v>17.806000000000001</v>
      </c>
      <c r="M44" s="25">
        <v>18.079000000000001</v>
      </c>
      <c r="N44" s="25">
        <v>18.611000000000001</v>
      </c>
      <c r="O44" s="25">
        <v>20.059000000000001</v>
      </c>
      <c r="P44" s="25">
        <v>18.477</v>
      </c>
      <c r="Q44" s="25">
        <v>20.954999999999998</v>
      </c>
      <c r="R44" s="25">
        <v>87.096000000000004</v>
      </c>
      <c r="S44" s="25">
        <v>183.27699999999999</v>
      </c>
    </row>
    <row r="45" spans="1:24" s="6" customFormat="1" ht="3" customHeight="1" x14ac:dyDescent="0.3">
      <c r="A45" s="10"/>
      <c r="B45" s="10"/>
      <c r="C45" s="10"/>
      <c r="D45" s="10"/>
      <c r="E45" s="10"/>
      <c r="F45" s="26" t="s">
        <v>42</v>
      </c>
      <c r="G45" s="26" t="s">
        <v>42</v>
      </c>
      <c r="H45" s="26" t="s">
        <v>42</v>
      </c>
      <c r="I45" s="26" t="s">
        <v>42</v>
      </c>
      <c r="J45" s="26" t="s">
        <v>42</v>
      </c>
      <c r="K45" s="26" t="s">
        <v>42</v>
      </c>
      <c r="L45" s="26" t="s">
        <v>42</v>
      </c>
      <c r="M45" s="26" t="s">
        <v>42</v>
      </c>
      <c r="N45" s="26" t="s">
        <v>42</v>
      </c>
      <c r="O45" s="26" t="s">
        <v>42</v>
      </c>
      <c r="P45" s="26" t="s">
        <v>42</v>
      </c>
      <c r="Q45" s="26" t="s">
        <v>42</v>
      </c>
      <c r="R45" s="26" t="s">
        <v>42</v>
      </c>
      <c r="S45" s="26" t="s">
        <v>43</v>
      </c>
    </row>
    <row r="46" spans="1:24" s="6" customFormat="1" ht="15" customHeight="1" x14ac:dyDescent="0.3">
      <c r="A46" s="10"/>
      <c r="B46" s="10"/>
      <c r="C46" s="10"/>
      <c r="D46" s="10" t="s">
        <v>44</v>
      </c>
      <c r="E46" s="10"/>
      <c r="F46" s="25">
        <v>115.02200000000001</v>
      </c>
      <c r="G46" s="25">
        <v>121.64700000000001</v>
      </c>
      <c r="H46" s="25">
        <v>131.58199999999999</v>
      </c>
      <c r="I46" s="25">
        <v>146.983</v>
      </c>
      <c r="J46" s="25">
        <v>141.24100000000001</v>
      </c>
      <c r="K46" s="25">
        <v>133.40899999999999</v>
      </c>
      <c r="L46" s="25">
        <v>149.096</v>
      </c>
      <c r="M46" s="25">
        <v>153.47399999999999</v>
      </c>
      <c r="N46" s="25">
        <v>158.11000000000001</v>
      </c>
      <c r="O46" s="25">
        <v>176.01900000000001</v>
      </c>
      <c r="P46" s="25">
        <v>154.41800000000001</v>
      </c>
      <c r="Q46" s="25">
        <v>173.596</v>
      </c>
      <c r="R46" s="25">
        <v>702.31100000000004</v>
      </c>
      <c r="S46" s="25">
        <v>1517.9280000000001</v>
      </c>
    </row>
    <row r="47" spans="1:24" s="91" customFormat="1" ht="15" customHeight="1" x14ac:dyDescent="0.3">
      <c r="A47" s="89"/>
      <c r="B47" s="89"/>
      <c r="C47" s="89"/>
      <c r="D47" s="89"/>
      <c r="E47" s="89"/>
      <c r="F47" s="90">
        <f>F15+F23-F21-F19+F33+F68+F46+F48</f>
        <v>2155.5680000000002</v>
      </c>
      <c r="G47" s="90">
        <f>G15+G23-G21-G19+G33+G68+G46+G48</f>
        <v>3224.5829999999996</v>
      </c>
      <c r="H47" s="90">
        <f>H15+H23-H21-H19+H33+H68+H46</f>
        <v>2492.3159999999998</v>
      </c>
      <c r="I47" s="90">
        <f>I15+I23-I21-I19+I33+I68+I46</f>
        <v>2602.0319999999997</v>
      </c>
      <c r="J47" s="90"/>
      <c r="K47" s="90"/>
      <c r="L47" s="90"/>
      <c r="M47" s="90"/>
      <c r="N47" s="90"/>
      <c r="O47" s="90"/>
      <c r="P47" s="90"/>
      <c r="Q47" s="90"/>
      <c r="R47" s="90"/>
      <c r="S47" s="90"/>
    </row>
    <row r="48" spans="1:24" s="91" customFormat="1" ht="15" customHeight="1" x14ac:dyDescent="0.3">
      <c r="A48" s="89" t="s">
        <v>152</v>
      </c>
      <c r="B48" s="89"/>
      <c r="C48" s="89"/>
      <c r="D48" s="89"/>
      <c r="E48" s="89"/>
      <c r="F48" s="90"/>
      <c r="G48" s="90">
        <f>175*0.6</f>
        <v>105</v>
      </c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</row>
    <row r="49" spans="1:19" s="91" customFormat="1" ht="15" customHeight="1" x14ac:dyDescent="0.3">
      <c r="A49" s="89" t="s">
        <v>160</v>
      </c>
      <c r="B49" s="89"/>
      <c r="C49" s="89"/>
      <c r="D49" s="89"/>
      <c r="E49" s="89"/>
      <c r="F49" s="90"/>
      <c r="G49" s="90">
        <f>G47-G48-G29+F29-G26+F26-G18+H18</f>
        <v>2268.2089999999994</v>
      </c>
      <c r="H49" s="90">
        <f>H47-H29+F29-H27-F27</f>
        <v>2175.9359999999997</v>
      </c>
      <c r="I49" s="90">
        <f>I47-I29-F29-I27-F27</f>
        <v>2349.9239999999995</v>
      </c>
      <c r="J49" s="90"/>
      <c r="K49" s="90"/>
      <c r="L49" s="90"/>
      <c r="M49" s="90"/>
      <c r="N49" s="90"/>
      <c r="O49" s="90"/>
      <c r="P49" s="90"/>
      <c r="Q49" s="90"/>
      <c r="R49" s="90"/>
      <c r="S49" s="90"/>
    </row>
    <row r="50" spans="1:19" s="91" customFormat="1" ht="15" customHeight="1" x14ac:dyDescent="0.3">
      <c r="A50" s="89" t="s">
        <v>161</v>
      </c>
      <c r="B50" s="89"/>
      <c r="C50" s="89"/>
      <c r="D50" s="89"/>
      <c r="E50" s="89"/>
      <c r="F50" s="90"/>
      <c r="G50" s="90">
        <f>G47-G49</f>
        <v>956.37400000000025</v>
      </c>
      <c r="H50" s="90">
        <f t="shared" ref="H50:I50" si="0">H47-H49</f>
        <v>316.38000000000011</v>
      </c>
      <c r="I50" s="90">
        <f t="shared" si="0"/>
        <v>252.10800000000017</v>
      </c>
      <c r="J50" s="90"/>
      <c r="K50" s="90"/>
      <c r="L50" s="90"/>
      <c r="M50" s="90"/>
      <c r="N50" s="90"/>
      <c r="O50" s="90"/>
      <c r="P50" s="90"/>
      <c r="Q50" s="90"/>
      <c r="R50" s="90"/>
      <c r="S50" s="90"/>
    </row>
    <row r="51" spans="1:19" s="91" customFormat="1" ht="15" customHeight="1" x14ac:dyDescent="0.3">
      <c r="A51" s="89"/>
      <c r="B51" s="89"/>
      <c r="C51" s="89"/>
      <c r="D51" s="89"/>
      <c r="E51" s="89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</row>
    <row r="52" spans="1:19" s="6" customFormat="1" ht="15" customHeight="1" x14ac:dyDescent="0.3">
      <c r="A52" s="10" t="s">
        <v>63</v>
      </c>
      <c r="B52" s="10"/>
      <c r="C52" s="10"/>
      <c r="D52" s="10"/>
      <c r="E52" s="10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s="6" customFormat="1" ht="15" customHeight="1" x14ac:dyDescent="0.3">
      <c r="A53" s="10"/>
      <c r="B53" s="10" t="s">
        <v>64</v>
      </c>
      <c r="C53" s="10"/>
      <c r="D53" s="10"/>
      <c r="E53" s="10"/>
      <c r="F53" s="24">
        <v>-0.73199999999999998</v>
      </c>
      <c r="G53" s="24">
        <v>576.51800000000003</v>
      </c>
      <c r="H53" s="24">
        <v>0.106</v>
      </c>
      <c r="I53" s="24">
        <v>6.6000000000000003E-2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0.17199999999999999</v>
      </c>
      <c r="S53" s="24">
        <v>0.17199999999999999</v>
      </c>
    </row>
    <row r="54" spans="1:19" s="6" customFormat="1" ht="15" customHeight="1" x14ac:dyDescent="0.3">
      <c r="A54" s="10"/>
      <c r="B54" s="10" t="s">
        <v>65</v>
      </c>
      <c r="C54" s="10"/>
      <c r="D54" s="10"/>
      <c r="E54" s="10"/>
      <c r="F54" s="24">
        <v>0</v>
      </c>
      <c r="G54" s="24">
        <v>149.97300000000001</v>
      </c>
      <c r="H54" s="24">
        <v>2.5999999999999999E-2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2.5999999999999999E-2</v>
      </c>
      <c r="S54" s="24">
        <v>2.5999999999999999E-2</v>
      </c>
    </row>
    <row r="55" spans="1:19" s="6" customFormat="1" ht="15" customHeight="1" x14ac:dyDescent="0.3">
      <c r="A55" s="10"/>
      <c r="B55" s="10" t="s">
        <v>66</v>
      </c>
      <c r="C55" s="10"/>
      <c r="D55" s="10"/>
      <c r="E55" s="10"/>
      <c r="F55" s="24">
        <v>32.045999999999999</v>
      </c>
      <c r="G55" s="24">
        <v>29.885000000000002</v>
      </c>
      <c r="H55" s="24">
        <v>20.061</v>
      </c>
      <c r="I55" s="24">
        <v>19.181000000000001</v>
      </c>
      <c r="J55" s="24">
        <v>18.681000000000001</v>
      </c>
      <c r="K55" s="24">
        <v>18.213000000000001</v>
      </c>
      <c r="L55" s="24">
        <v>17.533999999999999</v>
      </c>
      <c r="M55" s="24">
        <v>17.527999999999999</v>
      </c>
      <c r="N55" s="24">
        <v>17.11</v>
      </c>
      <c r="O55" s="24">
        <v>17.074999999999999</v>
      </c>
      <c r="P55" s="24">
        <v>16.859000000000002</v>
      </c>
      <c r="Q55" s="24">
        <v>16.908000000000001</v>
      </c>
      <c r="R55" s="24">
        <v>93.67</v>
      </c>
      <c r="S55" s="24">
        <v>179.15</v>
      </c>
    </row>
    <row r="56" spans="1:19" s="6" customFormat="1" ht="15" customHeight="1" x14ac:dyDescent="0.3">
      <c r="A56" s="10"/>
      <c r="B56" s="10" t="s">
        <v>67</v>
      </c>
      <c r="C56" s="10"/>
      <c r="D56" s="10"/>
      <c r="E56" s="10"/>
      <c r="F56" s="24">
        <v>-8.0730000000000004</v>
      </c>
      <c r="G56" s="24">
        <v>-6.1150000000000002</v>
      </c>
      <c r="H56" s="24">
        <v>-3.4049999999999998</v>
      </c>
      <c r="I56" s="24">
        <v>-3.9980000000000002</v>
      </c>
      <c r="J56" s="24">
        <v>-2.9009999999999998</v>
      </c>
      <c r="K56" s="24">
        <v>-2.379</v>
      </c>
      <c r="L56" s="24">
        <v>-2.9540000000000002</v>
      </c>
      <c r="M56" s="24">
        <v>-3.64</v>
      </c>
      <c r="N56" s="24">
        <v>-4.3630000000000004</v>
      </c>
      <c r="O56" s="24">
        <v>-5.194</v>
      </c>
      <c r="P56" s="24">
        <v>-6.0990000000000002</v>
      </c>
      <c r="Q56" s="24">
        <v>-7.0890000000000004</v>
      </c>
      <c r="R56" s="24">
        <v>-15.637</v>
      </c>
      <c r="S56" s="24">
        <v>-42.021999999999998</v>
      </c>
    </row>
    <row r="57" spans="1:19" s="6" customFormat="1" ht="15" customHeight="1" x14ac:dyDescent="0.3">
      <c r="A57" s="10"/>
      <c r="B57" s="10" t="s">
        <v>68</v>
      </c>
      <c r="C57" s="10"/>
      <c r="D57" s="10"/>
      <c r="E57" s="10"/>
      <c r="F57" s="24">
        <v>10.457000000000001</v>
      </c>
      <c r="G57" s="24">
        <v>10.657999999999999</v>
      </c>
      <c r="H57" s="24">
        <v>11.2</v>
      </c>
      <c r="I57" s="24">
        <v>11.794</v>
      </c>
      <c r="J57" s="24">
        <v>12.409000000000001</v>
      </c>
      <c r="K57" s="24">
        <v>12.923999999999999</v>
      </c>
      <c r="L57" s="24">
        <v>13.631</v>
      </c>
      <c r="M57" s="24">
        <v>14.273</v>
      </c>
      <c r="N57" s="24">
        <v>15.036</v>
      </c>
      <c r="O57" s="24">
        <v>15.776</v>
      </c>
      <c r="P57" s="24">
        <v>16.579000000000001</v>
      </c>
      <c r="Q57" s="24">
        <v>17.369</v>
      </c>
      <c r="R57" s="24">
        <v>61.957999999999998</v>
      </c>
      <c r="S57" s="24">
        <v>140.99100000000001</v>
      </c>
    </row>
    <row r="58" spans="1:19" s="6" customFormat="1" ht="16.5" customHeight="1" x14ac:dyDescent="0.3">
      <c r="A58" s="10"/>
      <c r="B58" s="28" t="s">
        <v>69</v>
      </c>
      <c r="C58" s="10"/>
      <c r="D58" s="10"/>
      <c r="E58" s="10"/>
      <c r="F58" s="24">
        <v>0</v>
      </c>
      <c r="G58" s="24">
        <v>0</v>
      </c>
      <c r="H58" s="24">
        <v>2.57</v>
      </c>
      <c r="I58" s="24">
        <v>4.91</v>
      </c>
      <c r="J58" s="24">
        <v>4.29</v>
      </c>
      <c r="K58" s="24">
        <v>4.68</v>
      </c>
      <c r="L58" s="24">
        <v>5.23</v>
      </c>
      <c r="M58" s="24">
        <v>5.44</v>
      </c>
      <c r="N58" s="24">
        <v>5.63</v>
      </c>
      <c r="O58" s="24">
        <v>5.9</v>
      </c>
      <c r="P58" s="24">
        <v>6.23</v>
      </c>
      <c r="Q58" s="24">
        <v>6.91</v>
      </c>
      <c r="R58" s="24">
        <v>21.68</v>
      </c>
      <c r="S58" s="24">
        <v>51.79</v>
      </c>
    </row>
    <row r="59" spans="1:19" s="6" customFormat="1" ht="15" customHeight="1" x14ac:dyDescent="0.3">
      <c r="A59" s="10"/>
      <c r="B59" s="10" t="s">
        <v>70</v>
      </c>
      <c r="C59" s="10"/>
      <c r="D59" s="10"/>
      <c r="E59" s="10"/>
      <c r="F59" s="24">
        <v>33.152000000000001</v>
      </c>
      <c r="G59" s="24">
        <v>93.71</v>
      </c>
      <c r="H59" s="24">
        <v>1.1819999999999999</v>
      </c>
      <c r="I59" s="24">
        <v>1.1870000000000001</v>
      </c>
      <c r="J59" s="24">
        <v>1.4530000000000001</v>
      </c>
      <c r="K59" s="24">
        <v>1.7789999999999999</v>
      </c>
      <c r="L59" s="24">
        <v>2.2200000000000002</v>
      </c>
      <c r="M59" s="24">
        <v>2.984</v>
      </c>
      <c r="N59" s="24">
        <v>3.907</v>
      </c>
      <c r="O59" s="24">
        <v>4.694</v>
      </c>
      <c r="P59" s="24">
        <v>5.0339999999999998</v>
      </c>
      <c r="Q59" s="24">
        <v>5.3890000000000002</v>
      </c>
      <c r="R59" s="24">
        <v>7.8209999999999997</v>
      </c>
      <c r="S59" s="24">
        <v>29.829000000000001</v>
      </c>
    </row>
    <row r="60" spans="1:19" s="6" customFormat="1" ht="15" customHeight="1" x14ac:dyDescent="0.3">
      <c r="A60" s="10"/>
      <c r="B60" s="10" t="s">
        <v>60</v>
      </c>
      <c r="C60" s="10"/>
      <c r="D60" s="10"/>
      <c r="E60" s="10"/>
      <c r="F60" s="24">
        <v>58.710999999999999</v>
      </c>
      <c r="G60" s="24">
        <v>114.73099999999999</v>
      </c>
      <c r="H60" s="24">
        <v>68.715000000000003</v>
      </c>
      <c r="I60" s="24">
        <v>71.436999999999998</v>
      </c>
      <c r="J60" s="24">
        <v>69.662999999999997</v>
      </c>
      <c r="K60" s="24">
        <v>69.725999999999999</v>
      </c>
      <c r="L60" s="24">
        <v>70.003</v>
      </c>
      <c r="M60" s="24">
        <v>70.840999999999994</v>
      </c>
      <c r="N60" s="24">
        <v>69.992000000000004</v>
      </c>
      <c r="O60" s="24">
        <v>70.025000000000006</v>
      </c>
      <c r="P60" s="24">
        <v>69.733000000000004</v>
      </c>
      <c r="Q60" s="24">
        <v>67.626000000000005</v>
      </c>
      <c r="R60" s="24">
        <v>349.54399999999998</v>
      </c>
      <c r="S60" s="24">
        <v>697.76099999999997</v>
      </c>
    </row>
    <row r="61" spans="1:19" s="6" customFormat="1" ht="3" customHeight="1" x14ac:dyDescent="0.3">
      <c r="A61" s="10"/>
      <c r="B61" s="10"/>
      <c r="C61" s="10"/>
      <c r="D61" s="10"/>
      <c r="E61" s="10"/>
      <c r="F61" s="26" t="s">
        <v>42</v>
      </c>
      <c r="G61" s="26" t="s">
        <v>42</v>
      </c>
      <c r="H61" s="26" t="s">
        <v>42</v>
      </c>
      <c r="I61" s="26" t="s">
        <v>42</v>
      </c>
      <c r="J61" s="26" t="s">
        <v>42</v>
      </c>
      <c r="K61" s="26" t="s">
        <v>42</v>
      </c>
      <c r="L61" s="26" t="s">
        <v>42</v>
      </c>
      <c r="M61" s="26" t="s">
        <v>42</v>
      </c>
      <c r="N61" s="26" t="s">
        <v>42</v>
      </c>
      <c r="O61" s="26" t="s">
        <v>42</v>
      </c>
      <c r="P61" s="26" t="s">
        <v>42</v>
      </c>
      <c r="Q61" s="26" t="s">
        <v>42</v>
      </c>
      <c r="R61" s="26" t="s">
        <v>42</v>
      </c>
      <c r="S61" s="26" t="s">
        <v>43</v>
      </c>
    </row>
    <row r="62" spans="1:19" s="6" customFormat="1" ht="15" customHeight="1" x14ac:dyDescent="0.3">
      <c r="A62" s="10"/>
      <c r="B62" s="10"/>
      <c r="C62" s="10"/>
      <c r="D62" s="10" t="s">
        <v>44</v>
      </c>
      <c r="E62" s="10"/>
      <c r="F62" s="24">
        <v>125.56100000000001</v>
      </c>
      <c r="G62" s="24">
        <v>969.36</v>
      </c>
      <c r="H62" s="24">
        <v>100.455</v>
      </c>
      <c r="I62" s="24">
        <v>104.577</v>
      </c>
      <c r="J62" s="24">
        <v>103.595</v>
      </c>
      <c r="K62" s="24">
        <v>104.943</v>
      </c>
      <c r="L62" s="24">
        <v>105.664</v>
      </c>
      <c r="M62" s="24">
        <v>107.426</v>
      </c>
      <c r="N62" s="24">
        <v>107.312</v>
      </c>
      <c r="O62" s="24">
        <v>108.276</v>
      </c>
      <c r="P62" s="24">
        <v>108.336</v>
      </c>
      <c r="Q62" s="24">
        <v>107.113</v>
      </c>
      <c r="R62" s="24">
        <v>519.23400000000004</v>
      </c>
      <c r="S62" s="24">
        <v>1057.6969999999999</v>
      </c>
    </row>
    <row r="63" spans="1:19" s="6" customFormat="1" ht="15" customHeight="1" x14ac:dyDescent="0.3">
      <c r="A63" s="10"/>
      <c r="B63" s="10"/>
      <c r="C63" s="10"/>
      <c r="D63" s="10"/>
      <c r="E63" s="10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 s="6" customFormat="1" ht="15" customHeight="1" x14ac:dyDescent="0.3">
      <c r="A64" s="10" t="s">
        <v>71</v>
      </c>
      <c r="B64" s="10"/>
      <c r="C64" s="10"/>
      <c r="D64" s="10"/>
      <c r="E64" s="10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 s="6" customFormat="1" ht="15" customHeight="1" x14ac:dyDescent="0.3">
      <c r="A65" s="10" t="s">
        <v>72</v>
      </c>
      <c r="B65" s="10"/>
      <c r="C65" s="10"/>
      <c r="D65" s="10"/>
      <c r="E65" s="10"/>
      <c r="F65" s="25">
        <v>3009.8150000000001</v>
      </c>
      <c r="G65" s="25">
        <v>4886.0630000000001</v>
      </c>
      <c r="H65" s="25">
        <v>3471.8890000000001</v>
      </c>
      <c r="I65" s="25">
        <v>3587.0010000000002</v>
      </c>
      <c r="J65" s="25">
        <v>3643.232</v>
      </c>
      <c r="K65" s="25">
        <v>3751.9870000000001</v>
      </c>
      <c r="L65" s="25">
        <v>4008.431</v>
      </c>
      <c r="M65" s="25">
        <v>4221.1710000000003</v>
      </c>
      <c r="N65" s="25">
        <v>4414.2790000000005</v>
      </c>
      <c r="O65" s="25">
        <v>4731.8140000000003</v>
      </c>
      <c r="P65" s="25">
        <v>4776.241</v>
      </c>
      <c r="Q65" s="25">
        <v>5106.8760000000002</v>
      </c>
      <c r="R65" s="25">
        <v>18462.54</v>
      </c>
      <c r="S65" s="25">
        <v>41712.921000000002</v>
      </c>
    </row>
    <row r="66" spans="1:19" s="6" customFormat="1" ht="15" customHeight="1" x14ac:dyDescent="0.3">
      <c r="A66" s="10"/>
      <c r="B66" s="10"/>
      <c r="C66" s="10"/>
      <c r="D66" s="10"/>
      <c r="E66" s="10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4"/>
      <c r="S66" s="24"/>
    </row>
    <row r="67" spans="1:19" s="6" customFormat="1" ht="15" customHeight="1" x14ac:dyDescent="0.3">
      <c r="A67" s="10" t="s">
        <v>73</v>
      </c>
      <c r="B67" s="10"/>
      <c r="C67" s="10"/>
      <c r="D67" s="10"/>
      <c r="E67" s="10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4"/>
      <c r="S67" s="24"/>
    </row>
    <row r="68" spans="1:19" s="6" customFormat="1" ht="16.5" customHeight="1" x14ac:dyDescent="0.3">
      <c r="A68" s="10"/>
      <c r="B68" s="10" t="s">
        <v>74</v>
      </c>
      <c r="C68" s="10"/>
      <c r="D68" s="10"/>
      <c r="E68" s="10"/>
      <c r="F68" s="25">
        <v>-131.53</v>
      </c>
      <c r="G68" s="25">
        <v>-140.73599999999999</v>
      </c>
      <c r="H68" s="25">
        <v>-146.95599999999999</v>
      </c>
      <c r="I68" s="25">
        <v>-159.81100000000001</v>
      </c>
      <c r="J68" s="25">
        <v>-176.108</v>
      </c>
      <c r="K68" s="25">
        <v>-191.893</v>
      </c>
      <c r="L68" s="25">
        <v>-206.78899999999999</v>
      </c>
      <c r="M68" s="25">
        <v>-221.84800000000001</v>
      </c>
      <c r="N68" s="25">
        <v>-239.398</v>
      </c>
      <c r="O68" s="25">
        <v>-256.38799999999998</v>
      </c>
      <c r="P68" s="25">
        <v>-276.03899999999999</v>
      </c>
      <c r="Q68" s="25">
        <v>-290.81</v>
      </c>
      <c r="R68" s="25">
        <v>-881.55700000000002</v>
      </c>
      <c r="S68" s="25">
        <v>-2166.04</v>
      </c>
    </row>
    <row r="69" spans="1:19" s="6" customFormat="1" ht="15" customHeight="1" x14ac:dyDescent="0.3">
      <c r="A69" s="10"/>
      <c r="B69" s="10" t="s">
        <v>75</v>
      </c>
      <c r="C69" s="10"/>
      <c r="D69" s="10"/>
      <c r="E69" s="10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s="6" customFormat="1" ht="15" customHeight="1" x14ac:dyDescent="0.3">
      <c r="A70" s="10"/>
      <c r="B70" s="10" t="s">
        <v>76</v>
      </c>
      <c r="C70" s="10"/>
      <c r="D70" s="10"/>
      <c r="E70" s="10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s="6" customFormat="1" ht="15" customHeight="1" x14ac:dyDescent="0.3">
      <c r="A71" s="10"/>
      <c r="B71" s="10"/>
      <c r="C71" s="28" t="s">
        <v>77</v>
      </c>
      <c r="D71" s="28"/>
      <c r="E71" s="28"/>
      <c r="F71" s="25">
        <v>-36.439</v>
      </c>
      <c r="G71" s="25">
        <v>-41.506</v>
      </c>
      <c r="H71" s="25">
        <v>-45.792000000000002</v>
      </c>
      <c r="I71" s="25">
        <v>-47.43</v>
      </c>
      <c r="J71" s="25">
        <v>-49.198</v>
      </c>
      <c r="K71" s="25">
        <v>-51.003999999999998</v>
      </c>
      <c r="L71" s="25">
        <v>-52.83</v>
      </c>
      <c r="M71" s="25">
        <v>-54.661999999999999</v>
      </c>
      <c r="N71" s="25">
        <v>-56.475999999999999</v>
      </c>
      <c r="O71" s="25">
        <v>-58.28</v>
      </c>
      <c r="P71" s="25">
        <v>-60.107999999999997</v>
      </c>
      <c r="Q71" s="25">
        <v>-61.978000000000002</v>
      </c>
      <c r="R71" s="25">
        <v>-246.25399999999999</v>
      </c>
      <c r="S71" s="25">
        <v>-537.75800000000004</v>
      </c>
    </row>
    <row r="72" spans="1:19" s="6" customFormat="1" ht="15" customHeight="1" x14ac:dyDescent="0.3">
      <c r="A72" s="10"/>
      <c r="B72" s="10"/>
      <c r="C72" s="28" t="s">
        <v>78</v>
      </c>
      <c r="D72" s="28"/>
      <c r="E72" s="28"/>
      <c r="F72" s="25">
        <v>-20.640999999999998</v>
      </c>
      <c r="G72" s="25">
        <v>-21.596</v>
      </c>
      <c r="H72" s="25">
        <v>-25</v>
      </c>
      <c r="I72" s="25">
        <v>-25.242999999999999</v>
      </c>
      <c r="J72" s="25">
        <v>-25.503</v>
      </c>
      <c r="K72" s="25">
        <v>-25.806999999999999</v>
      </c>
      <c r="L72" s="25">
        <v>-26.143999999999998</v>
      </c>
      <c r="M72" s="25">
        <v>-26.521000000000001</v>
      </c>
      <c r="N72" s="25">
        <v>-26.937999999999999</v>
      </c>
      <c r="O72" s="25">
        <v>-27.417000000000002</v>
      </c>
      <c r="P72" s="25">
        <v>-27.948</v>
      </c>
      <c r="Q72" s="25">
        <v>-28.527999999999999</v>
      </c>
      <c r="R72" s="25">
        <v>-127.697</v>
      </c>
      <c r="S72" s="25">
        <v>-265.04899999999998</v>
      </c>
    </row>
    <row r="73" spans="1:19" s="6" customFormat="1" ht="15" customHeight="1" x14ac:dyDescent="0.3">
      <c r="A73" s="10"/>
      <c r="B73" s="10"/>
      <c r="C73" s="28" t="s">
        <v>39</v>
      </c>
      <c r="D73" s="28"/>
      <c r="E73" s="28"/>
      <c r="F73" s="25">
        <v>-18.055</v>
      </c>
      <c r="G73" s="25">
        <v>-18.274999999999999</v>
      </c>
      <c r="H73" s="25">
        <v>-18.619</v>
      </c>
      <c r="I73" s="25">
        <v>-19.074999999999999</v>
      </c>
      <c r="J73" s="25">
        <v>-19.535</v>
      </c>
      <c r="K73" s="25">
        <v>-20.032</v>
      </c>
      <c r="L73" s="25">
        <v>-20.57</v>
      </c>
      <c r="M73" s="25">
        <v>-21.15</v>
      </c>
      <c r="N73" s="25">
        <v>-21.771999999999998</v>
      </c>
      <c r="O73" s="25">
        <v>-22.434999999999999</v>
      </c>
      <c r="P73" s="25">
        <v>-23.13</v>
      </c>
      <c r="Q73" s="25">
        <v>-23.853000000000002</v>
      </c>
      <c r="R73" s="25">
        <v>-97.831000000000003</v>
      </c>
      <c r="S73" s="25">
        <v>-210.17099999999999</v>
      </c>
    </row>
    <row r="74" spans="1:19" s="6" customFormat="1" ht="3" customHeight="1" x14ac:dyDescent="0.3">
      <c r="A74" s="10"/>
      <c r="B74" s="10"/>
      <c r="C74" s="10"/>
      <c r="D74" s="10"/>
      <c r="E74" s="10"/>
      <c r="F74" s="26" t="s">
        <v>42</v>
      </c>
      <c r="G74" s="26" t="s">
        <v>42</v>
      </c>
      <c r="H74" s="26" t="s">
        <v>42</v>
      </c>
      <c r="I74" s="26" t="s">
        <v>42</v>
      </c>
      <c r="J74" s="26" t="s">
        <v>42</v>
      </c>
      <c r="K74" s="26" t="s">
        <v>42</v>
      </c>
      <c r="L74" s="26" t="s">
        <v>42</v>
      </c>
      <c r="M74" s="26" t="s">
        <v>42</v>
      </c>
      <c r="N74" s="26" t="s">
        <v>42</v>
      </c>
      <c r="O74" s="26" t="s">
        <v>42</v>
      </c>
      <c r="P74" s="26" t="s">
        <v>42</v>
      </c>
      <c r="Q74" s="26" t="s">
        <v>42</v>
      </c>
      <c r="R74" s="26" t="s">
        <v>42</v>
      </c>
      <c r="S74" s="26" t="s">
        <v>43</v>
      </c>
    </row>
    <row r="75" spans="1:19" s="6" customFormat="1" ht="15" customHeight="1" x14ac:dyDescent="0.3">
      <c r="A75" s="10"/>
      <c r="B75" s="10"/>
      <c r="C75" s="10"/>
      <c r="D75" s="173" t="s">
        <v>44</v>
      </c>
      <c r="E75" s="174"/>
      <c r="F75" s="25">
        <v>-75.135000000000005</v>
      </c>
      <c r="G75" s="25">
        <v>-81.376999999999995</v>
      </c>
      <c r="H75" s="25">
        <v>-89.411000000000001</v>
      </c>
      <c r="I75" s="25">
        <v>-91.748000000000005</v>
      </c>
      <c r="J75" s="25">
        <v>-94.236000000000004</v>
      </c>
      <c r="K75" s="25">
        <v>-96.843000000000004</v>
      </c>
      <c r="L75" s="25">
        <v>-99.543999999999997</v>
      </c>
      <c r="M75" s="25">
        <v>-102.333</v>
      </c>
      <c r="N75" s="25">
        <v>-105.18600000000001</v>
      </c>
      <c r="O75" s="25">
        <v>-108.13200000000001</v>
      </c>
      <c r="P75" s="25">
        <v>-111.18600000000001</v>
      </c>
      <c r="Q75" s="25">
        <v>-114.35899999999999</v>
      </c>
      <c r="R75" s="25">
        <v>-471.78199999999998</v>
      </c>
      <c r="S75" s="25">
        <v>-1012.978</v>
      </c>
    </row>
    <row r="76" spans="1:19" s="6" customFormat="1" ht="15" customHeight="1" x14ac:dyDescent="0.3">
      <c r="A76" s="10"/>
      <c r="B76" s="28"/>
      <c r="C76" s="10"/>
      <c r="D76" s="10"/>
      <c r="E76" s="10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s="6" customFormat="1" ht="16.5" customHeight="1" x14ac:dyDescent="0.3">
      <c r="A77" s="10"/>
      <c r="B77" s="28" t="s">
        <v>79</v>
      </c>
      <c r="C77" s="28"/>
      <c r="D77" s="28"/>
      <c r="E77" s="28"/>
      <c r="F77" s="25">
        <v>-14.331</v>
      </c>
      <c r="G77" s="25">
        <v>-10.007999999999999</v>
      </c>
      <c r="H77" s="25">
        <v>-9.9969999999999999</v>
      </c>
      <c r="I77" s="25">
        <v>-11.169</v>
      </c>
      <c r="J77" s="25">
        <v>-10.786</v>
      </c>
      <c r="K77" s="25">
        <v>-11.792</v>
      </c>
      <c r="L77" s="25">
        <v>-11.88</v>
      </c>
      <c r="M77" s="25">
        <v>-12.057</v>
      </c>
      <c r="N77" s="25">
        <v>-12.396000000000001</v>
      </c>
      <c r="O77" s="25">
        <v>-12.348000000000001</v>
      </c>
      <c r="P77" s="25">
        <v>-13.318</v>
      </c>
      <c r="Q77" s="25">
        <v>-14.282</v>
      </c>
      <c r="R77" s="25">
        <v>-55.624000000000002</v>
      </c>
      <c r="S77" s="25">
        <v>-120.02500000000001</v>
      </c>
    </row>
    <row r="78" spans="1:19" s="6" customFormat="1" ht="15" customHeight="1" x14ac:dyDescent="0.3">
      <c r="A78" s="10"/>
      <c r="B78" s="28" t="s">
        <v>68</v>
      </c>
      <c r="C78" s="10"/>
      <c r="D78" s="10"/>
      <c r="E78" s="10"/>
      <c r="F78" s="25">
        <v>-7.7629999999999999</v>
      </c>
      <c r="G78" s="25">
        <v>-8.0500000000000007</v>
      </c>
      <c r="H78" s="25">
        <v>-8.6219999999999999</v>
      </c>
      <c r="I78" s="25">
        <v>-9.0790000000000006</v>
      </c>
      <c r="J78" s="25">
        <v>-9.5329999999999995</v>
      </c>
      <c r="K78" s="25">
        <v>-10.01</v>
      </c>
      <c r="L78" s="25">
        <v>-10.51</v>
      </c>
      <c r="M78" s="25">
        <v>-11.035</v>
      </c>
      <c r="N78" s="25">
        <v>-11.587</v>
      </c>
      <c r="O78" s="25">
        <v>-12.167</v>
      </c>
      <c r="P78" s="25">
        <v>-12.775</v>
      </c>
      <c r="Q78" s="25">
        <v>-13.414</v>
      </c>
      <c r="R78" s="25">
        <v>-47.753999999999998</v>
      </c>
      <c r="S78" s="25">
        <v>-108.732</v>
      </c>
    </row>
    <row r="79" spans="1:19" s="6" customFormat="1" ht="15" customHeight="1" x14ac:dyDescent="0.3">
      <c r="A79" s="10"/>
      <c r="B79" s="28" t="s">
        <v>69</v>
      </c>
      <c r="C79" s="28"/>
      <c r="D79" s="28"/>
      <c r="E79" s="28"/>
      <c r="F79" s="25">
        <v>-19.181999999999999</v>
      </c>
      <c r="G79" s="25">
        <v>-4.2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</row>
    <row r="80" spans="1:19" s="6" customFormat="1" ht="15" customHeight="1" x14ac:dyDescent="0.3">
      <c r="A80" s="10"/>
      <c r="B80" s="28" t="s">
        <v>60</v>
      </c>
      <c r="C80" s="28"/>
      <c r="D80" s="28"/>
      <c r="E80" s="28"/>
      <c r="F80" s="25">
        <v>-27.701000000000001</v>
      </c>
      <c r="G80" s="25">
        <v>-24.986000000000001</v>
      </c>
      <c r="H80" s="25">
        <v>-33.298999999999999</v>
      </c>
      <c r="I80" s="25">
        <v>-40.917999999999999</v>
      </c>
      <c r="J80" s="25">
        <v>-39.795999999999999</v>
      </c>
      <c r="K80" s="25">
        <v>-30.850999999999999</v>
      </c>
      <c r="L80" s="25">
        <v>-39.113</v>
      </c>
      <c r="M80" s="25">
        <v>-31.596</v>
      </c>
      <c r="N80" s="25">
        <v>-31.497</v>
      </c>
      <c r="O80" s="25">
        <v>-28.585000000000001</v>
      </c>
      <c r="P80" s="25">
        <v>-28.823</v>
      </c>
      <c r="Q80" s="29">
        <v>-22.437000000000001</v>
      </c>
      <c r="R80" s="25">
        <v>-183.977</v>
      </c>
      <c r="S80" s="25">
        <v>-326.91500000000002</v>
      </c>
    </row>
    <row r="81" spans="1:20" s="6" customFormat="1" ht="3" customHeight="1" x14ac:dyDescent="0.3">
      <c r="A81" s="10"/>
      <c r="B81" s="28"/>
      <c r="C81" s="28"/>
      <c r="D81" s="28"/>
      <c r="E81" s="28"/>
      <c r="F81" s="26" t="s">
        <v>42</v>
      </c>
      <c r="G81" s="26" t="s">
        <v>42</v>
      </c>
      <c r="H81" s="26" t="s">
        <v>42</v>
      </c>
      <c r="I81" s="26" t="s">
        <v>42</v>
      </c>
      <c r="J81" s="26" t="s">
        <v>42</v>
      </c>
      <c r="K81" s="26" t="s">
        <v>42</v>
      </c>
      <c r="L81" s="26" t="s">
        <v>42</v>
      </c>
      <c r="M81" s="26" t="s">
        <v>42</v>
      </c>
      <c r="N81" s="26" t="s">
        <v>42</v>
      </c>
      <c r="O81" s="26" t="s">
        <v>42</v>
      </c>
      <c r="P81" s="26" t="s">
        <v>42</v>
      </c>
      <c r="Q81" s="26" t="s">
        <v>42</v>
      </c>
      <c r="R81" s="26" t="s">
        <v>42</v>
      </c>
      <c r="S81" s="26" t="s">
        <v>43</v>
      </c>
    </row>
    <row r="82" spans="1:20" s="6" customFormat="1" ht="15" customHeight="1" x14ac:dyDescent="0.3">
      <c r="A82" s="10"/>
      <c r="B82" s="28"/>
      <c r="C82" s="10"/>
      <c r="D82" s="28" t="s">
        <v>44</v>
      </c>
      <c r="E82" s="28"/>
      <c r="F82" s="25">
        <v>-275.642</v>
      </c>
      <c r="G82" s="25">
        <v>-269.35700000000003</v>
      </c>
      <c r="H82" s="25">
        <v>-288.28500000000003</v>
      </c>
      <c r="I82" s="25">
        <v>-312.72500000000002</v>
      </c>
      <c r="J82" s="25">
        <v>-330.459</v>
      </c>
      <c r="K82" s="25">
        <v>-341.38900000000001</v>
      </c>
      <c r="L82" s="25">
        <v>-367.83600000000001</v>
      </c>
      <c r="M82" s="25">
        <v>-378.86900000000003</v>
      </c>
      <c r="N82" s="25">
        <v>-400.06400000000002</v>
      </c>
      <c r="O82" s="25">
        <v>-417.62</v>
      </c>
      <c r="P82" s="25">
        <v>-442.14100000000002</v>
      </c>
      <c r="Q82" s="25">
        <v>-455.30200000000002</v>
      </c>
      <c r="R82" s="25">
        <v>-1640.694</v>
      </c>
      <c r="S82" s="25">
        <v>-3734.69</v>
      </c>
    </row>
    <row r="83" spans="1:20" s="6" customFormat="1" ht="15" customHeight="1" x14ac:dyDescent="0.3">
      <c r="A83" s="10"/>
      <c r="B83" s="10"/>
      <c r="C83" s="10"/>
      <c r="D83" s="10"/>
      <c r="E83" s="10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</row>
    <row r="84" spans="1:20" s="6" customFormat="1" ht="15" customHeight="1" x14ac:dyDescent="0.3">
      <c r="A84" s="10"/>
      <c r="B84" s="10"/>
      <c r="C84" s="10"/>
      <c r="D84" s="10"/>
      <c r="E84" s="10" t="s">
        <v>80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</row>
    <row r="85" spans="1:20" s="6" customFormat="1" ht="15" customHeight="1" x14ac:dyDescent="0.3">
      <c r="A85" s="10"/>
      <c r="B85" s="10"/>
      <c r="C85" s="10"/>
      <c r="D85" s="10"/>
      <c r="E85" s="10" t="s">
        <v>81</v>
      </c>
      <c r="F85" s="25">
        <v>2734.1729999999998</v>
      </c>
      <c r="G85" s="25">
        <v>4616.7060000000001</v>
      </c>
      <c r="H85" s="25">
        <v>3183.6039999999998</v>
      </c>
      <c r="I85" s="25">
        <v>3274.2759999999998</v>
      </c>
      <c r="J85" s="25">
        <v>3312.7730000000001</v>
      </c>
      <c r="K85" s="25">
        <v>3410.598</v>
      </c>
      <c r="L85" s="25">
        <v>3640.5949999999998</v>
      </c>
      <c r="M85" s="25">
        <v>3842.3020000000001</v>
      </c>
      <c r="N85" s="25">
        <v>4014.2150000000001</v>
      </c>
      <c r="O85" s="25">
        <v>4314.1940000000004</v>
      </c>
      <c r="P85" s="25">
        <v>4334.1000000000004</v>
      </c>
      <c r="Q85" s="25">
        <v>4651.5739999999996</v>
      </c>
      <c r="R85" s="25">
        <v>16821.846000000001</v>
      </c>
      <c r="S85" s="25">
        <v>37978.231</v>
      </c>
      <c r="T85" s="25"/>
    </row>
    <row r="86" spans="1:20" s="6" customFormat="1" ht="15" customHeight="1" x14ac:dyDescent="0.3">
      <c r="A86" s="10"/>
      <c r="B86" s="10"/>
      <c r="C86" s="10"/>
      <c r="D86" s="10"/>
      <c r="E86" s="10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</row>
    <row r="87" spans="1:20" s="6" customFormat="1" ht="15" customHeight="1" x14ac:dyDescent="0.3">
      <c r="A87" s="30" t="s">
        <v>82</v>
      </c>
      <c r="B87" s="10"/>
      <c r="C87" s="10"/>
      <c r="D87" s="10"/>
      <c r="E87" s="10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</row>
    <row r="88" spans="1:20" s="6" customFormat="1" ht="15" customHeight="1" x14ac:dyDescent="0.3">
      <c r="A88" s="10" t="s">
        <v>83</v>
      </c>
      <c r="B88" s="10"/>
      <c r="C88" s="10"/>
      <c r="D88" s="10"/>
      <c r="E88" s="10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1:20" s="6" customFormat="1" ht="15" customHeight="1" x14ac:dyDescent="0.3">
      <c r="A89" s="10"/>
      <c r="B89" s="10" t="s">
        <v>84</v>
      </c>
      <c r="C89" s="10"/>
      <c r="D89" s="10"/>
      <c r="E89" s="10"/>
      <c r="F89" s="25">
        <v>643.87599999999998</v>
      </c>
      <c r="G89" s="25">
        <v>721.33199999999999</v>
      </c>
      <c r="H89" s="25">
        <v>662.77700000000004</v>
      </c>
      <c r="I89" s="25">
        <v>813.46100000000001</v>
      </c>
      <c r="J89" s="25">
        <v>836.99199999999996</v>
      </c>
      <c r="K89" s="25">
        <v>844.35500000000002</v>
      </c>
      <c r="L89" s="25">
        <v>951.00599999999997</v>
      </c>
      <c r="M89" s="25">
        <v>1017.881</v>
      </c>
      <c r="N89" s="25">
        <v>1088.567</v>
      </c>
      <c r="O89" s="25">
        <v>1234.4010000000001</v>
      </c>
      <c r="P89" s="25">
        <v>1173.8789999999999</v>
      </c>
      <c r="Q89" s="25">
        <v>1320.4839999999999</v>
      </c>
      <c r="R89" s="25">
        <v>4108.5910000000003</v>
      </c>
      <c r="S89" s="25">
        <v>9943.8029999999999</v>
      </c>
    </row>
    <row r="90" spans="1:20" s="6" customFormat="1" ht="15" customHeight="1" x14ac:dyDescent="0.3">
      <c r="A90" s="19"/>
      <c r="B90" s="19" t="s">
        <v>85</v>
      </c>
      <c r="C90" s="10"/>
      <c r="D90" s="10"/>
      <c r="E90" s="10"/>
      <c r="F90" s="23">
        <v>1126.519</v>
      </c>
      <c r="G90" s="23">
        <v>1258.6759999999999</v>
      </c>
      <c r="H90" s="23">
        <v>1272.1010000000001</v>
      </c>
      <c r="I90" s="23">
        <v>1399.453</v>
      </c>
      <c r="J90" s="23">
        <v>1401.7059999999999</v>
      </c>
      <c r="K90" s="23">
        <v>1433.2070000000001</v>
      </c>
      <c r="L90" s="23">
        <v>1569.451</v>
      </c>
      <c r="M90" s="23">
        <v>1667.663</v>
      </c>
      <c r="N90" s="23">
        <v>1771.43</v>
      </c>
      <c r="O90" s="23">
        <v>1952.9970000000001</v>
      </c>
      <c r="P90" s="23">
        <v>1930.9259999999999</v>
      </c>
      <c r="Q90" s="23">
        <v>2120.0050000000001</v>
      </c>
      <c r="R90" s="23">
        <v>7075.9179999999997</v>
      </c>
      <c r="S90" s="23">
        <v>16518.938999999998</v>
      </c>
    </row>
    <row r="91" spans="1:20" s="6" customFormat="1" ht="15" customHeight="1" x14ac:dyDescent="0.3">
      <c r="A91" s="10"/>
      <c r="B91" s="10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</row>
  </sheetData>
  <mergeCells count="4">
    <mergeCell ref="A5:S5"/>
    <mergeCell ref="A6:S6"/>
    <mergeCell ref="R8:S8"/>
    <mergeCell ref="D75:E75"/>
  </mergeCells>
  <hyperlinks>
    <hyperlink ref="A2" r:id="rId1" xr:uid="{A0AC9F93-CD82-4A1A-AB7B-6DE6598B690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0E13C6-C717-4C73-9EC5-EE5855C1B9D0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cac5d118-ba7b-4807-b700-df6f95cfff50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66951ee6-cd93-49c7-9437-e871b2a117d6"/>
  </ds:schemaRefs>
</ds:datastoreItem>
</file>

<file path=customXml/itemProps2.xml><?xml version="1.0" encoding="utf-8"?>
<ds:datastoreItem xmlns:ds="http://schemas.openxmlformats.org/officeDocument/2006/customXml" ds:itemID="{12E610D1-229D-4CC6-A1C9-48F28FFDA5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484070-5C48-4F32-AF92-870650EA51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add-ons</vt:lpstr>
      <vt:lpstr>add-ons - Kadija b4</vt:lpstr>
      <vt:lpstr>figuring out UI</vt:lpstr>
      <vt:lpstr>figuring NIPA tax changes</vt:lpstr>
      <vt:lpstr>figuring out social benefits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Sheiner</dc:creator>
  <cp:lastModifiedBy>Kadija Yilla</cp:lastModifiedBy>
  <dcterms:created xsi:type="dcterms:W3CDTF">2020-09-09T22:29:58Z</dcterms:created>
  <dcterms:modified xsi:type="dcterms:W3CDTF">2020-09-11T19:29:34Z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