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alakovalski\The Brookings Institution\Hutchins Center Team - Documents\Projects\Fiscal Impact\COVID-19 Changes\September\"/>
    </mc:Choice>
  </mc:AlternateContent>
  <xr:revisionPtr revIDLastSave="298" documentId="8_{E651EDD8-5577-48D9-9672-3715CFCDC270}" xr6:coauthVersionLast="44" xr6:coauthVersionMax="45" xr10:uidLastSave="{FA327C02-C0CB-4F5A-B368-FCAD7E146572}"/>
  <bookViews>
    <workbookView xWindow="28680" yWindow="75" windowWidth="29040" windowHeight="15840" xr2:uid="{00000000-000D-0000-FFFF-FFFF00000000}"/>
  </bookViews>
  <sheets>
    <sheet name="add factors" sheetId="2" r:id="rId1"/>
    <sheet name="Sheet1" sheetId="1" r:id="rId2"/>
    <sheet name="No addons" sheetId="3" r:id="rId3"/>
    <sheet name="With add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2" l="1"/>
  <c r="D67" i="2"/>
  <c r="K56" i="2"/>
  <c r="K55" i="2"/>
  <c r="J56" i="2"/>
  <c r="J55" i="2"/>
  <c r="F55" i="2" l="1"/>
  <c r="F66" i="2"/>
  <c r="C54" i="2"/>
  <c r="F53" i="2" l="1"/>
  <c r="C53" i="2"/>
  <c r="C77" i="2"/>
  <c r="C78" i="2"/>
  <c r="C79" i="2" s="1"/>
  <c r="H78" i="2"/>
  <c r="R79" i="2"/>
  <c r="R81" i="2"/>
  <c r="C67" i="2"/>
  <c r="C68" i="2"/>
  <c r="C69" i="2" s="1"/>
  <c r="C70" i="2" s="1"/>
  <c r="C71" i="2" s="1"/>
  <c r="C66" i="2"/>
  <c r="O115" i="2"/>
  <c r="O114" i="2"/>
  <c r="F90" i="2"/>
  <c r="G90" i="2"/>
  <c r="F79" i="2" l="1"/>
  <c r="H79" i="2" s="1"/>
  <c r="C80" i="2"/>
  <c r="F80" i="2" l="1"/>
  <c r="H80" i="2" s="1"/>
  <c r="C81" i="2"/>
  <c r="F81" i="2" l="1"/>
  <c r="H81" i="2" s="1"/>
  <c r="C82" i="2"/>
  <c r="F82" i="2" l="1"/>
  <c r="H82" i="2" s="1"/>
  <c r="C83" i="2"/>
  <c r="C84" i="2" l="1"/>
  <c r="F84" i="2" s="1"/>
  <c r="H84" i="2" s="1"/>
  <c r="F83" i="2"/>
  <c r="H83" i="2" s="1"/>
  <c r="D115" i="2" l="1"/>
  <c r="D116" i="2"/>
  <c r="D117" i="2"/>
  <c r="D118" i="2"/>
  <c r="D119" i="2"/>
  <c r="D114" i="2"/>
  <c r="M103" i="2" l="1"/>
  <c r="N103" i="2"/>
  <c r="O103" i="2"/>
  <c r="P103" i="2"/>
  <c r="Q103" i="2"/>
  <c r="R103" i="2"/>
  <c r="L103" i="2"/>
  <c r="E113" i="2"/>
  <c r="C113" i="2"/>
  <c r="E103" i="2" l="1"/>
  <c r="H103" i="2" s="1"/>
  <c r="F42" i="2"/>
  <c r="F43" i="2" s="1"/>
  <c r="G92" i="2"/>
  <c r="G93" i="2"/>
  <c r="G94" i="2"/>
  <c r="G95" i="2"/>
  <c r="G96" i="2"/>
  <c r="G91" i="2"/>
  <c r="C112" i="2"/>
  <c r="C114" i="2" s="1"/>
  <c r="G89" i="2"/>
  <c r="C115" i="2" l="1"/>
  <c r="E114" i="2"/>
  <c r="H114" i="2" s="1"/>
  <c r="M17" i="4" l="1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B12" i="4"/>
  <c r="B13" i="4"/>
  <c r="B14" i="4"/>
  <c r="B15" i="4"/>
  <c r="B16" i="4"/>
  <c r="B17" i="4"/>
  <c r="B11" i="4"/>
  <c r="E112" i="2"/>
  <c r="C116" i="2"/>
  <c r="C117" i="2" s="1"/>
  <c r="C118" i="2" s="1"/>
  <c r="C119" i="2" s="1"/>
  <c r="E119" i="2" s="1"/>
  <c r="E108" i="2"/>
  <c r="H108" i="2" s="1"/>
  <c r="E107" i="2"/>
  <c r="H107" i="2" s="1"/>
  <c r="E106" i="2"/>
  <c r="H106" i="2" s="1"/>
  <c r="E105" i="2"/>
  <c r="H105" i="2" s="1"/>
  <c r="E104" i="2"/>
  <c r="H104" i="2" s="1"/>
  <c r="E102" i="2"/>
  <c r="R93" i="2"/>
  <c r="R91" i="2"/>
  <c r="F89" i="2"/>
  <c r="C89" i="2"/>
  <c r="R86" i="2"/>
  <c r="F41" i="2"/>
  <c r="F28" i="2"/>
  <c r="F29" i="2" s="1"/>
  <c r="H29" i="2" s="1"/>
  <c r="F27" i="2"/>
  <c r="H69" i="1"/>
  <c r="H70" i="1"/>
  <c r="H71" i="1"/>
  <c r="H72" i="1"/>
  <c r="H67" i="1"/>
  <c r="E67" i="1"/>
  <c r="E68" i="1"/>
  <c r="H68" i="1" s="1"/>
  <c r="E69" i="1"/>
  <c r="E70" i="1"/>
  <c r="E71" i="1"/>
  <c r="E72" i="1"/>
  <c r="E66" i="1"/>
  <c r="C90" i="2" l="1"/>
  <c r="C91" i="2" s="1"/>
  <c r="H119" i="2"/>
  <c r="E116" i="2"/>
  <c r="E115" i="2"/>
  <c r="E118" i="2"/>
  <c r="E117" i="2"/>
  <c r="F30" i="2"/>
  <c r="H43" i="2"/>
  <c r="F44" i="2"/>
  <c r="C92" i="2" l="1"/>
  <c r="F92" i="2" s="1"/>
  <c r="H92" i="2" s="1"/>
  <c r="F91" i="2"/>
  <c r="H91" i="2" s="1"/>
  <c r="H116" i="2"/>
  <c r="H117" i="2"/>
  <c r="H118" i="2"/>
  <c r="H115" i="2"/>
  <c r="H30" i="2"/>
  <c r="F31" i="2"/>
  <c r="H44" i="2"/>
  <c r="F45" i="2"/>
  <c r="C93" i="2" l="1"/>
  <c r="F93" i="2" s="1"/>
  <c r="H93" i="2" s="1"/>
  <c r="H45" i="2"/>
  <c r="F46" i="2"/>
  <c r="H31" i="2"/>
  <c r="F32" i="2"/>
  <c r="J53" i="1"/>
  <c r="J54" i="1"/>
  <c r="J55" i="1" s="1"/>
  <c r="N54" i="1"/>
  <c r="C54" i="1"/>
  <c r="C55" i="1" s="1"/>
  <c r="C56" i="1" s="1"/>
  <c r="C57" i="1" s="1"/>
  <c r="C58" i="1" s="1"/>
  <c r="C59" i="1" s="1"/>
  <c r="C60" i="1" s="1"/>
  <c r="F60" i="1" s="1"/>
  <c r="F54" i="1"/>
  <c r="F53" i="1"/>
  <c r="R57" i="1"/>
  <c r="R55" i="1"/>
  <c r="H54" i="1"/>
  <c r="C53" i="1"/>
  <c r="M42" i="1"/>
  <c r="J42" i="1" s="1"/>
  <c r="J43" i="1" s="1"/>
  <c r="J44" i="1" s="1"/>
  <c r="R50" i="1"/>
  <c r="R49" i="1"/>
  <c r="T40" i="1"/>
  <c r="T44" i="1"/>
  <c r="J41" i="1"/>
  <c r="H42" i="1"/>
  <c r="C41" i="1"/>
  <c r="C42" i="1" s="1"/>
  <c r="C43" i="1" s="1"/>
  <c r="M30" i="1"/>
  <c r="M31" i="1" s="1"/>
  <c r="M32" i="1" s="1"/>
  <c r="M18" i="1"/>
  <c r="M19" i="1" s="1"/>
  <c r="M16" i="1"/>
  <c r="M17" i="1"/>
  <c r="F30" i="1"/>
  <c r="F31" i="1" s="1"/>
  <c r="F32" i="1" s="1"/>
  <c r="F33" i="1" s="1"/>
  <c r="F34" i="1" s="1"/>
  <c r="F35" i="1" s="1"/>
  <c r="F36" i="1" s="1"/>
  <c r="F37" i="1" s="1"/>
  <c r="F17" i="1"/>
  <c r="F18" i="1" s="1"/>
  <c r="F16" i="1"/>
  <c r="C94" i="2" l="1"/>
  <c r="C95" i="2" s="1"/>
  <c r="C96" i="2" s="1"/>
  <c r="F96" i="2" s="1"/>
  <c r="H96" i="2" s="1"/>
  <c r="M33" i="1"/>
  <c r="O32" i="1"/>
  <c r="F55" i="1"/>
  <c r="F56" i="1"/>
  <c r="F58" i="1"/>
  <c r="F59" i="1"/>
  <c r="S49" i="1"/>
  <c r="F57" i="1"/>
  <c r="O18" i="1"/>
  <c r="H46" i="2"/>
  <c r="F47" i="2"/>
  <c r="H32" i="2"/>
  <c r="F33" i="2"/>
  <c r="J45" i="1"/>
  <c r="M44" i="1"/>
  <c r="F43" i="1"/>
  <c r="H43" i="1" s="1"/>
  <c r="C44" i="1"/>
  <c r="H55" i="1"/>
  <c r="J56" i="1"/>
  <c r="M55" i="1"/>
  <c r="O55" i="1" s="1"/>
  <c r="M43" i="1"/>
  <c r="M20" i="1"/>
  <c r="O19" i="1"/>
  <c r="H31" i="1"/>
  <c r="H33" i="1"/>
  <c r="H32" i="1"/>
  <c r="F19" i="1"/>
  <c r="H18" i="1"/>
  <c r="F95" i="2" l="1"/>
  <c r="H95" i="2" s="1"/>
  <c r="F94" i="2"/>
  <c r="H94" i="2" s="1"/>
  <c r="M34" i="1"/>
  <c r="O33" i="1"/>
  <c r="H33" i="2"/>
  <c r="F34" i="2"/>
  <c r="H34" i="2" s="1"/>
  <c r="H47" i="2"/>
  <c r="F48" i="2"/>
  <c r="H48" i="2" s="1"/>
  <c r="J46" i="1"/>
  <c r="M45" i="1"/>
  <c r="C45" i="1"/>
  <c r="F44" i="1"/>
  <c r="H44" i="1" s="1"/>
  <c r="J57" i="1"/>
  <c r="M56" i="1"/>
  <c r="O56" i="1" s="1"/>
  <c r="H56" i="1"/>
  <c r="M21" i="1"/>
  <c r="O20" i="1"/>
  <c r="H34" i="1"/>
  <c r="H19" i="1"/>
  <c r="F20" i="1"/>
  <c r="M35" i="1" l="1"/>
  <c r="O34" i="1"/>
  <c r="J47" i="1"/>
  <c r="M46" i="1"/>
  <c r="C46" i="1"/>
  <c r="F45" i="1"/>
  <c r="H45" i="1" s="1"/>
  <c r="H57" i="1"/>
  <c r="J58" i="1"/>
  <c r="M57" i="1"/>
  <c r="O57" i="1" s="1"/>
  <c r="M22" i="1"/>
  <c r="O21" i="1"/>
  <c r="H35" i="1"/>
  <c r="F21" i="1"/>
  <c r="H20" i="1"/>
  <c r="M36" i="1" l="1"/>
  <c r="O35" i="1"/>
  <c r="J48" i="1"/>
  <c r="M48" i="1" s="1"/>
  <c r="M47" i="1"/>
  <c r="C47" i="1"/>
  <c r="F46" i="1"/>
  <c r="H46" i="1" s="1"/>
  <c r="J59" i="1"/>
  <c r="M58" i="1"/>
  <c r="O58" i="1" s="1"/>
  <c r="H58" i="1"/>
  <c r="M23" i="1"/>
  <c r="O23" i="1" s="1"/>
  <c r="O22" i="1"/>
  <c r="H37" i="1"/>
  <c r="H36" i="1"/>
  <c r="F22" i="1"/>
  <c r="H21" i="1"/>
  <c r="M37" i="1" l="1"/>
  <c r="O37" i="1" s="1"/>
  <c r="O36" i="1"/>
  <c r="C48" i="1"/>
  <c r="F48" i="1" s="1"/>
  <c r="H48" i="1" s="1"/>
  <c r="F47" i="1"/>
  <c r="H47" i="1" s="1"/>
  <c r="H60" i="1"/>
  <c r="H59" i="1"/>
  <c r="J60" i="1"/>
  <c r="M60" i="1" s="1"/>
  <c r="O60" i="1" s="1"/>
  <c r="M59" i="1"/>
  <c r="O59" i="1" s="1"/>
  <c r="F23" i="1"/>
  <c r="H23" i="1" s="1"/>
  <c r="H22" i="1"/>
  <c r="F70" i="2" l="1"/>
  <c r="H70" i="2" s="1"/>
  <c r="F71" i="2"/>
  <c r="H71" i="2" s="1"/>
  <c r="H69" i="2"/>
  <c r="F69" i="2"/>
  <c r="F68" i="2"/>
  <c r="H68" i="2" s="1"/>
  <c r="F67" i="2"/>
  <c r="H67" i="2" s="1"/>
  <c r="H66" i="2"/>
  <c r="C64" i="2"/>
  <c r="C55" i="2"/>
  <c r="C56" i="2" s="1"/>
  <c r="F56" i="2" l="1"/>
  <c r="H56" i="2" s="1"/>
  <c r="C57" i="2"/>
  <c r="H55" i="2"/>
  <c r="F57" i="2" l="1"/>
  <c r="H57" i="2" s="1"/>
  <c r="C58" i="2"/>
  <c r="C59" i="2" l="1"/>
  <c r="F58" i="2"/>
  <c r="H58" i="2" s="1"/>
  <c r="F59" i="2" l="1"/>
  <c r="H59" i="2" s="1"/>
  <c r="C60" i="2"/>
  <c r="F60" i="2" s="1"/>
  <c r="H6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tc={C9358CB4-E56F-450A-913D-5DE8E802F11E}</author>
    <author>tc={1ED652B5-31F0-4BC1-A357-19688D8D581C}</author>
  </authors>
  <commentList>
    <comment ref="C65" authorId="0" shapeId="0" xr:uid="{C9358CB4-E56F-450A-913D-5DE8E802F11E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growing social benefits by 1% to override the growth rate used in the FIM</t>
      </text>
    </comment>
    <comment ref="E103" authorId="1" shapeId="0" xr:uid="{1ED652B5-31F0-4BC1-A357-19688D8D581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we adding 75 to these?
Reply:
    75 was the baseline from before</t>
      </text>
    </comment>
  </commentList>
</comments>
</file>

<file path=xl/sharedStrings.xml><?xml version="1.0" encoding="utf-8"?>
<sst xmlns="http://schemas.openxmlformats.org/spreadsheetml/2006/main" count="412" uniqueCount="153">
  <si>
    <t>date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</si>
  <si>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</si>
  <si>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</si>
  <si>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</si>
  <si>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</si>
  <si>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</si>
  <si>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</si>
  <si>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federal_social_benefits</t>
  </si>
  <si>
    <t>federal_noncorp_taxes</t>
  </si>
  <si>
    <t>federal_corporate_taxes</t>
  </si>
  <si>
    <t>federal_subsidies</t>
  </si>
  <si>
    <t>health_outlays</t>
  </si>
  <si>
    <t>social_benefits</t>
  </si>
  <si>
    <t>noncorp_taxes</t>
  </si>
  <si>
    <t>corporate_taxes</t>
  </si>
  <si>
    <t>subsidies</t>
  </si>
  <si>
    <t>federal_nom</t>
  </si>
  <si>
    <t>federal_cgrants</t>
  </si>
  <si>
    <t>federal_igrants</t>
  </si>
  <si>
    <t>state_local_nom</t>
  </si>
  <si>
    <t>gdp</t>
  </si>
  <si>
    <t>gdppot</t>
  </si>
  <si>
    <t>gdppoth</t>
  </si>
  <si>
    <t>pce</t>
  </si>
  <si>
    <t>add_state_health_outlays</t>
  </si>
  <si>
    <t>add_state_social_benefits</t>
  </si>
  <si>
    <t>add_state_noncorp_taxes</t>
  </si>
  <si>
    <t>add_state_corporate_taxes</t>
  </si>
  <si>
    <t>add_state_expenditures</t>
  </si>
  <si>
    <t>add_federal_health_outlays</t>
  </si>
  <si>
    <t>add_federal_social_benefits</t>
  </si>
  <si>
    <t>add_federal_noncorp_taxes</t>
  </si>
  <si>
    <t>add_federal_corporate_taxes</t>
  </si>
  <si>
    <t>add_federal_subsidies</t>
  </si>
  <si>
    <t>add_federal_grants</t>
  </si>
  <si>
    <t>add_federal_nom</t>
  </si>
  <si>
    <t>federal_cgrants_cont</t>
  </si>
  <si>
    <t>federal_igrants_cont</t>
  </si>
  <si>
    <t>federal_cont_0</t>
  </si>
  <si>
    <t>state_local_cont_0</t>
  </si>
  <si>
    <t>purchases_cont</t>
  </si>
  <si>
    <t>subsidies_net</t>
  </si>
  <si>
    <t>health_outlays_net</t>
  </si>
  <si>
    <t>social_benefits_net</t>
  </si>
  <si>
    <t>noncorp_taxes_net</t>
  </si>
  <si>
    <t>corporate_taxes_net</t>
  </si>
  <si>
    <t>state_subsidies_net</t>
  </si>
  <si>
    <t>state_health_outlays_net</t>
  </si>
  <si>
    <t>state_social_benefits_net</t>
  </si>
  <si>
    <t>state_noncorp_taxes_net</t>
  </si>
  <si>
    <t>state_corporate_taxes_net</t>
  </si>
  <si>
    <t>federal_subsidies_net</t>
  </si>
  <si>
    <t>federal_health_outlays_net</t>
  </si>
  <si>
    <t>federal_social_benefits_net</t>
  </si>
  <si>
    <t>federal_noncorp_taxes_net</t>
  </si>
  <si>
    <t>federal_corporate_taxes_net</t>
  </si>
  <si>
    <t>health_outlays_net_xmpc</t>
  </si>
  <si>
    <t>state_health_outlays_net_xmpc</t>
  </si>
  <si>
    <t>federal_health_outlays_net_xmpc</t>
  </si>
  <si>
    <t>social_benefits_net_xmpc</t>
  </si>
  <si>
    <t>state_social_benefits_net_xmpc</t>
  </si>
  <si>
    <t>federal_social_benefits_net_xmpc</t>
  </si>
  <si>
    <t>noncorp_taxes_net_xmpc</t>
  </si>
  <si>
    <t>state_noncorp_taxes_net_xmpc</t>
  </si>
  <si>
    <t>federal_noncorp_taxes_net_xmpc</t>
  </si>
  <si>
    <t>corporate_taxes_net_xmpc</t>
  </si>
  <si>
    <t>state_corporate_taxes_net_xmpc</t>
  </si>
  <si>
    <t>federal_corporate_taxes_net_xmpc</t>
  </si>
  <si>
    <t>subsidies_net_xmpc</t>
  </si>
  <si>
    <t>state_subsidies_net_xmpc</t>
  </si>
  <si>
    <t>federal_subsidies_net_xmpc</t>
  </si>
  <si>
    <t>transfers_net_taxes</t>
  </si>
  <si>
    <t>state_transfers_net_taxes</t>
  </si>
  <si>
    <t>federal_transfers_net_taxes</t>
  </si>
  <si>
    <t>state_taxes_transfers_cont</t>
  </si>
  <si>
    <t>federal_taxes_transfers_cont</t>
  </si>
  <si>
    <t>health_cont</t>
  </si>
  <si>
    <t>social_benefits_cont</t>
  </si>
  <si>
    <t>noncorp_cont</t>
  </si>
  <si>
    <t>corporate_cont</t>
  </si>
  <si>
    <t>state_subsidies_cont</t>
  </si>
  <si>
    <t>federal_subsidies_cont</t>
  </si>
  <si>
    <t>1</t>
  </si>
  <si>
    <t>2</t>
  </si>
  <si>
    <t>3</t>
  </si>
  <si>
    <t>4</t>
  </si>
  <si>
    <t>5</t>
  </si>
  <si>
    <t>6</t>
  </si>
  <si>
    <t>7</t>
  </si>
  <si>
    <t>8</t>
  </si>
  <si>
    <t>Changes</t>
  </si>
  <si>
    <t xml:space="preserve"> </t>
  </si>
  <si>
    <t>Federal Non Corporate Taxes</t>
  </si>
  <si>
    <t>CBO January</t>
  </si>
  <si>
    <t>BEA</t>
  </si>
  <si>
    <t>My estimate post COVID</t>
  </si>
  <si>
    <t>Use DATA</t>
  </si>
  <si>
    <t>No Addons</t>
  </si>
  <si>
    <t>Add Factors</t>
  </si>
  <si>
    <t>Federal Corporate Taxes</t>
  </si>
  <si>
    <t>State Noncorporate Taxes</t>
  </si>
  <si>
    <t>Ours January</t>
  </si>
  <si>
    <t>State Corporate Taxes</t>
  </si>
  <si>
    <t>Federal Health</t>
  </si>
  <si>
    <t>Fed social Benefits</t>
  </si>
  <si>
    <t>My changes</t>
  </si>
  <si>
    <t>estiamte pre covid</t>
  </si>
  <si>
    <t>estimate precovid</t>
  </si>
  <si>
    <t>Q1</t>
  </si>
  <si>
    <t>mediicare</t>
  </si>
  <si>
    <t>state UI</t>
  </si>
  <si>
    <t>Fed Medicaid Grants</t>
  </si>
  <si>
    <t>health</t>
  </si>
  <si>
    <t>20 too high</t>
  </si>
  <si>
    <t>20 too low</t>
  </si>
  <si>
    <t>medicare</t>
  </si>
  <si>
    <t>q2</t>
  </si>
  <si>
    <t>state ui</t>
  </si>
  <si>
    <t>State Health</t>
  </si>
  <si>
    <t>State health</t>
  </si>
  <si>
    <t>Health less medicaid grants</t>
  </si>
  <si>
    <t>q1</t>
  </si>
  <si>
    <t>rx?</t>
  </si>
  <si>
    <t>State Social Benefits</t>
  </si>
  <si>
    <t>I get 173</t>
  </si>
  <si>
    <t xml:space="preserve">** used to be 140? </t>
  </si>
  <si>
    <t>Subsidies</t>
  </si>
  <si>
    <t>Legislation</t>
  </si>
  <si>
    <t>Cons Grants</t>
  </si>
  <si>
    <t>Health Grants</t>
  </si>
  <si>
    <t>NO adds</t>
  </si>
  <si>
    <t>imputed pre</t>
  </si>
  <si>
    <t>pi_federal</t>
  </si>
  <si>
    <t>pi_state_local</t>
  </si>
  <si>
    <t>pi_state_local_c</t>
  </si>
  <si>
    <t>pi_state_local_i</t>
  </si>
  <si>
    <t>pi_gdp</t>
  </si>
  <si>
    <t>pi_pce</t>
  </si>
  <si>
    <t>Estimate</t>
  </si>
  <si>
    <t>PPP Subsidies</t>
  </si>
  <si>
    <t>All other subsidies (aviation, employee retention, paid sick)</t>
  </si>
  <si>
    <t>Grants to S&amp;L Gov't</t>
  </si>
  <si>
    <t>Education</t>
  </si>
  <si>
    <t>Federal Social Benefits</t>
  </si>
  <si>
    <t>Leglislation + Automatic</t>
  </si>
  <si>
    <t>2020 q3</t>
  </si>
  <si>
    <t>2020 q4</t>
  </si>
  <si>
    <t>2021 q1</t>
  </si>
  <si>
    <t>20201 q2</t>
  </si>
  <si>
    <t>deannualized, smoothed, and reannualied</t>
  </si>
  <si>
    <t>total subsidies</t>
  </si>
  <si>
    <t>WLA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</si>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</sst>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65" formatCode="#,##0.0"/>
  </numFmts>
  <fonts count="1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8F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2" fillId="0" borderId="0" xfId="2" applyNumberFormat="1" applyAlignment="1">
      <alignment horizontal="center"/>
    </xf>
    <xf numFmtId="0" fontId="0" fillId="2" borderId="0" xfId="0" applyFill="1"/>
    <xf numFmtId="1" fontId="2" fillId="0" borderId="0" xfId="17" applyNumberFormat="1" applyAlignment="1">
      <alignment horizontal="center"/>
    </xf>
    <xf numFmtId="1" fontId="2" fillId="0" borderId="0" xfId="17" applyNumberFormat="1" applyAlignment="1">
      <alignment horizontal="center"/>
    </xf>
    <xf numFmtId="1" fontId="2" fillId="0" borderId="0" xfId="4" applyNumberFormat="1" applyFont="1" applyAlignment="1">
      <alignment horizontal="center"/>
    </xf>
    <xf numFmtId="1" fontId="2" fillId="0" borderId="0" xfId="17" applyNumberFormat="1" applyAlignment="1">
      <alignment horizontal="center"/>
    </xf>
    <xf numFmtId="1" fontId="2" fillId="0" borderId="0" xfId="4" applyNumberFormat="1" applyFont="1" applyAlignment="1">
      <alignment horizontal="center"/>
    </xf>
    <xf numFmtId="1" fontId="2" fillId="0" borderId="0" xfId="4" applyNumberFormat="1" applyFont="1" applyAlignment="1">
      <alignment horizontal="center"/>
    </xf>
    <xf numFmtId="1" fontId="2" fillId="0" borderId="0" xfId="4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164" fontId="7" fillId="3" borderId="0" xfId="13" applyNumberFormat="1" applyFill="1"/>
    <xf numFmtId="164" fontId="7" fillId="3" borderId="0" xfId="13" applyNumberFormat="1" applyFill="1"/>
    <xf numFmtId="2" fontId="0" fillId="2" borderId="0" xfId="0" applyNumberFormat="1" applyFill="1"/>
    <xf numFmtId="0" fontId="4" fillId="0" borderId="0" xfId="0" applyFont="1"/>
    <xf numFmtId="0" fontId="4" fillId="0" borderId="0" xfId="0" applyFont="1" applyFill="1"/>
    <xf numFmtId="2" fontId="0" fillId="0" borderId="0" xfId="0" applyNumberFormat="1" applyFill="1" applyAlignment="1">
      <alignment horizontal="center"/>
    </xf>
    <xf numFmtId="1" fontId="2" fillId="2" borderId="0" xfId="2" applyNumberFormat="1" applyFill="1" applyAlignment="1">
      <alignment horizontal="center"/>
    </xf>
    <xf numFmtId="0" fontId="0" fillId="0" borderId="0" xfId="0" applyFill="1"/>
    <xf numFmtId="1" fontId="2" fillId="0" borderId="0" xfId="2" applyNumberFormat="1" applyFill="1" applyAlignment="1">
      <alignment horizontal="center"/>
    </xf>
    <xf numFmtId="164" fontId="0" fillId="0" borderId="0" xfId="0" applyNumberFormat="1" applyFill="1"/>
    <xf numFmtId="0" fontId="2" fillId="0" borderId="0" xfId="17"/>
    <xf numFmtId="3" fontId="0" fillId="0" borderId="0" xfId="0" applyNumberFormat="1"/>
    <xf numFmtId="164" fontId="7" fillId="3" borderId="0" xfId="13" applyNumberFormat="1" applyFill="1"/>
    <xf numFmtId="164" fontId="7" fillId="3" borderId="0" xfId="13" applyNumberFormat="1" applyFill="1"/>
    <xf numFmtId="1" fontId="2" fillId="0" borderId="0" xfId="4" applyNumberFormat="1" applyFont="1" applyAlignment="1">
      <alignment horizontal="center"/>
    </xf>
    <xf numFmtId="1" fontId="2" fillId="0" borderId="0" xfId="17" applyNumberFormat="1"/>
    <xf numFmtId="1" fontId="2" fillId="0" borderId="0" xfId="17" applyNumberFormat="1" applyAlignment="1">
      <alignment horizontal="center"/>
    </xf>
    <xf numFmtId="1" fontId="2" fillId="0" borderId="0" xfId="4" applyNumberFormat="1" applyFont="1" applyAlignment="1">
      <alignment horizontal="center"/>
    </xf>
    <xf numFmtId="3" fontId="7" fillId="3" borderId="0" xfId="13" applyNumberFormat="1" applyFill="1"/>
    <xf numFmtId="165" fontId="0" fillId="0" borderId="0" xfId="0" applyNumberFormat="1" applyAlignment="1">
      <alignment horizontal="center"/>
    </xf>
    <xf numFmtId="14" fontId="12" fillId="0" borderId="0" xfId="0" applyNumberFormat="1" applyFont="1"/>
    <xf numFmtId="2" fontId="0" fillId="0" borderId="0" xfId="0" applyNumberForma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7" fillId="3" borderId="0" xfId="13" applyFill="1"/>
    <xf numFmtId="3" fontId="7" fillId="3" borderId="0" xfId="13" applyNumberFormat="1" applyFill="1"/>
    <xf numFmtId="0" fontId="7" fillId="3" borderId="0" xfId="13" applyFill="1"/>
    <xf numFmtId="164" fontId="7" fillId="3" borderId="0" xfId="13" applyNumberFormat="1" applyFill="1"/>
    <xf numFmtId="3" fontId="7" fillId="3" borderId="0" xfId="13" applyNumberFormat="1" applyFill="1"/>
    <xf numFmtId="0" fontId="1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7" fillId="3" borderId="0" xfId="13" applyNumberFormat="1" applyFill="1"/>
    <xf numFmtId="3" fontId="7" fillId="0" borderId="0" xfId="13" applyNumberFormat="1" applyFill="1"/>
    <xf numFmtId="0" fontId="7" fillId="0" borderId="0" xfId="13" applyFill="1"/>
    <xf numFmtId="164" fontId="7" fillId="0" borderId="0" xfId="13" applyNumberFormat="1" applyFill="1"/>
    <xf numFmtId="11" fontId="0" fillId="0" borderId="0" xfId="0" applyNumberFormat="1"/>
    <xf numFmtId="0" fontId="0" fillId="4" borderId="0" xfId="0" applyFill="1"/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164" fontId="7" fillId="0" borderId="0" xfId="13" applyNumberFormat="1"/>
    <xf numFmtId="1" fontId="1" fillId="0" borderId="0" xfId="2" applyNumberFormat="1" applyFont="1" applyAlignment="1">
      <alignment horizontal="center"/>
    </xf>
    <xf numFmtId="0" fontId="1" fillId="0" borderId="0" xfId="17" applyFont="1" applyFill="1"/>
    <xf numFmtId="0" fontId="2" fillId="0" borderId="0" xfId="17" applyFill="1"/>
    <xf numFmtId="164" fontId="7" fillId="0" borderId="0" xfId="13" applyNumberFormat="1" applyFill="1" applyAlignment="1">
      <alignment wrapText="1"/>
    </xf>
    <xf numFmtId="3" fontId="7" fillId="0" borderId="0" xfId="13" applyNumberFormat="1"/>
    <xf numFmtId="1" fontId="1" fillId="0" borderId="0" xfId="2" applyNumberFormat="1" applyFont="1" applyFill="1" applyAlignment="1">
      <alignment horizontal="center"/>
    </xf>
  </cellXfs>
  <cellStyles count="23">
    <cellStyle name="Comma 2" xfId="11" xr:uid="{F916521D-1B82-468F-8DEA-CEF8402E34E6}"/>
    <cellStyle name="Comma 3" xfId="3" xr:uid="{00000000-0005-0000-0000-00002F000000}"/>
    <cellStyle name="Comma 4" xfId="19" xr:uid="{00000000-0005-0000-0000-000040000000}"/>
    <cellStyle name="Hyperlink 2" xfId="15" xr:uid="{0D308E19-F675-4467-8A1D-3201183C0CE2}"/>
    <cellStyle name="Hyperlink 3" xfId="18" xr:uid="{00000000-0005-0000-0000-000041000000}"/>
    <cellStyle name="Hyperlink 6" xfId="22" xr:uid="{00000000-0005-0000-0000-000001000000}"/>
    <cellStyle name="Hyperlink 7" xfId="16" xr:uid="{81B6A505-93A0-4ED7-A5F9-B9EAB9179360}"/>
    <cellStyle name="Normal" xfId="0" builtinId="0"/>
    <cellStyle name="Normal 14" xfId="17" xr:uid="{8BA78EAE-4DDB-4201-B4E0-9ABBDF40EF5D}"/>
    <cellStyle name="Normal 2" xfId="13" xr:uid="{A67C3A8C-B9CA-4ABA-BAC2-8A9E124B5B9B}"/>
    <cellStyle name="Normal 2 2" xfId="10" xr:uid="{541DFFAC-32EE-4B94-892F-B6BDCC33CF3F}"/>
    <cellStyle name="Normal 2 3" xfId="5" xr:uid="{6D4E0F38-2F7A-4F8B-8F8B-A70051A5D1F4}"/>
    <cellStyle name="Normal 2 3 2" xfId="6" xr:uid="{22A73B71-725B-40D9-A72F-118B64EC6C00}"/>
    <cellStyle name="Normal 2 3 3" xfId="9" xr:uid="{6883977F-27A9-45E8-9D7C-6000DE790951}"/>
    <cellStyle name="Normal 3" xfId="14" xr:uid="{C3F68033-0CAD-4AB8-8B0D-AF2381C10459}"/>
    <cellStyle name="Normal 3 2" xfId="12" xr:uid="{DCE39885-ADFD-4CD9-A727-B7478E10A651}"/>
    <cellStyle name="Normal 4" xfId="2" xr:uid="{00000000-0005-0000-0000-000034000000}"/>
    <cellStyle name="Normal 4 2" xfId="21" xr:uid="{00000000-0005-0000-0000-00003F000000}"/>
    <cellStyle name="Normal 5" xfId="8" xr:uid="{E30052A7-5DF0-44E3-9CD5-6A635D47D040}"/>
    <cellStyle name="Normal 6" xfId="7" xr:uid="{D6D9E645-FB8E-4C46-8ACF-25E24EED0F18}"/>
    <cellStyle name="Percent" xfId="1" builtinId="5"/>
    <cellStyle name="Percent 2" xfId="4" xr:uid="{00000000-0005-0000-0000-00003F000000}"/>
    <cellStyle name="Percent 3" xfId="20" xr:uid="{00000000-0005-0000-0000-000042000000}"/>
  </cellStyles>
  <dxfs count="0"/>
  <tableStyles count="1" defaultTableStyle="TableStyleMedium2" defaultPivotStyle="PivotStyleLight16">
    <tableStyle name="Table Style 1" pivot="0" count="1" xr9:uid="{B0B9A7A7-DE2A-40E7-8E2A-1DE250D5CA92}">
      <tableStyleElement type="firstColumnStripe" size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ija Yilla" id="{7391A02E-4EFB-45D0-9585-AC958C4282DA}" userId="S::KYilla@brookings.edu::1d0f8558-0594-40f7-8134-e540cb01b2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5" dT="2020-09-08T22:38:15.99" personId="{7391A02E-4EFB-45D0-9585-AC958C4282DA}" id="{C9358CB4-E56F-450A-913D-5DE8E802F11E}">
    <text>growing social benefits by 1% to override the growth rate used in the FIM</text>
  </threadedComment>
  <threadedComment ref="E103" dT="2020-09-04T18:46:55.24" personId="{7391A02E-4EFB-45D0-9585-AC958C4282DA}" id="{1ED652B5-31F0-4BC1-A357-19688D8D581C}">
    <text>why are we adding 75 to these?</text>
  </threadedComment>
  <threadedComment ref="E103" dT="2020-09-04T19:44:32.72" personId="{7391A02E-4EFB-45D0-9585-AC958C4282DA}" id="{EC4E6287-51B1-42FD-8772-8E826B42DB0F}" parentId="{1ED652B5-31F0-4BC1-A357-19688D8D581C}">
    <text>75 was the baseline from before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645F-0C41-40BF-9449-F0250D82E6EA}">
  <dimension ref="A1:CE127"/>
  <sheetViews>
    <sheetView tabSelected="1" topLeftCell="A49" zoomScale="110" zoomScaleNormal="110" workbookViewId="0">
      <pane xSplit="2" topLeftCell="C1" activePane="topRight" state="frozen"/>
      <selection pane="topRight" activeCell="D63" sqref="D63"/>
    </sheetView>
  </sheetViews>
  <sheetFormatPr defaultColWidth="8.81640625" defaultRowHeight="14.5" x14ac:dyDescent="0.35"/>
  <cols>
    <col min="1" max="1" width="31.6328125" customWidth="1"/>
    <col min="2" max="2" width="11.54296875" customWidth="1"/>
    <col min="4" max="4" width="9.90625" customWidth="1"/>
    <col min="8" max="8" width="18.1796875" bestFit="1" customWidth="1"/>
    <col min="10" max="10" width="15.453125" customWidth="1"/>
    <col min="11" max="11" width="8.81640625" customWidth="1"/>
    <col min="15" max="15" width="22.90625" customWidth="1"/>
    <col min="16" max="16" width="16.453125" bestFit="1" customWidth="1"/>
  </cols>
  <sheetData>
    <row r="1" spans="1:83" s="4" customFormat="1" ht="59" customHeigh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B12" s="1">
        <v>43921</v>
      </c>
      <c r="C12">
        <v>179.27799999999999</v>
      </c>
      <c r="D12">
        <v>186.02099999999999</v>
      </c>
      <c r="E12">
        <v>1862.4</v>
      </c>
      <c r="F12">
        <v>62.7</v>
      </c>
      <c r="G12">
        <v>0.6</v>
      </c>
      <c r="H12">
        <v>1249.5219999999999</v>
      </c>
      <c r="I12">
        <v>1574.779</v>
      </c>
      <c r="J12">
        <v>3376.8</v>
      </c>
      <c r="K12">
        <v>180.5</v>
      </c>
      <c r="L12">
        <v>74.5</v>
      </c>
      <c r="M12">
        <v>1428.8</v>
      </c>
      <c r="N12">
        <v>1760.8</v>
      </c>
      <c r="O12">
        <v>5239.2</v>
      </c>
      <c r="P12">
        <v>243.2</v>
      </c>
      <c r="Q12">
        <v>75.099999999999994</v>
      </c>
      <c r="R12">
        <v>1452.6</v>
      </c>
      <c r="S12">
        <v>182.97800000000001</v>
      </c>
      <c r="T12">
        <v>72.239999999999995</v>
      </c>
      <c r="U12">
        <v>-6.8295576064203401E-4</v>
      </c>
      <c r="V12">
        <v>2381.6</v>
      </c>
      <c r="W12">
        <v>7.57268307846393E-3</v>
      </c>
      <c r="X12">
        <v>8.4565499351492192E-3</v>
      </c>
      <c r="Y12">
        <v>3.7761433561331898E-3</v>
      </c>
      <c r="Z12">
        <v>21561.1</v>
      </c>
      <c r="AA12">
        <v>7.9955540033112005E-3</v>
      </c>
      <c r="AB12">
        <v>4.5350401479802302E-3</v>
      </c>
      <c r="AC12">
        <v>3.4605138553309698E-3</v>
      </c>
      <c r="AD12">
        <v>14545.5</v>
      </c>
      <c r="AE12">
        <v>3.1937319617476598E-3</v>
      </c>
    </row>
    <row r="13" spans="1:83" x14ac:dyDescent="0.35">
      <c r="B13" s="1">
        <v>44012</v>
      </c>
      <c r="C13">
        <v>61.09</v>
      </c>
      <c r="D13">
        <v>465.21800000000002</v>
      </c>
      <c r="E13">
        <v>1816.2</v>
      </c>
      <c r="F13">
        <v>54.4</v>
      </c>
      <c r="G13">
        <v>0.6</v>
      </c>
      <c r="H13">
        <v>1420.71</v>
      </c>
      <c r="I13">
        <v>3690.1819999999998</v>
      </c>
      <c r="J13">
        <v>3097</v>
      </c>
      <c r="K13">
        <v>173.4</v>
      </c>
      <c r="L13">
        <v>1086.2</v>
      </c>
      <c r="M13">
        <v>1481.8</v>
      </c>
      <c r="N13">
        <v>4155.3999999999996</v>
      </c>
      <c r="O13">
        <v>4913.1000000000004</v>
      </c>
      <c r="P13">
        <v>227.8</v>
      </c>
      <c r="Q13">
        <v>1086.8</v>
      </c>
      <c r="R13">
        <v>1509.2</v>
      </c>
      <c r="S13">
        <v>502.29</v>
      </c>
      <c r="T13">
        <v>72.525000000000006</v>
      </c>
      <c r="U13">
        <v>-2.1851535452541699E-3</v>
      </c>
      <c r="V13">
        <v>2333.1</v>
      </c>
      <c r="W13">
        <v>-6.2645687645688196E-3</v>
      </c>
      <c r="X13">
        <v>-7.1595157252117804E-3</v>
      </c>
      <c r="Y13">
        <v>-2.4452595309547602E-3</v>
      </c>
      <c r="Z13">
        <v>19486.5</v>
      </c>
      <c r="AA13">
        <v>-4.4671511356564298E-4</v>
      </c>
      <c r="AB13">
        <v>4.5982663646491097E-3</v>
      </c>
      <c r="AC13">
        <v>-5.0449814782147504E-3</v>
      </c>
      <c r="AD13">
        <v>13046.7</v>
      </c>
      <c r="AE13">
        <v>-4.4642051911041297E-3</v>
      </c>
    </row>
    <row r="14" spans="1:83" x14ac:dyDescent="0.35">
      <c r="B14" s="1">
        <v>44104</v>
      </c>
      <c r="C14">
        <v>63.009813793412498</v>
      </c>
      <c r="D14">
        <v>405.08098280863499</v>
      </c>
      <c r="E14">
        <v>1895.1488054536601</v>
      </c>
      <c r="F14">
        <v>56.7647258103067</v>
      </c>
      <c r="G14">
        <v>0.60199647986336002</v>
      </c>
      <c r="H14">
        <v>1460.7042835549901</v>
      </c>
      <c r="I14">
        <v>4207.1388100548502</v>
      </c>
      <c r="J14">
        <v>3077.6723691114898</v>
      </c>
      <c r="K14">
        <v>163.507021090991</v>
      </c>
      <c r="L14">
        <v>1327.7142940459701</v>
      </c>
      <c r="M14">
        <v>1523.7140973483999</v>
      </c>
      <c r="N14">
        <v>4612.2197928634896</v>
      </c>
      <c r="O14">
        <v>4972.8211745651497</v>
      </c>
      <c r="P14">
        <v>220.271746901298</v>
      </c>
      <c r="Q14">
        <v>1328.31629052583</v>
      </c>
      <c r="R14">
        <v>1462.5244866564101</v>
      </c>
      <c r="S14">
        <v>373.87394730358398</v>
      </c>
      <c r="T14">
        <v>73.165311684837107</v>
      </c>
      <c r="U14">
        <v>5.5881685241763197E-3</v>
      </c>
      <c r="V14">
        <v>2251.0965730855401</v>
      </c>
      <c r="W14">
        <v>2.3918522134369598E-3</v>
      </c>
      <c r="X14">
        <v>2.3918522134369598E-3</v>
      </c>
      <c r="Y14">
        <v>2.3918522134369598E-3</v>
      </c>
      <c r="Z14">
        <v>20333.563042326099</v>
      </c>
      <c r="AA14">
        <v>6.8735657297140903E-3</v>
      </c>
      <c r="AB14">
        <v>3.3274664389340001E-3</v>
      </c>
      <c r="AC14">
        <v>3.5460992907800901E-3</v>
      </c>
      <c r="AD14">
        <v>13910.4720836289</v>
      </c>
      <c r="AE14">
        <v>4.0155719093093499E-3</v>
      </c>
    </row>
    <row r="15" spans="1:83" x14ac:dyDescent="0.35">
      <c r="B15" s="1">
        <v>44196</v>
      </c>
      <c r="C15">
        <v>65.414387073439201</v>
      </c>
      <c r="D15">
        <v>404.20608325604502</v>
      </c>
      <c r="E15">
        <v>1933.47191075455</v>
      </c>
      <c r="F15">
        <v>57.912604308472503</v>
      </c>
      <c r="G15">
        <v>0.60396796467365799</v>
      </c>
      <c r="H15">
        <v>1471.3575997539101</v>
      </c>
      <c r="I15">
        <v>3554.8225332396901</v>
      </c>
      <c r="J15">
        <v>3071.6414090328499</v>
      </c>
      <c r="K15">
        <v>156.12224225230901</v>
      </c>
      <c r="L15">
        <v>593.78333871421296</v>
      </c>
      <c r="M15">
        <v>1536.77198682735</v>
      </c>
      <c r="N15">
        <v>3959.0286164957301</v>
      </c>
      <c r="O15">
        <v>5005.1133197874096</v>
      </c>
      <c r="P15">
        <v>214.03484656078101</v>
      </c>
      <c r="Q15">
        <v>594.38730667888603</v>
      </c>
      <c r="R15">
        <v>1474.13294094041</v>
      </c>
      <c r="S15">
        <v>293.13535139200798</v>
      </c>
      <c r="T15">
        <v>73.723158986021005</v>
      </c>
      <c r="U15">
        <v>3.65066307183137E-3</v>
      </c>
      <c r="V15">
        <v>2306.1662448925799</v>
      </c>
      <c r="W15">
        <v>3.4588239430768399E-3</v>
      </c>
      <c r="X15">
        <v>3.4588239430768399E-3</v>
      </c>
      <c r="Y15">
        <v>3.4588239430768399E-3</v>
      </c>
      <c r="Z15">
        <v>20744.741982666299</v>
      </c>
      <c r="AA15">
        <v>4.1583030873304496E-3</v>
      </c>
      <c r="AB15">
        <v>3.27491086118203E-3</v>
      </c>
      <c r="AC15">
        <v>8.8339222614841595E-4</v>
      </c>
      <c r="AD15">
        <v>14180.0236886737</v>
      </c>
      <c r="AE15">
        <v>1.66642454500399E-3</v>
      </c>
    </row>
    <row r="16" spans="1:83" x14ac:dyDescent="0.35">
      <c r="B16" s="1">
        <v>44286</v>
      </c>
      <c r="C16">
        <v>67.818960353465997</v>
      </c>
      <c r="D16">
        <v>395.88157173561501</v>
      </c>
      <c r="E16">
        <v>1965.5383751259999</v>
      </c>
      <c r="F16">
        <v>58.8730798407964</v>
      </c>
      <c r="G16">
        <v>0.60601443464314297</v>
      </c>
      <c r="H16">
        <v>1482.0109159528199</v>
      </c>
      <c r="I16">
        <v>2989.5220552605201</v>
      </c>
      <c r="J16">
        <v>3065.6104489542199</v>
      </c>
      <c r="K16">
        <v>148.73746341362599</v>
      </c>
      <c r="L16">
        <v>179.988131515638</v>
      </c>
      <c r="M16">
        <v>1549.8298763062901</v>
      </c>
      <c r="N16">
        <v>3385.4036269961298</v>
      </c>
      <c r="O16">
        <v>5031.14882408022</v>
      </c>
      <c r="P16">
        <v>207.61054325442299</v>
      </c>
      <c r="Q16">
        <v>180.59414595028099</v>
      </c>
      <c r="R16">
        <v>1480.2904688649601</v>
      </c>
      <c r="S16">
        <v>209.35143409724699</v>
      </c>
      <c r="T16">
        <v>74.019060597953299</v>
      </c>
      <c r="U16">
        <v>3.9389826120605998E-3</v>
      </c>
      <c r="V16">
        <v>2342.65776986951</v>
      </c>
      <c r="W16">
        <v>3.1885362715387E-3</v>
      </c>
      <c r="X16">
        <v>3.1885362715387E-3</v>
      </c>
      <c r="Y16">
        <v>3.1885362715387E-3</v>
      </c>
      <c r="Z16">
        <v>21088.791733780901</v>
      </c>
      <c r="AA16">
        <v>5.15360009464794E-3</v>
      </c>
      <c r="AB16">
        <v>3.3883750284520201E-3</v>
      </c>
      <c r="AC16">
        <v>1.7652250661959201E-3</v>
      </c>
      <c r="AD16">
        <v>14317.3139651238</v>
      </c>
      <c r="AE16">
        <v>2.17232854368143E-3</v>
      </c>
    </row>
    <row r="17" spans="1:31" x14ac:dyDescent="0.35">
      <c r="B17" s="1">
        <v>44377</v>
      </c>
      <c r="C17">
        <v>70.223533633492494</v>
      </c>
      <c r="D17">
        <v>388.889110037249</v>
      </c>
      <c r="E17">
        <v>1996.7932691808101</v>
      </c>
      <c r="F17">
        <v>59.809246692784903</v>
      </c>
      <c r="G17">
        <v>0.60820462616773796</v>
      </c>
      <c r="H17">
        <v>1492.66423215174</v>
      </c>
      <c r="I17">
        <v>2477.7061140139999</v>
      </c>
      <c r="J17">
        <v>3059.57948887558</v>
      </c>
      <c r="K17">
        <v>141.35268457494399</v>
      </c>
      <c r="L17">
        <v>96.153108238994406</v>
      </c>
      <c r="M17">
        <v>1562.8877657852299</v>
      </c>
      <c r="N17">
        <v>2866.5952240512502</v>
      </c>
      <c r="O17">
        <v>5056.37275805639</v>
      </c>
      <c r="P17">
        <v>201.16193126772899</v>
      </c>
      <c r="Q17">
        <v>96.761312865162097</v>
      </c>
      <c r="R17">
        <v>1487.3564845160899</v>
      </c>
      <c r="S17">
        <v>124.40840369968301</v>
      </c>
      <c r="T17">
        <v>74.358619824760893</v>
      </c>
      <c r="U17">
        <v>5.4103370672069504E-3</v>
      </c>
      <c r="V17">
        <v>2381.9169105048099</v>
      </c>
      <c r="W17">
        <v>5.8029141236253202E-3</v>
      </c>
      <c r="X17">
        <v>5.8029141236253202E-3</v>
      </c>
      <c r="Y17">
        <v>5.8029141236253202E-3</v>
      </c>
      <c r="Z17">
        <v>21424.133927921899</v>
      </c>
      <c r="AA17">
        <v>7.1383204222088504E-3</v>
      </c>
      <c r="AB17">
        <v>3.6140913473188302E-3</v>
      </c>
      <c r="AC17">
        <v>3.5242290748900302E-3</v>
      </c>
      <c r="AD17">
        <v>14423.7265017423</v>
      </c>
      <c r="AE17">
        <v>3.4348756747632999E-3</v>
      </c>
    </row>
    <row r="18" spans="1:31" x14ac:dyDescent="0.35">
      <c r="B18" s="1">
        <v>44469</v>
      </c>
      <c r="C18">
        <v>72.628106913519204</v>
      </c>
      <c r="D18">
        <v>377.60448780112102</v>
      </c>
      <c r="E18">
        <v>2030.19976826113</v>
      </c>
      <c r="F18">
        <v>60.809859813569702</v>
      </c>
      <c r="G18">
        <v>0.61056978306376897</v>
      </c>
      <c r="H18">
        <v>1503.31754835066</v>
      </c>
      <c r="I18">
        <v>2040.9880786444501</v>
      </c>
      <c r="J18">
        <v>3053.54852879694</v>
      </c>
      <c r="K18">
        <v>133.967905736261</v>
      </c>
      <c r="L18">
        <v>96.134830606442407</v>
      </c>
      <c r="M18">
        <v>1575.94565526418</v>
      </c>
      <c r="N18">
        <v>2418.5925664455699</v>
      </c>
      <c r="O18">
        <v>5083.7482970580704</v>
      </c>
      <c r="P18">
        <v>194.777765549831</v>
      </c>
      <c r="Q18">
        <v>96.745400389506202</v>
      </c>
      <c r="R18">
        <v>1495.6338171359801</v>
      </c>
      <c r="S18">
        <v>107.586555831716</v>
      </c>
      <c r="T18">
        <v>74.756389204735498</v>
      </c>
      <c r="U18">
        <v>4.6760126561193899E-3</v>
      </c>
      <c r="V18">
        <v>2412.2581784631602</v>
      </c>
      <c r="W18">
        <v>5.5851895345160303E-3</v>
      </c>
      <c r="X18">
        <v>5.5851895345160303E-3</v>
      </c>
      <c r="Y18">
        <v>5.5851895345160303E-3</v>
      </c>
      <c r="Z18">
        <v>21782.561273108899</v>
      </c>
      <c r="AA18">
        <v>7.4006044029057997E-3</v>
      </c>
      <c r="AB18">
        <v>3.8887519007109201E-3</v>
      </c>
      <c r="AC18">
        <v>3.5118525021948801E-3</v>
      </c>
      <c r="AD18">
        <v>14556.9936199081</v>
      </c>
      <c r="AE18">
        <v>3.8219263490924002E-3</v>
      </c>
    </row>
    <row r="19" spans="1:31" x14ac:dyDescent="0.35">
      <c r="B19" s="1">
        <v>44561</v>
      </c>
      <c r="C19">
        <v>71.905190915813407</v>
      </c>
      <c r="D19">
        <v>397.47458006632002</v>
      </c>
      <c r="E19">
        <v>2052.5745731536199</v>
      </c>
      <c r="F19">
        <v>61.480044477236603</v>
      </c>
      <c r="G19">
        <v>0.61311927847613501</v>
      </c>
      <c r="H19">
        <v>1536.3491403461601</v>
      </c>
      <c r="I19">
        <v>2103.95623052777</v>
      </c>
      <c r="J19">
        <v>3144.3076119706002</v>
      </c>
      <c r="K19">
        <v>164.498990112191</v>
      </c>
      <c r="L19">
        <v>96.1502671346298</v>
      </c>
      <c r="M19">
        <v>1608.25433126197</v>
      </c>
      <c r="N19">
        <v>2501.43081059409</v>
      </c>
      <c r="O19">
        <v>5196.8821851242201</v>
      </c>
      <c r="P19">
        <v>225.97903458942699</v>
      </c>
      <c r="Q19">
        <v>96.763386413105906</v>
      </c>
      <c r="R19">
        <v>1507.5735601343899</v>
      </c>
      <c r="S19">
        <v>123.69791667930301</v>
      </c>
      <c r="T19">
        <v>75.330156671578706</v>
      </c>
      <c r="U19">
        <v>4.6635170615263498E-3</v>
      </c>
      <c r="V19">
        <v>2439.27172795571</v>
      </c>
      <c r="W19">
        <v>5.4923263852981697E-3</v>
      </c>
      <c r="X19">
        <v>5.4923263852981697E-3</v>
      </c>
      <c r="Y19">
        <v>5.4923263852981697E-3</v>
      </c>
      <c r="Z19">
        <v>22022.626593854198</v>
      </c>
      <c r="AA19">
        <v>7.6751629251630097E-3</v>
      </c>
      <c r="AB19">
        <v>4.1756003704822601E-3</v>
      </c>
      <c r="AC19">
        <v>3.49956255468076E-3</v>
      </c>
      <c r="AD19">
        <v>14715.9083721361</v>
      </c>
      <c r="AE19">
        <v>3.4224289671052101E-3</v>
      </c>
    </row>
    <row r="20" spans="1:31" x14ac:dyDescent="0.35">
      <c r="J20" s="7"/>
      <c r="K20" s="8"/>
      <c r="M20" s="8"/>
      <c r="N20" s="8"/>
      <c r="O20" s="6"/>
      <c r="P20" s="7"/>
    </row>
    <row r="21" spans="1:31" x14ac:dyDescent="0.35">
      <c r="J21" s="7"/>
      <c r="K21" s="8"/>
      <c r="M21" s="8"/>
      <c r="N21" s="8"/>
      <c r="O21" s="6"/>
      <c r="P21" s="7"/>
    </row>
    <row r="22" spans="1:31" x14ac:dyDescent="0.35">
      <c r="P22" s="7"/>
    </row>
    <row r="23" spans="1:31" x14ac:dyDescent="0.35">
      <c r="A23" s="8" t="s">
        <v>100</v>
      </c>
      <c r="F23" s="8"/>
      <c r="G23" s="8"/>
      <c r="H23" s="6"/>
      <c r="P23" s="7"/>
    </row>
    <row r="24" spans="1:31" x14ac:dyDescent="0.35">
      <c r="C24" s="7"/>
      <c r="D24" s="8"/>
      <c r="F24" s="8"/>
      <c r="G24" s="8"/>
      <c r="H24" s="6"/>
      <c r="P24" s="7"/>
    </row>
    <row r="25" spans="1:31" ht="58" x14ac:dyDescent="0.35">
      <c r="C25" t="s">
        <v>101</v>
      </c>
      <c r="D25" t="s">
        <v>94</v>
      </c>
      <c r="E25" s="4" t="s">
        <v>95</v>
      </c>
      <c r="F25" t="s">
        <v>138</v>
      </c>
      <c r="G25" t="s">
        <v>97</v>
      </c>
      <c r="H25" t="s">
        <v>98</v>
      </c>
      <c r="P25" s="40"/>
      <c r="Q25" s="40"/>
      <c r="R25" s="40"/>
      <c r="S25" s="40"/>
      <c r="T25" s="40"/>
      <c r="U25" s="40"/>
      <c r="V25" s="40"/>
      <c r="W25" s="40"/>
      <c r="X25" s="40"/>
    </row>
    <row r="26" spans="1:31" x14ac:dyDescent="0.35">
      <c r="B26" s="1"/>
    </row>
    <row r="27" spans="1:31" x14ac:dyDescent="0.35">
      <c r="B27" s="22">
        <v>43921</v>
      </c>
      <c r="C27" s="39">
        <v>1861.0343485687499</v>
      </c>
      <c r="D27">
        <v>1842.1</v>
      </c>
      <c r="E27" s="40">
        <v>1835.9308286849882</v>
      </c>
      <c r="F27" s="7">
        <f>D27</f>
        <v>1842.1</v>
      </c>
      <c r="G27" s="6">
        <v>1862.4</v>
      </c>
    </row>
    <row r="28" spans="1:31" x14ac:dyDescent="0.35">
      <c r="B28" s="22">
        <v>44012</v>
      </c>
      <c r="C28" s="39">
        <v>1880.14184230102</v>
      </c>
      <c r="D28">
        <v>1797.1</v>
      </c>
      <c r="E28" s="40">
        <v>1798.0730623309571</v>
      </c>
      <c r="F28" s="7">
        <f>D28</f>
        <v>1797.1</v>
      </c>
      <c r="G28" s="6">
        <v>1795.6</v>
      </c>
    </row>
    <row r="29" spans="1:31" x14ac:dyDescent="0.35">
      <c r="B29" s="22">
        <v>44104</v>
      </c>
      <c r="C29" s="39">
        <v>1900.1970948012199</v>
      </c>
      <c r="E29" s="40">
        <v>1841.3301065807598</v>
      </c>
      <c r="F29" s="7">
        <f>E29/E28*F28</f>
        <v>1840.3336348560522</v>
      </c>
      <c r="G29" s="6">
        <v>1895.1488054536601</v>
      </c>
      <c r="H29" s="6">
        <f>F29-G29</f>
        <v>-54.815170597607903</v>
      </c>
    </row>
    <row r="30" spans="1:31" x14ac:dyDescent="0.35">
      <c r="B30" s="22">
        <v>44196</v>
      </c>
      <c r="C30" s="39">
        <v>1920.3538928837099</v>
      </c>
      <c r="E30" s="40">
        <v>1846.9122859552808</v>
      </c>
      <c r="F30" s="7">
        <f t="shared" ref="F30:F34" si="0">E30/E29*F29</f>
        <v>1845.9127933252564</v>
      </c>
      <c r="G30" s="6">
        <v>1933.47191075455</v>
      </c>
      <c r="H30" s="6">
        <f t="shared" ref="H30:H34" si="1">F30-G30</f>
        <v>-87.559117429293565</v>
      </c>
    </row>
    <row r="31" spans="1:31" x14ac:dyDescent="0.35">
      <c r="B31" s="22">
        <v>44286</v>
      </c>
      <c r="C31" s="39">
        <v>1939.63909138496</v>
      </c>
      <c r="E31" s="40">
        <v>1851.7583227938521</v>
      </c>
      <c r="F31" s="7">
        <f t="shared" si="0"/>
        <v>1850.7562076364118</v>
      </c>
      <c r="G31" s="6">
        <v>1965.5383751259999</v>
      </c>
      <c r="H31" s="6">
        <f t="shared" si="1"/>
        <v>-114.78216748958812</v>
      </c>
    </row>
    <row r="32" spans="1:31" x14ac:dyDescent="0.35">
      <c r="B32" s="22">
        <v>44377</v>
      </c>
      <c r="C32" s="39">
        <v>1958.28962999697</v>
      </c>
      <c r="E32" s="40">
        <v>1864.8797418812585</v>
      </c>
      <c r="F32" s="7">
        <f t="shared" si="0"/>
        <v>1863.8705258117864</v>
      </c>
      <c r="G32" s="6">
        <v>1996.7932691808101</v>
      </c>
      <c r="H32" s="6">
        <f t="shared" si="1"/>
        <v>-132.92274336902369</v>
      </c>
    </row>
    <row r="33" spans="1:23" x14ac:dyDescent="0.35">
      <c r="B33" s="22">
        <v>44469</v>
      </c>
      <c r="C33" s="39">
        <v>1976.67784252142</v>
      </c>
      <c r="E33" s="40">
        <v>1876.08695894171</v>
      </c>
      <c r="F33" s="7">
        <f t="shared" si="0"/>
        <v>1875.0716778679925</v>
      </c>
      <c r="G33" s="6">
        <v>2030.19976826113</v>
      </c>
      <c r="H33" s="6">
        <f t="shared" si="1"/>
        <v>-155.12809039313743</v>
      </c>
    </row>
    <row r="34" spans="1:23" x14ac:dyDescent="0.35">
      <c r="B34" s="22">
        <v>44561</v>
      </c>
      <c r="C34" s="39">
        <v>1995.6499421439801</v>
      </c>
      <c r="E34" s="40">
        <v>1892.015583446143</v>
      </c>
      <c r="F34" s="7">
        <f t="shared" si="0"/>
        <v>1890.9916822863934</v>
      </c>
      <c r="G34" s="6">
        <v>2052.5745731536199</v>
      </c>
      <c r="H34" s="6">
        <f t="shared" si="1"/>
        <v>-161.58289086722652</v>
      </c>
      <c r="P34" s="40"/>
      <c r="Q34" s="40"/>
      <c r="R34" s="40"/>
    </row>
    <row r="35" spans="1:23" x14ac:dyDescent="0.35">
      <c r="B35" s="38"/>
      <c r="D35" s="40"/>
      <c r="E35" s="40"/>
      <c r="F35" s="40"/>
      <c r="G35" s="40"/>
      <c r="H35" s="40"/>
      <c r="I35" s="38"/>
      <c r="P35" s="39"/>
      <c r="Q35" s="39"/>
      <c r="R35" s="39"/>
      <c r="S35" s="39"/>
      <c r="T35" s="39"/>
      <c r="U35" s="39"/>
      <c r="V35" s="39"/>
      <c r="W35" s="39"/>
    </row>
    <row r="37" spans="1:23" x14ac:dyDescent="0.35">
      <c r="A37" t="s">
        <v>102</v>
      </c>
    </row>
    <row r="38" spans="1:23" x14ac:dyDescent="0.35">
      <c r="P38" s="39"/>
      <c r="Q38" s="39"/>
    </row>
    <row r="39" spans="1:23" ht="58" x14ac:dyDescent="0.35">
      <c r="C39" t="s">
        <v>101</v>
      </c>
      <c r="D39" t="s">
        <v>94</v>
      </c>
      <c r="E39" s="4" t="s">
        <v>95</v>
      </c>
      <c r="F39" t="s">
        <v>138</v>
      </c>
      <c r="G39" t="s">
        <v>97</v>
      </c>
      <c r="H39" t="s">
        <v>98</v>
      </c>
      <c r="P39" s="40"/>
      <c r="Q39" s="40"/>
      <c r="R39" s="40"/>
      <c r="S39" s="40"/>
      <c r="T39" s="40"/>
      <c r="U39" s="40"/>
      <c r="V39" s="40"/>
      <c r="W39" s="40"/>
    </row>
    <row r="40" spans="1:23" x14ac:dyDescent="0.35">
      <c r="B40" s="1"/>
      <c r="C40" s="7"/>
      <c r="I40" s="39"/>
    </row>
    <row r="41" spans="1:23" x14ac:dyDescent="0.35">
      <c r="B41" s="22">
        <v>43921</v>
      </c>
      <c r="C41" s="39">
        <v>70.183888016456805</v>
      </c>
      <c r="D41">
        <v>62.7</v>
      </c>
      <c r="E41" s="40">
        <v>58.885625915856416</v>
      </c>
      <c r="F41" s="10">
        <f>G41</f>
        <v>62.7</v>
      </c>
      <c r="G41" s="6">
        <v>62.7</v>
      </c>
    </row>
    <row r="42" spans="1:23" x14ac:dyDescent="0.35">
      <c r="B42" s="22">
        <v>44012</v>
      </c>
      <c r="C42" s="39">
        <v>70.904475576493894</v>
      </c>
      <c r="D42">
        <v>67.833333333333329</v>
      </c>
      <c r="E42" s="40">
        <v>51.906166397249173</v>
      </c>
      <c r="F42" s="9">
        <f>D42</f>
        <v>67.833333333333329</v>
      </c>
      <c r="G42" s="6">
        <v>67.833333333333329</v>
      </c>
      <c r="I42" s="40"/>
      <c r="P42" s="40"/>
    </row>
    <row r="43" spans="1:23" x14ac:dyDescent="0.35">
      <c r="B43" s="22">
        <v>44104</v>
      </c>
      <c r="C43" s="39">
        <v>71.660805300713506</v>
      </c>
      <c r="D43" s="40"/>
      <c r="E43" s="40">
        <v>67.757273586954582</v>
      </c>
      <c r="F43" s="9">
        <f>E43/E42*F42</f>
        <v>88.548279404917352</v>
      </c>
      <c r="G43" s="6">
        <v>56.7647258103067</v>
      </c>
      <c r="H43" s="6">
        <f>F43-G43</f>
        <v>31.783553594610652</v>
      </c>
    </row>
    <row r="44" spans="1:23" x14ac:dyDescent="0.35">
      <c r="B44" s="22">
        <v>44196</v>
      </c>
      <c r="C44" s="39">
        <v>72.420964542524203</v>
      </c>
      <c r="E44" s="40">
        <v>67.375517870649134</v>
      </c>
      <c r="F44" s="9">
        <f t="shared" ref="F44:F48" si="2">E44/E43*F43</f>
        <v>88.04938371383767</v>
      </c>
      <c r="G44" s="6">
        <v>57.912604308472503</v>
      </c>
      <c r="H44" s="6">
        <f t="shared" ref="H44:H48" si="3">F44-G44</f>
        <v>30.136779405365168</v>
      </c>
    </row>
    <row r="45" spans="1:23" x14ac:dyDescent="0.35">
      <c r="B45" s="22">
        <v>44286</v>
      </c>
      <c r="C45" s="39">
        <v>73.148253758345504</v>
      </c>
      <c r="E45" s="40">
        <v>70.683858752401591</v>
      </c>
      <c r="F45" s="9">
        <f t="shared" si="2"/>
        <v>92.372873684079465</v>
      </c>
      <c r="G45" s="6">
        <v>58.8730798407964</v>
      </c>
      <c r="H45" s="6">
        <f t="shared" si="3"/>
        <v>33.499793843283065</v>
      </c>
    </row>
    <row r="46" spans="1:23" x14ac:dyDescent="0.35">
      <c r="B46" s="22">
        <v>44377</v>
      </c>
      <c r="C46" s="39">
        <v>73.851608489223096</v>
      </c>
      <c r="E46" s="40">
        <v>72.126034518054027</v>
      </c>
      <c r="F46" s="9">
        <f t="shared" si="2"/>
        <v>94.257574409000313</v>
      </c>
      <c r="G46" s="6">
        <v>59.809246692784903</v>
      </c>
      <c r="H46" s="6">
        <f t="shared" si="3"/>
        <v>34.44832771621541</v>
      </c>
    </row>
    <row r="47" spans="1:23" x14ac:dyDescent="0.35">
      <c r="B47" s="22">
        <v>44469</v>
      </c>
      <c r="C47" s="39">
        <v>74.545070299657397</v>
      </c>
      <c r="E47" s="40">
        <v>73.732959467368829</v>
      </c>
      <c r="F47" s="9">
        <f t="shared" si="2"/>
        <v>96.357576842127358</v>
      </c>
      <c r="G47" s="6">
        <v>60.809859813569702</v>
      </c>
      <c r="H47" s="6">
        <f t="shared" si="3"/>
        <v>35.547717028557656</v>
      </c>
    </row>
    <row r="48" spans="1:23" x14ac:dyDescent="0.35">
      <c r="B48" s="22">
        <v>44561</v>
      </c>
      <c r="C48" s="39">
        <v>75.260551836239898</v>
      </c>
      <c r="E48" s="40">
        <v>74.827748020610457</v>
      </c>
      <c r="F48" s="9">
        <f t="shared" si="2"/>
        <v>97.788296196225005</v>
      </c>
      <c r="G48" s="6">
        <v>61.480044477236603</v>
      </c>
      <c r="H48" s="6">
        <f t="shared" si="3"/>
        <v>36.308251718988402</v>
      </c>
    </row>
    <row r="49" spans="1:22" x14ac:dyDescent="0.35">
      <c r="C49" s="39"/>
      <c r="E49" s="40"/>
      <c r="F49" s="9"/>
      <c r="G49" s="6"/>
      <c r="H49" s="6"/>
    </row>
    <row r="50" spans="1:22" x14ac:dyDescent="0.35">
      <c r="A50" s="59" t="s">
        <v>143</v>
      </c>
    </row>
    <row r="51" spans="1:22" x14ac:dyDescent="0.35">
      <c r="C51" s="63"/>
      <c r="G51" s="26"/>
      <c r="J51" t="s">
        <v>151</v>
      </c>
      <c r="K51" t="s">
        <v>152</v>
      </c>
      <c r="L51">
        <v>44</v>
      </c>
    </row>
    <row r="52" spans="1:22" ht="58" x14ac:dyDescent="0.35">
      <c r="C52" s="4" t="s">
        <v>107</v>
      </c>
      <c r="D52" s="4" t="s">
        <v>144</v>
      </c>
      <c r="F52" t="s">
        <v>138</v>
      </c>
      <c r="G52" t="s">
        <v>97</v>
      </c>
      <c r="H52" t="s">
        <v>98</v>
      </c>
      <c r="J52" s="63"/>
      <c r="N52" s="26"/>
      <c r="P52" s="30"/>
      <c r="Q52" s="30"/>
      <c r="R52" s="30"/>
      <c r="S52" s="30"/>
      <c r="T52" s="30"/>
      <c r="U52" s="30"/>
      <c r="V52" s="30"/>
    </row>
    <row r="53" spans="1:22" x14ac:dyDescent="0.35">
      <c r="B53" s="1">
        <v>43921</v>
      </c>
      <c r="C53" s="10">
        <f>F53</f>
        <v>1574.779</v>
      </c>
      <c r="F53" s="6">
        <f>G53</f>
        <v>1574.779</v>
      </c>
      <c r="G53" s="44">
        <v>1574.779</v>
      </c>
      <c r="P53" s="30"/>
      <c r="Q53" s="30"/>
      <c r="R53" s="30"/>
      <c r="S53" s="30"/>
      <c r="T53" s="30"/>
      <c r="U53" s="30"/>
      <c r="V53" s="30"/>
    </row>
    <row r="54" spans="1:22" ht="15.5" x14ac:dyDescent="0.35">
      <c r="B54" s="1">
        <v>44012</v>
      </c>
      <c r="C54" s="10">
        <f>F54-D54</f>
        <v>1790.6497385128907</v>
      </c>
      <c r="D54" s="49">
        <v>1879.9622614871093</v>
      </c>
      <c r="F54" s="6">
        <v>3670.6120000000001</v>
      </c>
      <c r="G54" s="44">
        <v>3690.1819999999998</v>
      </c>
      <c r="J54" s="10"/>
      <c r="M54" s="6"/>
      <c r="N54" s="44"/>
      <c r="P54" s="30"/>
      <c r="Q54" s="30"/>
      <c r="R54" s="30"/>
      <c r="S54" s="30"/>
      <c r="T54" s="30"/>
      <c r="U54" s="30"/>
      <c r="V54" s="30"/>
    </row>
    <row r="55" spans="1:22" ht="15.5" x14ac:dyDescent="0.35">
      <c r="B55" s="1">
        <v>44104</v>
      </c>
      <c r="C55">
        <f>G55/G54*C54</f>
        <v>2041.5014788192432</v>
      </c>
      <c r="D55">
        <v>528.73890499481013</v>
      </c>
      <c r="F55" s="9">
        <f>D55+C55</f>
        <v>2570.2403838140535</v>
      </c>
      <c r="G55" s="44">
        <v>4207.1388100548502</v>
      </c>
      <c r="H55" s="6">
        <f>F55-G55</f>
        <v>-1636.8984262407967</v>
      </c>
      <c r="J55">
        <f>0.25*L51</f>
        <v>11</v>
      </c>
      <c r="K55" s="62">
        <f>J55*4</f>
        <v>44</v>
      </c>
      <c r="M55" s="6"/>
      <c r="N55" s="44"/>
      <c r="P55" s="30"/>
      <c r="Q55" s="30"/>
      <c r="R55" s="30"/>
      <c r="S55" s="30"/>
      <c r="T55" s="30"/>
      <c r="U55" s="30"/>
      <c r="V55" s="30"/>
    </row>
    <row r="56" spans="1:22" ht="15.5" x14ac:dyDescent="0.35">
      <c r="B56" s="1">
        <v>44196</v>
      </c>
      <c r="C56">
        <f>G56/G55*C55</f>
        <v>1724.9669635821169</v>
      </c>
      <c r="D56">
        <v>254.38002674526047</v>
      </c>
      <c r="F56" s="9">
        <f>D56+C56</f>
        <v>1979.3469903273774</v>
      </c>
      <c r="G56" s="44">
        <v>3554.8225332396901</v>
      </c>
      <c r="H56" s="6">
        <f>F56-G56</f>
        <v>-1575.4755429123127</v>
      </c>
      <c r="J56">
        <f>0.75*L51</f>
        <v>33</v>
      </c>
      <c r="K56" s="62">
        <f>J56*4</f>
        <v>132</v>
      </c>
      <c r="M56" s="9"/>
      <c r="N56" s="44"/>
      <c r="O56" s="6"/>
      <c r="P56" s="30"/>
      <c r="Q56" s="30"/>
      <c r="R56" s="30"/>
      <c r="S56" s="30"/>
      <c r="T56" s="30"/>
      <c r="U56" s="30"/>
      <c r="V56" s="30"/>
    </row>
    <row r="57" spans="1:22" ht="15.5" x14ac:dyDescent="0.35">
      <c r="B57" s="1">
        <v>44286</v>
      </c>
      <c r="C57">
        <f>G57/G56*C56</f>
        <v>1450.6566035308747</v>
      </c>
      <c r="D57">
        <v>207.78441675387188</v>
      </c>
      <c r="F57" s="9">
        <f>D57+C57</f>
        <v>1658.4410202847466</v>
      </c>
      <c r="G57" s="44">
        <v>2989.5220552605201</v>
      </c>
      <c r="H57" s="6">
        <f>F57-G57</f>
        <v>-1331.0810349757735</v>
      </c>
      <c r="K57" s="62"/>
      <c r="M57" s="9"/>
      <c r="N57" s="44"/>
      <c r="O57" s="6"/>
      <c r="P57" s="30"/>
      <c r="Q57" s="30"/>
      <c r="R57" s="30"/>
      <c r="S57" s="30"/>
      <c r="T57" s="30"/>
      <c r="U57" s="30"/>
      <c r="V57" s="30"/>
    </row>
    <row r="58" spans="1:22" ht="15.5" x14ac:dyDescent="0.35">
      <c r="B58" s="1">
        <v>44377</v>
      </c>
      <c r="C58">
        <f>G58/G57*C57</f>
        <v>1202.2994543821849</v>
      </c>
      <c r="D58">
        <v>107.99598198110886</v>
      </c>
      <c r="F58" s="9">
        <f>D58+C58</f>
        <v>1310.2954363632937</v>
      </c>
      <c r="G58" s="44">
        <v>2477.7061140139999</v>
      </c>
      <c r="H58" s="6">
        <f>F58-G58</f>
        <v>-1167.4106776507062</v>
      </c>
      <c r="K58" s="62"/>
      <c r="M58" s="9"/>
      <c r="N58" s="44"/>
      <c r="O58" s="6"/>
      <c r="P58" s="30"/>
      <c r="Q58" s="30"/>
      <c r="R58" s="30"/>
      <c r="S58" s="30"/>
      <c r="T58" s="30"/>
      <c r="U58" s="30"/>
      <c r="V58" s="30"/>
    </row>
    <row r="59" spans="1:22" ht="15.5" x14ac:dyDescent="0.35">
      <c r="B59" s="1">
        <v>44469</v>
      </c>
      <c r="C59">
        <f>G59/G58*C58</f>
        <v>990.3833386354961</v>
      </c>
      <c r="D59">
        <v>91.348568818485461</v>
      </c>
      <c r="F59" s="9">
        <f>D59+C59</f>
        <v>1081.7319074539816</v>
      </c>
      <c r="G59" s="44">
        <v>2040.9880786444501</v>
      </c>
      <c r="H59" s="6">
        <f>F59-G59</f>
        <v>-959.25617119046842</v>
      </c>
      <c r="K59" s="62"/>
      <c r="M59" s="9"/>
      <c r="N59" s="44"/>
      <c r="O59" s="6"/>
      <c r="P59" s="30"/>
      <c r="Q59" s="30"/>
      <c r="R59" s="64"/>
      <c r="S59" s="30"/>
      <c r="T59" s="30"/>
      <c r="U59" s="30"/>
      <c r="V59" s="30"/>
    </row>
    <row r="60" spans="1:22" ht="15.5" x14ac:dyDescent="0.35">
      <c r="B60" s="1">
        <v>44561</v>
      </c>
      <c r="C60">
        <f>G60/G59*C59</f>
        <v>1020.9384453225124</v>
      </c>
      <c r="D60">
        <v>85.98974092242338</v>
      </c>
      <c r="F60" s="9">
        <f>D60+C60</f>
        <v>1106.9281862449357</v>
      </c>
      <c r="G60" s="44">
        <v>2103.95623052777</v>
      </c>
      <c r="H60" s="6">
        <f>F60-G60</f>
        <v>-997.02804428283434</v>
      </c>
      <c r="K60" s="62"/>
      <c r="M60" s="9"/>
      <c r="N60" s="44"/>
      <c r="O60" s="6"/>
      <c r="P60" s="30"/>
      <c r="Q60" s="30"/>
      <c r="R60" s="64"/>
      <c r="S60" s="30"/>
      <c r="T60" s="30"/>
      <c r="U60" s="30"/>
      <c r="V60" s="30"/>
    </row>
    <row r="61" spans="1:22" x14ac:dyDescent="0.35">
      <c r="A61" s="30" t="s">
        <v>123</v>
      </c>
      <c r="P61" s="30"/>
      <c r="Q61" s="30"/>
      <c r="R61" s="30"/>
      <c r="S61" s="30"/>
      <c r="T61" s="30"/>
      <c r="U61" s="30"/>
      <c r="V61" s="30"/>
    </row>
    <row r="62" spans="1:22" x14ac:dyDescent="0.35">
      <c r="C62" s="31"/>
      <c r="D62" s="30"/>
      <c r="E62" s="30"/>
      <c r="F62" s="30"/>
      <c r="G62" s="27"/>
      <c r="H62" s="30"/>
      <c r="P62" s="30"/>
      <c r="Q62" s="30"/>
      <c r="R62" s="30"/>
      <c r="S62" s="30"/>
      <c r="T62" s="30"/>
      <c r="U62" s="30"/>
      <c r="V62" s="30"/>
    </row>
    <row r="63" spans="1:22" ht="29" x14ac:dyDescent="0.35">
      <c r="A63" s="30"/>
      <c r="B63" s="30"/>
      <c r="C63" s="61" t="s">
        <v>107</v>
      </c>
      <c r="D63" s="30" t="s">
        <v>105</v>
      </c>
      <c r="E63" s="30"/>
      <c r="F63" t="s">
        <v>138</v>
      </c>
      <c r="G63" t="s">
        <v>97</v>
      </c>
      <c r="H63" t="s">
        <v>98</v>
      </c>
      <c r="J63" s="68"/>
      <c r="K63" s="30"/>
      <c r="L63" s="30"/>
      <c r="M63" s="30"/>
      <c r="N63" s="27"/>
      <c r="O63" s="30"/>
      <c r="P63" s="30"/>
      <c r="Q63" s="30"/>
      <c r="R63" s="30"/>
      <c r="S63" s="30"/>
      <c r="T63" s="30"/>
      <c r="U63" s="30"/>
      <c r="V63" s="30"/>
    </row>
    <row r="64" spans="1:22" x14ac:dyDescent="0.35">
      <c r="A64" s="30"/>
      <c r="B64" s="22">
        <v>43921</v>
      </c>
      <c r="C64" s="21">
        <f>F64-D64</f>
        <v>170.02099999999996</v>
      </c>
      <c r="D64" s="30">
        <v>16</v>
      </c>
      <c r="E64" s="30"/>
      <c r="F64">
        <v>186.02099999999996</v>
      </c>
      <c r="G64" s="44">
        <v>186.02099999999996</v>
      </c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5.5" x14ac:dyDescent="0.35">
      <c r="A65" s="30"/>
      <c r="B65" s="22">
        <v>44012</v>
      </c>
      <c r="C65" s="21">
        <v>140</v>
      </c>
      <c r="D65" s="49">
        <v>325</v>
      </c>
      <c r="E65" s="30"/>
      <c r="F65">
        <v>422.84199999999998</v>
      </c>
      <c r="G65" s="44">
        <v>465.21800000000002</v>
      </c>
      <c r="H65" s="30"/>
      <c r="J65" s="21"/>
      <c r="K65" s="30"/>
      <c r="L65" s="30"/>
      <c r="M65" s="28"/>
      <c r="N65" s="60"/>
      <c r="O65" s="30"/>
      <c r="P65" s="30"/>
      <c r="Q65" s="30"/>
      <c r="R65" s="30"/>
      <c r="S65" s="30"/>
      <c r="T65" s="30"/>
      <c r="U65" s="30"/>
      <c r="V65" s="30"/>
    </row>
    <row r="66" spans="1:22" ht="15.5" x14ac:dyDescent="0.35">
      <c r="A66" s="30"/>
      <c r="B66" s="22">
        <v>44104</v>
      </c>
      <c r="C66" s="30">
        <f>C65*(1.01)</f>
        <v>141.4</v>
      </c>
      <c r="D66" s="49">
        <f>305</f>
        <v>305</v>
      </c>
      <c r="E66" s="30"/>
      <c r="F66" s="32">
        <f>D66+C66</f>
        <v>446.4</v>
      </c>
      <c r="G66" s="44">
        <v>405.08098280863499</v>
      </c>
      <c r="H66" s="28">
        <f t="shared" ref="H66:H71" si="4">F66-G66</f>
        <v>41.319017191364992</v>
      </c>
      <c r="J66" s="21"/>
      <c r="K66" s="57"/>
      <c r="L66" s="30"/>
      <c r="M66" s="28"/>
      <c r="N66" s="60"/>
      <c r="O66" s="30"/>
      <c r="P66" s="30"/>
      <c r="Q66" s="30"/>
      <c r="R66" s="30"/>
      <c r="S66" s="30"/>
      <c r="T66" s="30"/>
      <c r="U66" s="30"/>
      <c r="V66" s="30"/>
    </row>
    <row r="67" spans="1:22" ht="15.5" x14ac:dyDescent="0.35">
      <c r="A67" s="30"/>
      <c r="B67" s="22">
        <v>44196</v>
      </c>
      <c r="C67" s="30">
        <f>C66*(1.01)</f>
        <v>142.81399999999999</v>
      </c>
      <c r="D67" s="49">
        <f>47</f>
        <v>47</v>
      </c>
      <c r="E67" s="30"/>
      <c r="F67" s="32">
        <f t="shared" ref="F66:F71" si="5">D67+C67</f>
        <v>189.81399999999999</v>
      </c>
      <c r="G67" s="44">
        <v>404.20608325604502</v>
      </c>
      <c r="H67" s="28">
        <f t="shared" si="4"/>
        <v>-214.39208325604503</v>
      </c>
      <c r="J67" s="30"/>
      <c r="K67" s="57"/>
      <c r="L67" s="30"/>
      <c r="M67" s="32"/>
      <c r="N67" s="60"/>
      <c r="O67" s="28"/>
      <c r="P67" s="30"/>
      <c r="Q67" s="30"/>
      <c r="R67" s="30"/>
      <c r="S67" s="30"/>
      <c r="T67" s="30"/>
      <c r="U67" s="30"/>
      <c r="V67" s="30"/>
    </row>
    <row r="68" spans="1:22" ht="15.5" x14ac:dyDescent="0.35">
      <c r="A68" s="30"/>
      <c r="B68" s="22">
        <v>44286</v>
      </c>
      <c r="C68" s="30">
        <f>C67*(1.01)</f>
        <v>144.24214000000001</v>
      </c>
      <c r="D68" s="49">
        <v>47</v>
      </c>
      <c r="E68" s="30"/>
      <c r="F68" s="32">
        <f t="shared" si="5"/>
        <v>191.24214000000001</v>
      </c>
      <c r="G68" s="44">
        <v>395.88157173561501</v>
      </c>
      <c r="H68" s="28">
        <f t="shared" si="4"/>
        <v>-204.63943173561501</v>
      </c>
      <c r="J68" s="30"/>
      <c r="K68" s="57"/>
      <c r="L68" s="30"/>
      <c r="M68" s="32"/>
      <c r="N68" s="60"/>
      <c r="O68" s="28"/>
      <c r="P68" s="30"/>
      <c r="Q68" s="30"/>
      <c r="R68" s="30"/>
      <c r="S68" s="30"/>
      <c r="T68" s="30"/>
      <c r="U68" s="30"/>
      <c r="V68" s="30"/>
    </row>
    <row r="69" spans="1:22" ht="15.5" x14ac:dyDescent="0.35">
      <c r="A69" s="30"/>
      <c r="B69" s="22">
        <v>44377</v>
      </c>
      <c r="C69" s="30">
        <f>C68*(1.01)</f>
        <v>145.68456140000001</v>
      </c>
      <c r="D69" s="49">
        <v>47</v>
      </c>
      <c r="E69" s="30"/>
      <c r="F69" s="32">
        <f t="shared" si="5"/>
        <v>192.68456140000001</v>
      </c>
      <c r="G69" s="44">
        <v>388.889110037249</v>
      </c>
      <c r="H69" s="28">
        <f t="shared" si="4"/>
        <v>-196.20454863724899</v>
      </c>
      <c r="J69" s="30"/>
      <c r="K69" s="57"/>
      <c r="L69" s="30"/>
      <c r="M69" s="32"/>
      <c r="N69" s="60"/>
      <c r="O69" s="28"/>
      <c r="P69" s="30"/>
      <c r="Q69" s="30"/>
      <c r="R69" s="30"/>
      <c r="S69" s="30"/>
      <c r="T69" s="30"/>
      <c r="U69" s="30"/>
      <c r="V69" s="30"/>
    </row>
    <row r="70" spans="1:22" ht="15.5" x14ac:dyDescent="0.35">
      <c r="A70" s="30"/>
      <c r="B70" s="22">
        <v>44469</v>
      </c>
      <c r="C70" s="30">
        <f>C69*(1.01)</f>
        <v>147.14140701400001</v>
      </c>
      <c r="D70" s="49">
        <v>47</v>
      </c>
      <c r="E70" s="30"/>
      <c r="F70" s="32">
        <f t="shared" si="5"/>
        <v>194.14140701400001</v>
      </c>
      <c r="G70" s="44">
        <v>377.60448780112102</v>
      </c>
      <c r="H70" s="28">
        <f t="shared" si="4"/>
        <v>-183.46308078712102</v>
      </c>
      <c r="J70" s="30"/>
      <c r="K70" s="57"/>
      <c r="L70" s="30"/>
      <c r="M70" s="32"/>
      <c r="N70" s="60"/>
      <c r="O70" s="28"/>
      <c r="P70" s="30"/>
      <c r="Q70" s="30"/>
      <c r="R70" s="65"/>
      <c r="S70" s="30"/>
      <c r="T70" s="30"/>
      <c r="U70" s="30"/>
      <c r="V70" s="30"/>
    </row>
    <row r="71" spans="1:22" ht="15.5" x14ac:dyDescent="0.35">
      <c r="A71" s="30"/>
      <c r="B71" s="22">
        <v>44561</v>
      </c>
      <c r="C71" s="30">
        <f>C70*(1.01)</f>
        <v>148.61282108414002</v>
      </c>
      <c r="D71" s="49">
        <v>43</v>
      </c>
      <c r="E71" s="30"/>
      <c r="F71" s="32">
        <f t="shared" si="5"/>
        <v>191.61282108414002</v>
      </c>
      <c r="G71" s="44">
        <v>397.47458006632002</v>
      </c>
      <c r="H71" s="28">
        <f t="shared" si="4"/>
        <v>-205.86175898217999</v>
      </c>
      <c r="J71" s="30"/>
      <c r="K71" s="57"/>
      <c r="L71" s="30"/>
      <c r="M71" s="32"/>
      <c r="N71" s="60"/>
      <c r="O71" s="28"/>
      <c r="P71" s="30"/>
      <c r="Q71" s="30"/>
      <c r="R71" s="65"/>
      <c r="S71" s="30"/>
      <c r="T71" s="30"/>
      <c r="U71" s="30"/>
      <c r="V71" s="30"/>
    </row>
    <row r="72" spans="1:22" ht="15.5" x14ac:dyDescent="0.35">
      <c r="A72" s="30"/>
      <c r="B72" s="22"/>
      <c r="C72" s="30"/>
      <c r="D72" s="57"/>
      <c r="E72" s="30"/>
      <c r="F72" s="32"/>
      <c r="G72" s="28"/>
      <c r="H72" s="28"/>
      <c r="J72" s="30"/>
      <c r="K72" s="57"/>
      <c r="L72" s="30"/>
      <c r="M72" s="32"/>
      <c r="N72" s="60"/>
      <c r="O72" s="28"/>
      <c r="P72" s="30"/>
      <c r="Q72" s="30"/>
      <c r="R72" s="30"/>
      <c r="S72" s="30"/>
      <c r="T72" s="30"/>
      <c r="U72" s="30"/>
      <c r="V72" s="30"/>
    </row>
    <row r="73" spans="1:22" x14ac:dyDescent="0.35">
      <c r="M73" s="9" t="s">
        <v>91</v>
      </c>
      <c r="P73" s="30"/>
      <c r="Q73" s="30"/>
      <c r="R73" s="30"/>
      <c r="S73" s="21"/>
      <c r="T73" s="30"/>
      <c r="U73" s="30"/>
      <c r="V73" s="30"/>
    </row>
    <row r="74" spans="1:22" ht="15.5" x14ac:dyDescent="0.35">
      <c r="A74" s="59" t="s">
        <v>103</v>
      </c>
      <c r="C74" s="62"/>
      <c r="D74" s="62"/>
      <c r="E74" s="62"/>
      <c r="F74" s="62"/>
      <c r="G74" s="62"/>
      <c r="H74" s="62"/>
      <c r="I74" s="62"/>
      <c r="P74" s="30"/>
      <c r="Q74" s="30"/>
      <c r="R74" s="30"/>
      <c r="S74" s="30"/>
      <c r="T74" s="30"/>
      <c r="U74" s="30"/>
      <c r="V74" s="30"/>
    </row>
    <row r="75" spans="1:22" x14ac:dyDescent="0.35">
      <c r="C75" s="63"/>
      <c r="D75" s="63"/>
      <c r="E75" s="63"/>
      <c r="F75" s="63"/>
      <c r="G75" s="63"/>
      <c r="H75" s="63"/>
      <c r="P75" s="30"/>
      <c r="Q75" s="30"/>
      <c r="R75" s="30"/>
      <c r="S75" s="30"/>
      <c r="T75" s="30"/>
      <c r="U75" s="30"/>
      <c r="V75" s="30"/>
    </row>
    <row r="76" spans="1:22" ht="29" x14ac:dyDescent="0.35">
      <c r="C76" s="4" t="s">
        <v>107</v>
      </c>
      <c r="D76" t="s">
        <v>105</v>
      </c>
      <c r="F76" t="s">
        <v>138</v>
      </c>
      <c r="G76" t="s">
        <v>97</v>
      </c>
      <c r="H76" t="s">
        <v>98</v>
      </c>
    </row>
    <row r="77" spans="1:22" x14ac:dyDescent="0.35">
      <c r="B77" s="1">
        <v>43921</v>
      </c>
      <c r="C77" s="10">
        <f>G77</f>
        <v>1249.5219999999999</v>
      </c>
      <c r="F77" s="6">
        <v>1249.5219999999999</v>
      </c>
      <c r="G77" s="6">
        <v>1249.5219999999999</v>
      </c>
      <c r="O77">
        <v>77.568110169491518</v>
      </c>
      <c r="Q77" t="s">
        <v>119</v>
      </c>
    </row>
    <row r="78" spans="1:22" ht="15.5" x14ac:dyDescent="0.35">
      <c r="B78" s="1">
        <v>44012</v>
      </c>
      <c r="C78">
        <f>G79/G78*C77</f>
        <v>1267.7737005189999</v>
      </c>
      <c r="D78" s="49">
        <v>153.80000000000001</v>
      </c>
      <c r="E78" s="9"/>
      <c r="F78" s="6">
        <v>1419</v>
      </c>
      <c r="G78" s="6">
        <v>1419</v>
      </c>
      <c r="H78" s="6">
        <f>F78-G78</f>
        <v>0</v>
      </c>
      <c r="Q78" t="s">
        <v>120</v>
      </c>
    </row>
    <row r="79" spans="1:22" x14ac:dyDescent="0.35">
      <c r="B79" s="1">
        <v>44104</v>
      </c>
      <c r="C79">
        <f>G79/G78*C78</f>
        <v>1286.2920026439222</v>
      </c>
      <c r="D79">
        <v>286.06375423728815</v>
      </c>
      <c r="F79" s="9">
        <f>C79+D79</f>
        <v>1572.3557568812103</v>
      </c>
      <c r="G79" s="6">
        <v>1439.7272565320666</v>
      </c>
      <c r="H79" s="6">
        <f>F79-G79</f>
        <v>132.62850034914368</v>
      </c>
      <c r="Q79">
        <v>-46.377972457627124</v>
      </c>
      <c r="R79">
        <f>637-445</f>
        <v>192</v>
      </c>
    </row>
    <row r="80" spans="1:22" x14ac:dyDescent="0.35">
      <c r="B80" s="1">
        <v>44196</v>
      </c>
      <c r="C80">
        <f>G80/G79*C79</f>
        <v>1305.9816312670787</v>
      </c>
      <c r="D80">
        <v>148.87042372881356</v>
      </c>
      <c r="F80" s="9">
        <f>C80+D80</f>
        <v>1454.8520549958923</v>
      </c>
      <c r="G80" s="6">
        <v>1461.7655611638957</v>
      </c>
      <c r="H80" s="6">
        <f>F80-G80</f>
        <v>-6.9135061680033232</v>
      </c>
    </row>
    <row r="81" spans="1:18" x14ac:dyDescent="0.35">
      <c r="B81" s="1">
        <v>44286</v>
      </c>
      <c r="C81">
        <f>G81/G80*C80</f>
        <v>1325.6712598902348</v>
      </c>
      <c r="D81">
        <v>144.45576271186439</v>
      </c>
      <c r="F81" s="9">
        <f>C81+D81</f>
        <v>1470.1270226020993</v>
      </c>
      <c r="G81" s="6">
        <v>1483.8038657957245</v>
      </c>
      <c r="H81" s="6">
        <f>F81-G81</f>
        <v>-13.676843193625245</v>
      </c>
      <c r="R81">
        <f>637-179</f>
        <v>458</v>
      </c>
    </row>
    <row r="82" spans="1:18" x14ac:dyDescent="0.35">
      <c r="B82" s="1">
        <v>44377</v>
      </c>
      <c r="C82">
        <f>G82/G81*C81</f>
        <v>1345.360888513391</v>
      </c>
      <c r="D82">
        <v>131.40066101694916</v>
      </c>
      <c r="F82" s="9">
        <f>C82+D82</f>
        <v>1476.7615495303403</v>
      </c>
      <c r="G82" s="6">
        <v>1505.8421704275534</v>
      </c>
      <c r="H82" s="6">
        <f>F82-G82</f>
        <v>-29.080620897213066</v>
      </c>
    </row>
    <row r="83" spans="1:18" x14ac:dyDescent="0.35">
      <c r="B83" s="1">
        <v>44469</v>
      </c>
      <c r="C83">
        <f>G83/G82*C82</f>
        <v>1365.0505171365471</v>
      </c>
      <c r="D83">
        <v>129.18551694915254</v>
      </c>
      <c r="F83" s="9">
        <f>C83+D83</f>
        <v>1494.2360340856997</v>
      </c>
      <c r="G83" s="6">
        <v>1527.8804750593822</v>
      </c>
      <c r="H83" s="6">
        <f>F83-G83</f>
        <v>-33.644440973682549</v>
      </c>
    </row>
    <row r="84" spans="1:18" x14ac:dyDescent="0.35">
      <c r="B84" s="1">
        <v>44561</v>
      </c>
      <c r="C84">
        <f>G84/G83*C83</f>
        <v>1387.4827879702616</v>
      </c>
      <c r="D84">
        <v>77.568110169491518</v>
      </c>
      <c r="F84" s="9">
        <f>C84+D84</f>
        <v>1465.0508981397531</v>
      </c>
      <c r="G84" s="6">
        <v>1552.9885777909737</v>
      </c>
      <c r="H84" s="6">
        <f>F84-G84</f>
        <v>-87.937679651220606</v>
      </c>
    </row>
    <row r="86" spans="1:18" ht="15.5" x14ac:dyDescent="0.35">
      <c r="A86" s="30" t="s">
        <v>118</v>
      </c>
      <c r="C86" s="57"/>
      <c r="D86" s="57"/>
      <c r="E86" s="57"/>
      <c r="F86" s="57"/>
      <c r="G86" s="57"/>
      <c r="H86" s="57"/>
      <c r="I86" s="57"/>
      <c r="Q86" t="s">
        <v>112</v>
      </c>
      <c r="R86" s="12">
        <f>R71+595</f>
        <v>595</v>
      </c>
    </row>
    <row r="87" spans="1:18" ht="29" x14ac:dyDescent="0.35">
      <c r="B87" s="30"/>
      <c r="C87" s="4" t="s">
        <v>107</v>
      </c>
      <c r="D87" s="31"/>
      <c r="E87" s="31"/>
      <c r="F87" s="31"/>
      <c r="G87" s="31"/>
      <c r="H87" s="31"/>
    </row>
    <row r="88" spans="1:18" x14ac:dyDescent="0.35">
      <c r="B88" s="30"/>
      <c r="C88" s="30"/>
      <c r="D88" s="30" t="s">
        <v>105</v>
      </c>
      <c r="E88" s="30"/>
      <c r="F88" s="30" t="s">
        <v>138</v>
      </c>
      <c r="G88" s="30" t="s">
        <v>97</v>
      </c>
      <c r="H88" s="30" t="s">
        <v>98</v>
      </c>
    </row>
    <row r="89" spans="1:18" x14ac:dyDescent="0.35">
      <c r="B89" s="22">
        <v>43921</v>
      </c>
      <c r="C89" s="21">
        <f>G89</f>
        <v>179.27799999999999</v>
      </c>
      <c r="D89" s="30"/>
      <c r="E89" s="30"/>
      <c r="F89" s="28">
        <f>G89</f>
        <v>179.27799999999999</v>
      </c>
      <c r="G89" s="6">
        <f>C12</f>
        <v>179.27799999999999</v>
      </c>
      <c r="H89" s="30"/>
      <c r="Q89" t="s">
        <v>119</v>
      </c>
    </row>
    <row r="90" spans="1:18" x14ac:dyDescent="0.35">
      <c r="B90" s="22">
        <v>44012</v>
      </c>
      <c r="C90" s="21">
        <f>F90-D90</f>
        <v>203.79</v>
      </c>
      <c r="D90">
        <v>-142.69999999999999</v>
      </c>
      <c r="E90" s="32"/>
      <c r="F90" s="28">
        <f>G90</f>
        <v>61.09</v>
      </c>
      <c r="G90" s="6">
        <f>C13</f>
        <v>61.09</v>
      </c>
      <c r="H90" s="28"/>
      <c r="Q90" t="s">
        <v>120</v>
      </c>
    </row>
    <row r="91" spans="1:18" x14ac:dyDescent="0.35">
      <c r="B91" s="22">
        <v>44104</v>
      </c>
      <c r="C91" s="21">
        <f>G91/G90*C90</f>
        <v>210.1943027166399</v>
      </c>
      <c r="D91">
        <v>-128.40406144067796</v>
      </c>
      <c r="E91" s="30"/>
      <c r="F91" s="9">
        <f>C91+D91</f>
        <v>81.790241275961932</v>
      </c>
      <c r="G91" s="6">
        <f>'No addons'!$B19</f>
        <v>63.009813793412498</v>
      </c>
      <c r="H91" s="28">
        <f>F91-G91</f>
        <v>18.780427482549435</v>
      </c>
      <c r="O91">
        <v>-100.21983474576271</v>
      </c>
      <c r="P91">
        <v>-100.77362076271186</v>
      </c>
      <c r="Q91">
        <v>-46.377972457627124</v>
      </c>
      <c r="R91">
        <f>637-445</f>
        <v>192</v>
      </c>
    </row>
    <row r="92" spans="1:18" x14ac:dyDescent="0.35">
      <c r="B92" s="22">
        <v>44196</v>
      </c>
      <c r="C92" s="21">
        <f t="shared" ref="C92:C96" si="6">G92/G91*C91</f>
        <v>218.21571356516901</v>
      </c>
      <c r="D92">
        <v>-98.35239406779661</v>
      </c>
      <c r="E92" s="30"/>
      <c r="F92" s="9">
        <f t="shared" ref="F92:F96" si="7">C92+D92</f>
        <v>119.8633194973724</v>
      </c>
      <c r="G92" s="6">
        <f>'No addons'!$B20</f>
        <v>65.414387073439201</v>
      </c>
      <c r="H92" s="28">
        <f t="shared" ref="H92:H96" si="8">F92-G92</f>
        <v>54.448932423933201</v>
      </c>
    </row>
    <row r="93" spans="1:18" x14ac:dyDescent="0.35">
      <c r="B93" s="22">
        <v>44286</v>
      </c>
      <c r="C93" s="21">
        <f t="shared" si="6"/>
        <v>226.23712441369838</v>
      </c>
      <c r="D93">
        <v>-99.456059322033894</v>
      </c>
      <c r="E93" s="30"/>
      <c r="F93" s="9">
        <f t="shared" si="7"/>
        <v>126.78106509166449</v>
      </c>
      <c r="G93" s="6">
        <f>'No addons'!$B21</f>
        <v>67.818960353465997</v>
      </c>
      <c r="H93" s="28">
        <f t="shared" si="8"/>
        <v>58.962104738198491</v>
      </c>
      <c r="R93">
        <f>637-179</f>
        <v>458</v>
      </c>
    </row>
    <row r="94" spans="1:18" x14ac:dyDescent="0.35">
      <c r="B94" s="22">
        <v>44377</v>
      </c>
      <c r="C94" s="21">
        <f t="shared" si="6"/>
        <v>234.25853526222679</v>
      </c>
      <c r="D94">
        <v>-100.21983474576271</v>
      </c>
      <c r="E94" s="30"/>
      <c r="F94" s="9">
        <f t="shared" si="7"/>
        <v>134.03870051646408</v>
      </c>
      <c r="G94" s="6">
        <f>'No addons'!$B22</f>
        <v>70.223533633492494</v>
      </c>
      <c r="H94" s="28">
        <f t="shared" si="8"/>
        <v>63.815166882971582</v>
      </c>
    </row>
    <row r="95" spans="1:18" x14ac:dyDescent="0.35">
      <c r="B95" s="22">
        <v>44469</v>
      </c>
      <c r="C95" s="21">
        <f t="shared" si="6"/>
        <v>242.27994611075587</v>
      </c>
      <c r="D95">
        <v>-100.77362076271186</v>
      </c>
      <c r="E95" s="30"/>
      <c r="F95" s="9">
        <f t="shared" si="7"/>
        <v>141.50632534804402</v>
      </c>
      <c r="G95" s="6">
        <f>'No addons'!$B23</f>
        <v>72.628106913519204</v>
      </c>
      <c r="H95" s="28">
        <f t="shared" si="8"/>
        <v>68.878218434524811</v>
      </c>
    </row>
    <row r="96" spans="1:18" x14ac:dyDescent="0.35">
      <c r="B96" s="22">
        <v>44561</v>
      </c>
      <c r="C96" s="21">
        <f t="shared" si="6"/>
        <v>239.86837218421365</v>
      </c>
      <c r="D96">
        <v>-46.377972457627124</v>
      </c>
      <c r="E96" s="30"/>
      <c r="F96" s="9">
        <f t="shared" si="7"/>
        <v>193.49039972658653</v>
      </c>
      <c r="G96" s="6">
        <f>'No addons'!$B24</f>
        <v>71.905190915813407</v>
      </c>
      <c r="H96" s="28">
        <f t="shared" si="8"/>
        <v>121.58520881077312</v>
      </c>
    </row>
    <row r="97" spans="1:18" x14ac:dyDescent="0.35">
      <c r="I97" s="30"/>
      <c r="J97" s="30"/>
      <c r="K97" s="30"/>
    </row>
    <row r="98" spans="1:18" ht="15.5" x14ac:dyDescent="0.35">
      <c r="D98" s="57"/>
      <c r="E98" s="57"/>
      <c r="F98" s="57"/>
      <c r="G98" s="57"/>
      <c r="H98" s="57"/>
      <c r="I98" s="57"/>
      <c r="J98" s="57"/>
      <c r="K98" s="30"/>
    </row>
    <row r="99" spans="1:18" x14ac:dyDescent="0.35"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1:18" x14ac:dyDescent="0.35">
      <c r="A100" s="30" t="s">
        <v>126</v>
      </c>
      <c r="G100" t="s">
        <v>97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1:18" ht="15.5" x14ac:dyDescent="0.35">
      <c r="B101" s="22">
        <v>43921</v>
      </c>
      <c r="C101" s="21"/>
      <c r="D101" t="s">
        <v>127</v>
      </c>
      <c r="E101" s="50"/>
      <c r="F101" s="50"/>
      <c r="G101" s="44">
        <v>75.099999999999994</v>
      </c>
      <c r="H101" s="50"/>
      <c r="I101" s="55"/>
      <c r="J101" s="55"/>
      <c r="K101" s="67" t="s">
        <v>139</v>
      </c>
      <c r="L101" s="30">
        <v>609.99747853736085</v>
      </c>
      <c r="M101" s="30">
        <v>880.5564324324323</v>
      </c>
      <c r="N101" s="30">
        <v>282.68175834658189</v>
      </c>
      <c r="O101" s="30">
        <v>12.122804451510332</v>
      </c>
      <c r="P101" s="30">
        <v>0</v>
      </c>
      <c r="Q101" s="30">
        <v>0</v>
      </c>
      <c r="R101" s="30">
        <v>0</v>
      </c>
    </row>
    <row r="102" spans="1:18" ht="15.5" x14ac:dyDescent="0.35">
      <c r="B102" s="22">
        <v>44012</v>
      </c>
      <c r="C102" s="21"/>
      <c r="D102" s="55">
        <v>1011.9974785373608</v>
      </c>
      <c r="E102" s="34">
        <f>D102+75</f>
        <v>1086.9974785373608</v>
      </c>
      <c r="G102" s="44">
        <v>1086.8</v>
      </c>
      <c r="H102" s="42"/>
      <c r="I102" s="30"/>
      <c r="J102" s="30"/>
      <c r="K102" t="s">
        <v>140</v>
      </c>
      <c r="L102" s="30">
        <v>402</v>
      </c>
      <c r="M102" s="30">
        <v>254.39999999999998</v>
      </c>
      <c r="N102" s="30">
        <v>20.2</v>
      </c>
      <c r="O102" s="30">
        <v>20.2</v>
      </c>
      <c r="P102" s="30">
        <v>20.2</v>
      </c>
      <c r="Q102" s="30">
        <v>20.2</v>
      </c>
      <c r="R102" s="30">
        <v>20.2</v>
      </c>
    </row>
    <row r="103" spans="1:18" ht="15.5" x14ac:dyDescent="0.35">
      <c r="B103" s="22">
        <v>44104</v>
      </c>
      <c r="C103" s="21"/>
      <c r="D103" s="55">
        <v>1134.9564324324324</v>
      </c>
      <c r="E103" s="34">
        <f>D103+75</f>
        <v>1209.9564324324324</v>
      </c>
      <c r="G103" s="44">
        <v>1090.4162905258299</v>
      </c>
      <c r="H103" s="42">
        <f>E103-G103</f>
        <v>119.54014190660246</v>
      </c>
      <c r="J103" s="56"/>
      <c r="K103" s="67" t="s">
        <v>150</v>
      </c>
      <c r="L103" s="55">
        <f>SUM(L101:L102)</f>
        <v>1011.9974785373608</v>
      </c>
      <c r="M103" s="55">
        <f t="shared" ref="M103:R103" si="9">SUM(M101:M102)</f>
        <v>1134.9564324324324</v>
      </c>
      <c r="N103" s="55">
        <f t="shared" si="9"/>
        <v>302.88175834658188</v>
      </c>
      <c r="O103" s="55">
        <f t="shared" si="9"/>
        <v>32.322804451510329</v>
      </c>
      <c r="P103" s="55">
        <f t="shared" si="9"/>
        <v>20.2</v>
      </c>
      <c r="Q103" s="55">
        <f t="shared" si="9"/>
        <v>20.2</v>
      </c>
      <c r="R103" s="55">
        <f t="shared" si="9"/>
        <v>20.2</v>
      </c>
    </row>
    <row r="104" spans="1:18" ht="15.5" x14ac:dyDescent="0.35">
      <c r="B104" s="22">
        <v>44196</v>
      </c>
      <c r="C104" s="21"/>
      <c r="D104" s="55">
        <v>302.88175834658188</v>
      </c>
      <c r="E104" s="34">
        <f t="shared" ref="E104:E108" si="10">D104+75</f>
        <v>377.88175834658188</v>
      </c>
      <c r="G104" s="44">
        <v>1093.98730667889</v>
      </c>
      <c r="H104" s="42">
        <f t="shared" ref="H104:H108" si="11">E104-G104</f>
        <v>-716.10554833230822</v>
      </c>
      <c r="J104" s="56"/>
      <c r="K104" s="55"/>
      <c r="L104" s="55">
        <v>1011.9974785373608</v>
      </c>
      <c r="M104" s="55">
        <v>1134.9564324324324</v>
      </c>
      <c r="N104" s="55">
        <v>302.88175834658188</v>
      </c>
      <c r="O104" s="55">
        <v>32.322804451510329</v>
      </c>
      <c r="P104" s="55">
        <v>20.2</v>
      </c>
      <c r="Q104" s="55">
        <v>20.2</v>
      </c>
      <c r="R104" s="30">
        <v>20.2</v>
      </c>
    </row>
    <row r="105" spans="1:18" ht="15.5" x14ac:dyDescent="0.35">
      <c r="B105" s="22">
        <v>44286</v>
      </c>
      <c r="C105" s="21"/>
      <c r="D105" s="55">
        <v>32.322804451510329</v>
      </c>
      <c r="E105" s="34">
        <f t="shared" si="10"/>
        <v>107.32280445151034</v>
      </c>
      <c r="G105" s="44">
        <v>1097.69414595028</v>
      </c>
      <c r="H105" s="42">
        <f t="shared" si="11"/>
        <v>-990.37134149876965</v>
      </c>
      <c r="J105" s="56"/>
      <c r="K105" s="57"/>
      <c r="L105" s="57"/>
      <c r="M105" s="57"/>
      <c r="N105" s="57"/>
      <c r="O105" s="57"/>
      <c r="P105" s="57"/>
      <c r="Q105" s="57"/>
      <c r="R105" s="30"/>
    </row>
    <row r="106" spans="1:18" ht="15.5" x14ac:dyDescent="0.35">
      <c r="B106" s="22">
        <v>44377</v>
      </c>
      <c r="C106" s="21"/>
      <c r="D106" s="55">
        <v>20.2</v>
      </c>
      <c r="E106" s="34">
        <f t="shared" si="10"/>
        <v>95.2</v>
      </c>
      <c r="G106" s="44">
        <v>1101.66131286516</v>
      </c>
      <c r="H106" s="42">
        <f t="shared" si="11"/>
        <v>-1006.4613128651599</v>
      </c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1:18" ht="15.5" x14ac:dyDescent="0.35">
      <c r="B107" s="22">
        <v>44469</v>
      </c>
      <c r="C107" s="21"/>
      <c r="D107" s="55">
        <v>20.2</v>
      </c>
      <c r="E107" s="34">
        <f t="shared" si="10"/>
        <v>95.2</v>
      </c>
      <c r="G107" s="44">
        <v>1105.94540038951</v>
      </c>
      <c r="H107" s="42">
        <f t="shared" si="11"/>
        <v>-1010.74540038951</v>
      </c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1:18" x14ac:dyDescent="0.35">
      <c r="B108" s="22">
        <v>44561</v>
      </c>
      <c r="C108" s="21"/>
      <c r="D108" s="30">
        <v>20.2</v>
      </c>
      <c r="E108" s="34">
        <f t="shared" si="10"/>
        <v>95.2</v>
      </c>
      <c r="G108" s="44">
        <v>1110.56338641311</v>
      </c>
      <c r="H108" s="42">
        <f t="shared" si="11"/>
        <v>-1015.36338641311</v>
      </c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1:18" x14ac:dyDescent="0.35"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1:18" x14ac:dyDescent="0.35"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1:18" x14ac:dyDescent="0.35">
      <c r="A111" s="30" t="s">
        <v>128</v>
      </c>
      <c r="C111" t="s">
        <v>131</v>
      </c>
      <c r="D111" t="s">
        <v>127</v>
      </c>
      <c r="G111" t="s">
        <v>130</v>
      </c>
      <c r="J111" s="30"/>
      <c r="K111" s="30"/>
      <c r="L111" s="30"/>
      <c r="M111" s="30"/>
      <c r="N111" s="28"/>
      <c r="O111" s="30"/>
      <c r="P111" s="30"/>
      <c r="Q111" s="30"/>
      <c r="R111" s="30"/>
    </row>
    <row r="112" spans="1:18" x14ac:dyDescent="0.35">
      <c r="B112" s="22">
        <v>43921</v>
      </c>
      <c r="C112" s="10">
        <f>G112</f>
        <v>182.97800000000001</v>
      </c>
      <c r="E112">
        <f>D112</f>
        <v>0</v>
      </c>
      <c r="G112" s="44">
        <v>182.97800000000001</v>
      </c>
      <c r="J112" s="22"/>
      <c r="K112" s="30"/>
      <c r="L112" s="30"/>
      <c r="M112" s="30"/>
      <c r="N112" s="28"/>
      <c r="O112" s="30"/>
      <c r="P112" s="30"/>
      <c r="Q112" s="30"/>
      <c r="R112" s="30"/>
    </row>
    <row r="113" spans="2:18" ht="45.5" customHeight="1" x14ac:dyDescent="0.35">
      <c r="B113" s="22">
        <v>44012</v>
      </c>
      <c r="C113">
        <f>G114/G113*C112</f>
        <v>181.51103616153546</v>
      </c>
      <c r="D113" s="54">
        <v>0</v>
      </c>
      <c r="E113" s="34">
        <f>C113+D113</f>
        <v>181.51103616153546</v>
      </c>
      <c r="G113" s="44">
        <v>800.29</v>
      </c>
      <c r="H113" s="7"/>
      <c r="J113" s="57"/>
      <c r="K113" s="55" t="s">
        <v>145</v>
      </c>
      <c r="L113" s="30" t="s">
        <v>146</v>
      </c>
      <c r="M113" s="30" t="s">
        <v>147</v>
      </c>
      <c r="N113" s="28" t="s">
        <v>148</v>
      </c>
      <c r="O113" s="61" t="s">
        <v>149</v>
      </c>
      <c r="P113" s="30"/>
      <c r="Q113" s="30"/>
      <c r="R113" s="30"/>
    </row>
    <row r="114" spans="2:18" ht="31" x14ac:dyDescent="0.35">
      <c r="B114" s="22">
        <v>44104</v>
      </c>
      <c r="C114">
        <f>G114/G113*C113</f>
        <v>180.05583320636487</v>
      </c>
      <c r="D114" s="54">
        <f>SUM($K$114:$N$115)/6</f>
        <v>120</v>
      </c>
      <c r="E114" s="34">
        <f>C114+D114</f>
        <v>300.05583320636487</v>
      </c>
      <c r="G114" s="44">
        <v>793.87394730358403</v>
      </c>
      <c r="H114" s="7">
        <f>E114-G114</f>
        <v>-493.81811409721917</v>
      </c>
      <c r="J114" s="66" t="s">
        <v>141</v>
      </c>
      <c r="K114" s="55">
        <v>300</v>
      </c>
      <c r="L114" s="30">
        <v>150</v>
      </c>
      <c r="M114" s="30">
        <v>100</v>
      </c>
      <c r="N114" s="28">
        <v>50</v>
      </c>
      <c r="O114" s="30">
        <f>((SUM(K114:N114)/4)/6)*4</f>
        <v>100</v>
      </c>
      <c r="P114" s="30"/>
      <c r="Q114" s="30"/>
      <c r="R114" s="30"/>
    </row>
    <row r="115" spans="2:18" ht="15.5" x14ac:dyDescent="0.35">
      <c r="B115" s="22">
        <v>44196</v>
      </c>
      <c r="C115">
        <f>G115/G114*C114</f>
        <v>177.1666358614608</v>
      </c>
      <c r="D115" s="54">
        <f t="shared" ref="D115:D119" si="12">SUM($K$114:$N$115)/6</f>
        <v>120</v>
      </c>
      <c r="E115" s="34">
        <f t="shared" ref="E115:E119" si="13">C115+D115</f>
        <v>297.1666358614608</v>
      </c>
      <c r="G115" s="44">
        <v>781.13535139200803</v>
      </c>
      <c r="H115" s="7">
        <f t="shared" ref="H115:H119" si="14">E115-G115</f>
        <v>-483.96871553054723</v>
      </c>
      <c r="J115" s="57" t="s">
        <v>142</v>
      </c>
      <c r="K115" s="55">
        <v>17</v>
      </c>
      <c r="L115" s="30">
        <v>50</v>
      </c>
      <c r="M115" s="30">
        <v>35</v>
      </c>
      <c r="N115" s="28">
        <v>18</v>
      </c>
      <c r="O115" s="30">
        <f>((SUM(K115:N115)/4)/6)*4</f>
        <v>20</v>
      </c>
      <c r="P115" s="30"/>
      <c r="Q115" s="30"/>
      <c r="R115" s="30"/>
    </row>
    <row r="116" spans="2:18" ht="15.5" x14ac:dyDescent="0.35">
      <c r="B116" s="22">
        <v>44286</v>
      </c>
      <c r="C116">
        <f t="shared" ref="C116:C119" si="15">G116/G115*C115</f>
        <v>173.1331264396473</v>
      </c>
      <c r="D116" s="54">
        <f t="shared" si="12"/>
        <v>120</v>
      </c>
      <c r="E116" s="34">
        <f t="shared" si="13"/>
        <v>293.1331264396473</v>
      </c>
      <c r="G116" s="44">
        <v>763.35143409724697</v>
      </c>
      <c r="H116" s="7">
        <f t="shared" si="14"/>
        <v>-470.21830765759967</v>
      </c>
      <c r="J116" s="57"/>
      <c r="K116" s="55"/>
      <c r="L116" s="30"/>
      <c r="M116" s="30"/>
      <c r="N116" s="28"/>
      <c r="O116" s="30"/>
      <c r="P116" s="30"/>
      <c r="Q116" s="30"/>
      <c r="R116" s="30"/>
    </row>
    <row r="117" spans="2:18" ht="15.5" x14ac:dyDescent="0.35">
      <c r="B117" s="22">
        <v>44377</v>
      </c>
      <c r="C117">
        <f t="shared" si="15"/>
        <v>169.29033569731862</v>
      </c>
      <c r="D117" s="54">
        <f t="shared" si="12"/>
        <v>120</v>
      </c>
      <c r="E117" s="34">
        <f t="shared" si="13"/>
        <v>289.2903356973186</v>
      </c>
      <c r="G117" s="44">
        <v>746.40840369968305</v>
      </c>
      <c r="H117" s="7">
        <f t="shared" si="14"/>
        <v>-457.11806800236445</v>
      </c>
      <c r="J117" s="57"/>
      <c r="K117" s="55"/>
      <c r="L117" s="30"/>
      <c r="M117" s="30"/>
      <c r="N117" s="28"/>
      <c r="O117" s="30"/>
      <c r="P117" s="30"/>
      <c r="Q117" s="30"/>
      <c r="R117" s="30"/>
    </row>
    <row r="118" spans="2:18" ht="15.5" x14ac:dyDescent="0.35">
      <c r="B118" s="22">
        <v>44469</v>
      </c>
      <c r="C118">
        <f t="shared" si="15"/>
        <v>165.70183652763654</v>
      </c>
      <c r="D118" s="54">
        <f t="shared" si="12"/>
        <v>120</v>
      </c>
      <c r="E118" s="34">
        <f t="shared" si="13"/>
        <v>285.70183652763654</v>
      </c>
      <c r="G118" s="44">
        <v>730.58655583171605</v>
      </c>
      <c r="H118" s="7">
        <f t="shared" si="14"/>
        <v>-444.88471930407951</v>
      </c>
      <c r="J118" s="57"/>
      <c r="K118" s="55"/>
      <c r="L118" s="30"/>
      <c r="M118" s="30"/>
      <c r="N118" s="28"/>
      <c r="O118" s="30"/>
      <c r="P118" s="30"/>
      <c r="Q118" s="30"/>
      <c r="R118" s="30"/>
    </row>
    <row r="119" spans="2:18" ht="15.5" x14ac:dyDescent="0.35">
      <c r="B119" s="22">
        <v>44561</v>
      </c>
      <c r="C119">
        <f t="shared" si="15"/>
        <v>169.80961230109489</v>
      </c>
      <c r="D119" s="54">
        <f t="shared" si="12"/>
        <v>120</v>
      </c>
      <c r="E119" s="34">
        <f t="shared" si="13"/>
        <v>289.80961230109489</v>
      </c>
      <c r="G119" s="44">
        <v>748.69791667930303</v>
      </c>
      <c r="H119" s="7">
        <f t="shared" si="14"/>
        <v>-458.88830437820815</v>
      </c>
      <c r="J119" s="57"/>
      <c r="K119" s="55"/>
      <c r="L119" s="30"/>
      <c r="M119" s="30"/>
      <c r="N119" s="28"/>
      <c r="O119" s="30"/>
      <c r="P119" s="30"/>
      <c r="Q119" s="30"/>
      <c r="R119" s="30"/>
    </row>
    <row r="120" spans="2:18" x14ac:dyDescent="0.35"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 x14ac:dyDescent="0.35">
      <c r="E121" s="2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 x14ac:dyDescent="0.35">
      <c r="E122" s="2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 x14ac:dyDescent="0.35">
      <c r="E123" s="2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 x14ac:dyDescent="0.35">
      <c r="E124" s="2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 x14ac:dyDescent="0.35">
      <c r="E125" s="2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2:18" x14ac:dyDescent="0.35">
      <c r="E126" s="2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 x14ac:dyDescent="0.35">
      <c r="E127" s="34"/>
      <c r="J127" s="30"/>
      <c r="K127" s="30"/>
      <c r="L127" s="30"/>
      <c r="M127" s="30"/>
      <c r="N127" s="30"/>
      <c r="O127" s="30"/>
      <c r="P127" s="30"/>
      <c r="Q127" s="30"/>
      <c r="R127" s="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5"/>
  <sheetViews>
    <sheetView workbookViewId="0">
      <selection activeCell="H66" sqref="H66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8.1796875" bestFit="1" customWidth="1"/>
    <col min="10" max="10" width="9.36328125" bestFit="1" customWidth="1"/>
    <col min="16" max="16" width="16.453125" bestFit="1" customWidth="1"/>
  </cols>
  <sheetData>
    <row r="1" spans="1:83" s="4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A12" t="s">
        <v>92</v>
      </c>
      <c r="J12" s="8" t="s">
        <v>100</v>
      </c>
      <c r="M12" s="8"/>
      <c r="N12" s="8"/>
      <c r="O12" s="6"/>
      <c r="P12" s="7"/>
    </row>
    <row r="13" spans="1:83" x14ac:dyDescent="0.35">
      <c r="J13" s="7"/>
      <c r="K13" s="8"/>
      <c r="M13" s="8"/>
      <c r="N13" s="8"/>
      <c r="O13" s="6"/>
      <c r="P13" s="7"/>
    </row>
    <row r="14" spans="1:83" ht="58" x14ac:dyDescent="0.35">
      <c r="C14" t="s">
        <v>93</v>
      </c>
      <c r="D14" t="s">
        <v>94</v>
      </c>
      <c r="E14" s="4" t="s">
        <v>95</v>
      </c>
      <c r="F14" t="s">
        <v>96</v>
      </c>
      <c r="G14" t="s">
        <v>97</v>
      </c>
      <c r="H14" t="s">
        <v>98</v>
      </c>
      <c r="J14" t="s">
        <v>101</v>
      </c>
      <c r="K14" t="s">
        <v>94</v>
      </c>
      <c r="L14" s="4" t="s">
        <v>95</v>
      </c>
      <c r="M14" t="s">
        <v>96</v>
      </c>
      <c r="N14" t="s">
        <v>97</v>
      </c>
      <c r="O14" t="s">
        <v>98</v>
      </c>
      <c r="P14" s="7"/>
    </row>
    <row r="15" spans="1:83" x14ac:dyDescent="0.35">
      <c r="P15" s="17"/>
      <c r="Q15" s="18"/>
      <c r="R15" s="18"/>
      <c r="S15" s="18"/>
      <c r="T15" s="18"/>
      <c r="U15" s="18"/>
      <c r="V15" s="18"/>
      <c r="W15" s="18"/>
      <c r="X15" s="18"/>
    </row>
    <row r="16" spans="1:83" x14ac:dyDescent="0.35">
      <c r="B16" s="1">
        <v>43921</v>
      </c>
      <c r="C16" s="11">
        <v>3354.0414840202702</v>
      </c>
      <c r="D16">
        <v>3381.6000000000004</v>
      </c>
      <c r="E16" s="38">
        <v>3325.6678728664706</v>
      </c>
      <c r="F16" s="7">
        <f>D16</f>
        <v>3381.6000000000004</v>
      </c>
      <c r="G16" s="6">
        <v>3381.6000000000004</v>
      </c>
      <c r="J16" s="16">
        <v>1861.0343485687499</v>
      </c>
      <c r="K16">
        <v>1862.4</v>
      </c>
      <c r="L16" s="37">
        <v>1835.9308286849882</v>
      </c>
      <c r="M16" s="7">
        <f>K16</f>
        <v>1862.4</v>
      </c>
      <c r="N16" s="6">
        <v>1862.4</v>
      </c>
    </row>
    <row r="17" spans="1:23" x14ac:dyDescent="0.35">
      <c r="B17" s="1">
        <v>44012</v>
      </c>
      <c r="C17" s="11">
        <v>3396.6829680405399</v>
      </c>
      <c r="D17">
        <v>3120.2</v>
      </c>
      <c r="E17" s="38">
        <v>3079.0347392838257</v>
      </c>
      <c r="F17" s="7">
        <f>D17</f>
        <v>3120.2</v>
      </c>
      <c r="G17" s="6">
        <v>3120.2</v>
      </c>
      <c r="J17" s="16">
        <v>1880.14184230102</v>
      </c>
      <c r="K17">
        <v>1795.6</v>
      </c>
      <c r="L17" s="37">
        <v>1798.0730623309571</v>
      </c>
      <c r="M17" s="7">
        <f>K17</f>
        <v>1795.6</v>
      </c>
      <c r="N17" s="6">
        <v>1795.6</v>
      </c>
    </row>
    <row r="18" spans="1:23" x14ac:dyDescent="0.35">
      <c r="B18" s="1">
        <v>44104</v>
      </c>
      <c r="C18" s="11">
        <v>3439.32445206081</v>
      </c>
      <c r="E18" s="38">
        <v>3148.6935750884545</v>
      </c>
      <c r="F18" s="7">
        <f>E18/E17*F17</f>
        <v>3190.7901420028011</v>
      </c>
      <c r="G18" s="6">
        <v>3159.2844293335638</v>
      </c>
      <c r="H18" s="7">
        <f>F18-G18</f>
        <v>31.505712669237255</v>
      </c>
      <c r="J18" s="16">
        <v>1900.1970948012199</v>
      </c>
      <c r="L18" s="37">
        <v>1841.3301065807598</v>
      </c>
      <c r="M18" s="7">
        <f>L18/L17*M17</f>
        <v>1838.7975486881794</v>
      </c>
      <c r="N18" s="6">
        <v>1873.6533394299017</v>
      </c>
      <c r="O18" s="7">
        <f>M18-N18</f>
        <v>-34.85579074172233</v>
      </c>
    </row>
    <row r="19" spans="1:23" x14ac:dyDescent="0.35">
      <c r="B19" s="1">
        <v>44196</v>
      </c>
      <c r="C19" s="11">
        <v>3478.8436223346598</v>
      </c>
      <c r="E19" s="38">
        <v>3197.7491880141843</v>
      </c>
      <c r="F19" s="7">
        <f t="shared" ref="F19:F23" si="0">E19/E18*F18</f>
        <v>3240.5016056306731</v>
      </c>
      <c r="G19" s="6">
        <v>3198.9312244486227</v>
      </c>
      <c r="H19" s="7">
        <f t="shared" ref="H19:H23" si="1">F19-G19</f>
        <v>41.570381182050369</v>
      </c>
      <c r="J19" s="16">
        <v>1920.3538928837099</v>
      </c>
      <c r="L19" s="37">
        <v>1846.9122859552808</v>
      </c>
      <c r="M19" s="7">
        <f t="shared" ref="M19:M23" si="2">L19/L18*M18</f>
        <v>1844.3720503560351</v>
      </c>
      <c r="N19" s="6">
        <v>1911.5417701524491</v>
      </c>
      <c r="O19" s="7">
        <f t="shared" ref="O19:O23" si="3">M19-N19</f>
        <v>-67.169719796414029</v>
      </c>
    </row>
    <row r="20" spans="1:23" x14ac:dyDescent="0.35">
      <c r="B20" s="1">
        <v>44286</v>
      </c>
      <c r="C20" s="11">
        <v>3518.3627926085101</v>
      </c>
      <c r="E20" s="38">
        <v>3250.8971518355147</v>
      </c>
      <c r="F20" s="7">
        <f t="shared" si="0"/>
        <v>3294.3601329800226</v>
      </c>
      <c r="G20" s="6">
        <v>3238.5780195636817</v>
      </c>
      <c r="H20" s="7">
        <f t="shared" si="1"/>
        <v>55.782113416340962</v>
      </c>
      <c r="J20" s="16">
        <v>1939.63909138496</v>
      </c>
      <c r="L20" s="37">
        <v>1851.7583227938521</v>
      </c>
      <c r="M20" s="7">
        <f t="shared" si="2"/>
        <v>1849.2114219753721</v>
      </c>
      <c r="N20" s="6">
        <v>1943.2445250392295</v>
      </c>
      <c r="O20" s="7">
        <f t="shared" si="3"/>
        <v>-94.033103063857425</v>
      </c>
    </row>
    <row r="21" spans="1:23" x14ac:dyDescent="0.35">
      <c r="B21" s="1">
        <v>44377</v>
      </c>
      <c r="C21" s="11">
        <v>3557.8819628823699</v>
      </c>
      <c r="E21" s="38">
        <v>3303.0751191491909</v>
      </c>
      <c r="F21" s="7">
        <f t="shared" si="0"/>
        <v>3347.2356954200882</v>
      </c>
      <c r="G21" s="6">
        <v>3278.224814678741</v>
      </c>
      <c r="H21" s="7">
        <f t="shared" si="1"/>
        <v>69.010880741347137</v>
      </c>
      <c r="J21" s="16">
        <v>1958.28962999697</v>
      </c>
      <c r="L21" s="37">
        <v>1864.8797418812585</v>
      </c>
      <c r="M21" s="7">
        <f t="shared" si="2"/>
        <v>1862.3147939166677</v>
      </c>
      <c r="N21" s="6">
        <v>1974.1449147346432</v>
      </c>
      <c r="O21" s="7">
        <f t="shared" si="3"/>
        <v>-111.83012081797551</v>
      </c>
    </row>
    <row r="22" spans="1:23" x14ac:dyDescent="0.35">
      <c r="B22" s="1">
        <v>44469</v>
      </c>
      <c r="C22" s="11">
        <v>3597.4011331562201</v>
      </c>
      <c r="E22" s="38">
        <v>3348.7664960566585</v>
      </c>
      <c r="F22" s="7">
        <f t="shared" si="0"/>
        <v>3393.5379447606851</v>
      </c>
      <c r="G22" s="6">
        <v>3317.8716097938</v>
      </c>
      <c r="H22" s="7">
        <f t="shared" si="1"/>
        <v>75.666334966885188</v>
      </c>
      <c r="J22" s="16">
        <v>1976.67784252142</v>
      </c>
      <c r="L22" s="37">
        <v>1876.08695894171</v>
      </c>
      <c r="M22" s="7">
        <f t="shared" si="2"/>
        <v>1873.5065966166421</v>
      </c>
      <c r="N22" s="6">
        <v>2007.1725051699591</v>
      </c>
      <c r="O22" s="7">
        <f t="shared" si="3"/>
        <v>-133.66590855331697</v>
      </c>
    </row>
    <row r="23" spans="1:23" x14ac:dyDescent="0.35">
      <c r="B23" s="1">
        <v>44561</v>
      </c>
      <c r="C23" s="11">
        <v>3636.21038762539</v>
      </c>
      <c r="E23" s="38">
        <v>3405.0862250261239</v>
      </c>
      <c r="F23" s="7">
        <f t="shared" si="0"/>
        <v>3450.6106422812722</v>
      </c>
      <c r="G23" s="6">
        <v>3354.4355926629742</v>
      </c>
      <c r="H23" s="7">
        <f t="shared" si="1"/>
        <v>96.17504961829809</v>
      </c>
      <c r="J23" s="16">
        <v>1995.6499421439801</v>
      </c>
      <c r="L23" s="37">
        <v>1892.015583446143</v>
      </c>
      <c r="M23" s="7">
        <f t="shared" si="2"/>
        <v>1889.4133129561226</v>
      </c>
      <c r="N23" s="6">
        <v>2029.2935268993749</v>
      </c>
      <c r="O23" s="7">
        <f t="shared" si="3"/>
        <v>-139.88021394325233</v>
      </c>
    </row>
    <row r="24" spans="1:23" x14ac:dyDescent="0.35">
      <c r="K24" s="37"/>
      <c r="L24" s="37"/>
      <c r="M24" s="37"/>
      <c r="N24" s="37"/>
      <c r="O24" s="37"/>
      <c r="P24" s="37"/>
      <c r="Q24" s="37"/>
      <c r="R24" s="37"/>
    </row>
    <row r="25" spans="1:23" x14ac:dyDescent="0.35">
      <c r="B25" s="38">
        <v>3325.6678728664706</v>
      </c>
      <c r="C25" s="38">
        <v>3079.0347392838257</v>
      </c>
      <c r="D25" s="38">
        <v>3148.6935750884545</v>
      </c>
      <c r="E25" s="38">
        <v>3197.7491880141843</v>
      </c>
      <c r="F25" s="38">
        <v>3250.8971518355147</v>
      </c>
      <c r="G25" s="38">
        <v>3303.0751191491909</v>
      </c>
      <c r="H25" s="38">
        <v>3348.7664960566585</v>
      </c>
      <c r="I25" s="38">
        <v>3405.0862250261239</v>
      </c>
      <c r="P25" s="16"/>
      <c r="Q25" s="16"/>
      <c r="R25" s="16"/>
      <c r="S25" s="16"/>
      <c r="T25" s="16"/>
      <c r="U25" s="16"/>
      <c r="V25" s="16"/>
      <c r="W25" s="16"/>
    </row>
    <row r="26" spans="1:23" x14ac:dyDescent="0.35">
      <c r="A26" t="s">
        <v>99</v>
      </c>
      <c r="J26" t="s">
        <v>102</v>
      </c>
    </row>
    <row r="28" spans="1:23" ht="58" x14ac:dyDescent="0.35">
      <c r="C28" t="s">
        <v>93</v>
      </c>
      <c r="D28" t="s">
        <v>94</v>
      </c>
      <c r="E28" s="4" t="s">
        <v>95</v>
      </c>
      <c r="F28" t="s">
        <v>96</v>
      </c>
      <c r="G28" t="s">
        <v>97</v>
      </c>
      <c r="H28" t="s">
        <v>98</v>
      </c>
      <c r="J28" t="s">
        <v>101</v>
      </c>
      <c r="K28" t="s">
        <v>94</v>
      </c>
      <c r="L28" s="4" t="s">
        <v>95</v>
      </c>
      <c r="M28" t="s">
        <v>96</v>
      </c>
      <c r="N28" t="s">
        <v>97</v>
      </c>
      <c r="O28" t="s">
        <v>98</v>
      </c>
      <c r="P28" s="13"/>
      <c r="Q28" s="13"/>
    </row>
    <row r="29" spans="1:23" x14ac:dyDescent="0.35">
      <c r="J29" s="7"/>
      <c r="P29" s="19"/>
      <c r="Q29" s="19"/>
      <c r="R29" s="19"/>
      <c r="S29" s="19"/>
      <c r="T29" s="19"/>
      <c r="U29" s="19"/>
      <c r="V29" s="19"/>
      <c r="W29" s="19"/>
    </row>
    <row r="30" spans="1:23" x14ac:dyDescent="0.35">
      <c r="B30" s="1">
        <v>43921</v>
      </c>
      <c r="C30" s="14">
        <v>148.882553191489</v>
      </c>
      <c r="D30">
        <v>180.5</v>
      </c>
      <c r="E30" s="15">
        <v>134</v>
      </c>
      <c r="F30" s="14">
        <f>D30</f>
        <v>180.5</v>
      </c>
      <c r="G30" s="6">
        <v>180.5</v>
      </c>
      <c r="H30" s="14"/>
      <c r="I30" s="14"/>
      <c r="J30" s="16">
        <v>70.183888016456805</v>
      </c>
      <c r="K30">
        <v>62.7</v>
      </c>
      <c r="L30" s="19">
        <v>58.885625915856416</v>
      </c>
      <c r="M30" s="10">
        <f>N30</f>
        <v>62.7</v>
      </c>
      <c r="N30" s="6">
        <v>62.7</v>
      </c>
    </row>
    <row r="31" spans="1:23" x14ac:dyDescent="0.35">
      <c r="B31" s="1">
        <v>44012</v>
      </c>
      <c r="C31" s="14">
        <v>157.065106382979</v>
      </c>
      <c r="E31" s="15">
        <v>114.98071850656632</v>
      </c>
      <c r="F31" s="7">
        <f>E31/E30*F30</f>
        <v>154.88074395847178</v>
      </c>
      <c r="G31" s="6">
        <v>203.93333333333334</v>
      </c>
      <c r="H31" s="7">
        <f>F31-G31</f>
        <v>-49.052589374861554</v>
      </c>
      <c r="J31" s="16">
        <v>70.904475576493894</v>
      </c>
      <c r="K31">
        <v>67.833333333333329</v>
      </c>
      <c r="L31" s="19">
        <v>51.906166397249173</v>
      </c>
      <c r="M31" s="9">
        <f>L31/L30*M30</f>
        <v>55.268439156238358</v>
      </c>
      <c r="N31" s="6">
        <v>67.833333333333329</v>
      </c>
    </row>
    <row r="32" spans="1:23" x14ac:dyDescent="0.35">
      <c r="B32" s="1">
        <v>44104</v>
      </c>
      <c r="C32" s="14">
        <v>165.247659574468</v>
      </c>
      <c r="E32" s="15">
        <v>156.24623296383302</v>
      </c>
      <c r="F32" s="7">
        <f>E32/E31*F31</f>
        <v>210.4660078356109</v>
      </c>
      <c r="G32" s="6">
        <v>214.55756035578145</v>
      </c>
      <c r="H32" s="7">
        <f>F32-G32</f>
        <v>-4.091552520170552</v>
      </c>
      <c r="I32" s="15"/>
      <c r="J32" s="16">
        <v>71.660805300713506</v>
      </c>
      <c r="K32" s="15"/>
      <c r="L32" s="19">
        <v>67.757273586954582</v>
      </c>
      <c r="M32" s="9">
        <f t="shared" ref="M32:M37" si="4">L32/L31*M31</f>
        <v>72.146317336809872</v>
      </c>
      <c r="N32" s="6">
        <v>70.781995725474303</v>
      </c>
      <c r="O32" s="7">
        <f>M32-N32</f>
        <v>1.3643216113355692</v>
      </c>
      <c r="P32" s="15"/>
    </row>
    <row r="33" spans="1:21" x14ac:dyDescent="0.35">
      <c r="B33" s="1">
        <v>44196</v>
      </c>
      <c r="C33" s="14">
        <v>167.317350016451</v>
      </c>
      <c r="E33" s="15">
        <v>155.66063193598734</v>
      </c>
      <c r="F33" s="7">
        <f t="shared" ref="F33:F37" si="5">E33/E32*F32</f>
        <v>209.67719451078889</v>
      </c>
      <c r="G33" s="6">
        <v>220.25836509953407</v>
      </c>
      <c r="H33" s="7">
        <f t="shared" ref="H33:H37" si="6">F33-G33</f>
        <v>-10.581170588745181</v>
      </c>
      <c r="J33" s="16">
        <v>72.420964542524203</v>
      </c>
      <c r="L33" s="19">
        <v>67.375517870649134</v>
      </c>
      <c r="M33" s="9">
        <f t="shared" si="4"/>
        <v>71.739833020135464</v>
      </c>
      <c r="N33" s="6">
        <v>72.213327063567121</v>
      </c>
      <c r="O33" s="7">
        <f t="shared" ref="O33:O37" si="7">M33-N33</f>
        <v>-0.47349404343165702</v>
      </c>
    </row>
    <row r="34" spans="1:21" x14ac:dyDescent="0.35">
      <c r="B34" s="1">
        <v>44286</v>
      </c>
      <c r="C34" s="14">
        <v>169.387040458434</v>
      </c>
      <c r="E34" s="15">
        <v>163.68032081538635</v>
      </c>
      <c r="F34" s="7">
        <f t="shared" si="5"/>
        <v>220.47983512818831</v>
      </c>
      <c r="G34" s="6">
        <v>225.95916984328673</v>
      </c>
      <c r="H34" s="7">
        <f t="shared" si="6"/>
        <v>-5.4793347150984175</v>
      </c>
      <c r="J34" s="16">
        <v>73.148253758345504</v>
      </c>
      <c r="L34" s="19">
        <v>70.683858752401591</v>
      </c>
      <c r="M34" s="9">
        <f t="shared" si="4"/>
        <v>75.262474922291474</v>
      </c>
      <c r="N34" s="6">
        <v>73.410978845600951</v>
      </c>
      <c r="O34" s="7">
        <f t="shared" si="7"/>
        <v>1.8514960766905233</v>
      </c>
    </row>
    <row r="35" spans="1:21" x14ac:dyDescent="0.35">
      <c r="B35" s="1">
        <v>44377</v>
      </c>
      <c r="C35" s="14">
        <v>171.456730900417</v>
      </c>
      <c r="E35" s="15">
        <v>167.45057208985199</v>
      </c>
      <c r="F35" s="7">
        <f t="shared" si="5"/>
        <v>225.55841986730061</v>
      </c>
      <c r="G35" s="6">
        <v>231.65997458703936</v>
      </c>
      <c r="H35" s="7">
        <f t="shared" si="6"/>
        <v>-6.1015547197387434</v>
      </c>
      <c r="J35" s="16">
        <v>73.851608489223096</v>
      </c>
      <c r="L35" s="19">
        <v>72.126034518054027</v>
      </c>
      <c r="M35" s="9">
        <f t="shared" si="4"/>
        <v>76.79806903545618</v>
      </c>
      <c r="N35" s="6">
        <v>74.578319252339043</v>
      </c>
      <c r="O35" s="7">
        <f t="shared" si="7"/>
        <v>2.2197497831171376</v>
      </c>
    </row>
    <row r="36" spans="1:21" x14ac:dyDescent="0.35">
      <c r="B36" s="1">
        <v>44469</v>
      </c>
      <c r="C36" s="14">
        <v>173.5264213424</v>
      </c>
      <c r="E36" s="15">
        <v>171.63598531632948</v>
      </c>
      <c r="F36" s="7">
        <f t="shared" si="5"/>
        <v>231.19623395221993</v>
      </c>
      <c r="G36" s="6">
        <v>237.36077933079198</v>
      </c>
      <c r="H36" s="7">
        <f t="shared" si="6"/>
        <v>-6.1645453785720576</v>
      </c>
      <c r="J36" s="16">
        <v>74.545070299657397</v>
      </c>
      <c r="L36" s="19">
        <v>73.732959467368829</v>
      </c>
      <c r="M36" s="9">
        <f t="shared" si="4"/>
        <v>78.509084121990355</v>
      </c>
      <c r="N36" s="6">
        <v>75.826020049396064</v>
      </c>
      <c r="O36" s="7">
        <f t="shared" si="7"/>
        <v>2.6830640725942914</v>
      </c>
    </row>
    <row r="37" spans="1:21" x14ac:dyDescent="0.35">
      <c r="B37" s="1">
        <v>44561</v>
      </c>
      <c r="C37" s="14">
        <v>179.12250596424701</v>
      </c>
      <c r="E37" s="15">
        <v>178.09241912386454</v>
      </c>
      <c r="F37" s="7">
        <f t="shared" si="5"/>
        <v>239.89314665565337</v>
      </c>
      <c r="G37" s="6">
        <v>245.65285895806858</v>
      </c>
      <c r="H37" s="7">
        <f t="shared" si="6"/>
        <v>-5.7597123024152097</v>
      </c>
      <c r="J37" s="16">
        <v>75.260551836239898</v>
      </c>
      <c r="L37" s="19">
        <v>74.827748020610457</v>
      </c>
      <c r="M37" s="9">
        <f t="shared" si="4"/>
        <v>79.674788675871412</v>
      </c>
      <c r="N37" s="6">
        <v>76.661697617142437</v>
      </c>
      <c r="O37" s="7">
        <f t="shared" si="7"/>
        <v>3.0130910587289748</v>
      </c>
    </row>
    <row r="39" spans="1:21" x14ac:dyDescent="0.35">
      <c r="A39" t="s">
        <v>103</v>
      </c>
      <c r="C39" s="11" t="s">
        <v>106</v>
      </c>
      <c r="D39" s="11"/>
      <c r="E39" s="11"/>
      <c r="F39" s="11"/>
      <c r="G39" s="11"/>
      <c r="H39" s="11"/>
      <c r="J39" s="11"/>
      <c r="K39" t="s">
        <v>104</v>
      </c>
      <c r="N39" s="26"/>
    </row>
    <row r="40" spans="1:21" x14ac:dyDescent="0.35">
      <c r="D40" t="s">
        <v>105</v>
      </c>
      <c r="J40" t="s">
        <v>107</v>
      </c>
      <c r="K40" t="s">
        <v>105</v>
      </c>
      <c r="Q40" t="s">
        <v>108</v>
      </c>
      <c r="S40">
        <v>2422</v>
      </c>
      <c r="T40" s="12">
        <f>S40-S41-S42</f>
        <v>1555</v>
      </c>
      <c r="U40" t="s">
        <v>114</v>
      </c>
    </row>
    <row r="41" spans="1:21" x14ac:dyDescent="0.35">
      <c r="B41" s="1">
        <v>43921</v>
      </c>
      <c r="C41" s="10">
        <f>G41</f>
        <v>1249.5219999999999</v>
      </c>
      <c r="F41" s="6">
        <v>1249.5219999999999</v>
      </c>
      <c r="G41" s="6">
        <v>1249.5219999999999</v>
      </c>
      <c r="J41" s="10">
        <f>M41</f>
        <v>1574.779</v>
      </c>
      <c r="M41" s="6">
        <v>1574.779</v>
      </c>
      <c r="N41" s="45">
        <v>1574.78</v>
      </c>
      <c r="Q41" t="s">
        <v>109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23">
        <v>153.80000000000001</v>
      </c>
      <c r="E42" s="9"/>
      <c r="F42" s="6">
        <v>1419</v>
      </c>
      <c r="G42" s="6">
        <v>1419</v>
      </c>
      <c r="H42" s="7">
        <f>F42-G42</f>
        <v>0</v>
      </c>
      <c r="J42" s="10">
        <f>M42-K42</f>
        <v>1790.6497385128907</v>
      </c>
      <c r="K42" s="24">
        <v>1879.9622614871093</v>
      </c>
      <c r="M42" s="6">
        <f>R49</f>
        <v>3670.6120000000001</v>
      </c>
      <c r="N42" s="45">
        <v>3687.16</v>
      </c>
      <c r="Q42" t="s">
        <v>110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23">
        <v>154.98375423728814</v>
      </c>
      <c r="F43" s="9">
        <f>C43+D43</f>
        <v>1441.2757568812103</v>
      </c>
      <c r="G43" s="6">
        <v>1439.7272565320666</v>
      </c>
      <c r="H43" s="7">
        <f>F43-G43</f>
        <v>1.548500349143751</v>
      </c>
      <c r="J43">
        <f t="shared" ref="J43:J48" si="8">N43/N42*J42</f>
        <v>1809.7112932695682</v>
      </c>
      <c r="K43" s="24">
        <v>460.45534268494248</v>
      </c>
      <c r="M43" s="9">
        <f t="shared" ref="M43:M48" si="9">K43+J43</f>
        <v>2270.1666359545106</v>
      </c>
      <c r="N43" s="45">
        <v>3726.41</v>
      </c>
      <c r="O43" s="7"/>
      <c r="Q43" t="s">
        <v>111</v>
      </c>
      <c r="S43">
        <v>445</v>
      </c>
    </row>
    <row r="44" spans="1:21" ht="15.5" x14ac:dyDescent="0.35">
      <c r="B44" s="1">
        <v>44196</v>
      </c>
      <c r="C44">
        <f t="shared" ref="C44:C48" si="10">G44/G43*C43</f>
        <v>1305.9816312670787</v>
      </c>
      <c r="D44" s="23">
        <v>104.19042372881356</v>
      </c>
      <c r="F44" s="9">
        <f t="shared" ref="F44:F48" si="11">C44+D44</f>
        <v>1410.1720549958923</v>
      </c>
      <c r="G44" s="6">
        <v>1461.7655611638957</v>
      </c>
      <c r="H44" s="7">
        <f t="shared" ref="H44:H48" si="12">F44-G44</f>
        <v>-51.593506168003387</v>
      </c>
      <c r="J44">
        <f t="shared" si="8"/>
        <v>1833.6438644392258</v>
      </c>
      <c r="K44" s="24">
        <v>440.46519381089263</v>
      </c>
      <c r="M44" s="9">
        <f t="shared" si="9"/>
        <v>2274.1090582501183</v>
      </c>
      <c r="N44" s="45">
        <v>3775.69</v>
      </c>
      <c r="O44" s="7"/>
      <c r="Q44" t="s">
        <v>112</v>
      </c>
      <c r="T44">
        <f>S43+S41</f>
        <v>1269</v>
      </c>
    </row>
    <row r="45" spans="1:21" ht="15.5" x14ac:dyDescent="0.35">
      <c r="B45" s="1">
        <v>44286</v>
      </c>
      <c r="C45">
        <f t="shared" si="10"/>
        <v>1325.6712598902348</v>
      </c>
      <c r="D45" s="23">
        <v>99.775762711864417</v>
      </c>
      <c r="F45" s="9">
        <f t="shared" si="11"/>
        <v>1425.4470226020992</v>
      </c>
      <c r="G45" s="6">
        <v>1483.8038657957245</v>
      </c>
      <c r="H45" s="7">
        <f t="shared" si="12"/>
        <v>-58.356843193625309</v>
      </c>
      <c r="J45">
        <f t="shared" si="8"/>
        <v>1863.6567073427332</v>
      </c>
      <c r="K45" s="24">
        <v>150.50523344668068</v>
      </c>
      <c r="M45" s="9">
        <f t="shared" si="9"/>
        <v>2014.1619407894138</v>
      </c>
      <c r="N45" s="45">
        <v>3837.49</v>
      </c>
      <c r="O45" s="7"/>
      <c r="T45" t="s">
        <v>113</v>
      </c>
    </row>
    <row r="46" spans="1:21" ht="15.5" x14ac:dyDescent="0.35">
      <c r="B46" s="1">
        <v>44377</v>
      </c>
      <c r="C46">
        <f t="shared" si="10"/>
        <v>1345.360888513391</v>
      </c>
      <c r="D46" s="23">
        <v>41.720661016949151</v>
      </c>
      <c r="F46" s="9">
        <f t="shared" si="11"/>
        <v>1387.0815495303402</v>
      </c>
      <c r="G46" s="6">
        <v>1505.8421704275534</v>
      </c>
      <c r="H46" s="7">
        <f t="shared" si="12"/>
        <v>-118.76062089721313</v>
      </c>
      <c r="J46">
        <f t="shared" si="8"/>
        <v>1883.6701257254767</v>
      </c>
      <c r="K46" s="24">
        <v>74.433344887570485</v>
      </c>
      <c r="M46" s="9">
        <f t="shared" si="9"/>
        <v>1958.1034706130472</v>
      </c>
      <c r="N46" s="45">
        <v>3878.7</v>
      </c>
      <c r="O46" s="7"/>
      <c r="Q46" t="s">
        <v>116</v>
      </c>
      <c r="R46" s="33">
        <v>4790.67</v>
      </c>
    </row>
    <row r="47" spans="1:21" ht="15.5" x14ac:dyDescent="0.35">
      <c r="B47" s="1">
        <v>44469</v>
      </c>
      <c r="C47">
        <f t="shared" si="10"/>
        <v>1365.0505171365471</v>
      </c>
      <c r="D47" s="23">
        <v>39.50551694915255</v>
      </c>
      <c r="F47" s="9">
        <f t="shared" si="11"/>
        <v>1404.5560340856996</v>
      </c>
      <c r="G47" s="6">
        <v>1527.8804750593822</v>
      </c>
      <c r="H47" s="7">
        <f t="shared" si="12"/>
        <v>-123.32444097368261</v>
      </c>
      <c r="J47">
        <f t="shared" si="8"/>
        <v>1903.3873008368428</v>
      </c>
      <c r="K47" s="24">
        <v>27.27644261264458</v>
      </c>
      <c r="M47" s="9">
        <f t="shared" si="9"/>
        <v>1930.6637434494874</v>
      </c>
      <c r="N47" s="45">
        <v>3919.3</v>
      </c>
      <c r="O47" s="7"/>
      <c r="Q47" t="s">
        <v>115</v>
      </c>
      <c r="R47" s="33">
        <v>824.05799999999999</v>
      </c>
    </row>
    <row r="48" spans="1:21" ht="15.5" x14ac:dyDescent="0.35">
      <c r="B48" s="1">
        <v>44561</v>
      </c>
      <c r="C48">
        <f t="shared" si="10"/>
        <v>1387.4827879702616</v>
      </c>
      <c r="D48" s="23">
        <v>15.088110169491525</v>
      </c>
      <c r="F48" s="9">
        <f t="shared" si="11"/>
        <v>1402.5708981397531</v>
      </c>
      <c r="G48" s="6">
        <v>1552.9885777909737</v>
      </c>
      <c r="H48" s="7">
        <f t="shared" si="12"/>
        <v>-150.41767965122062</v>
      </c>
      <c r="J48">
        <f t="shared" si="8"/>
        <v>1927.5626943600887</v>
      </c>
      <c r="K48" s="24">
        <v>24.834393114274178</v>
      </c>
      <c r="M48" s="9">
        <f t="shared" si="9"/>
        <v>1952.3970874743629</v>
      </c>
      <c r="N48" s="45">
        <v>3969.08</v>
      </c>
      <c r="O48" s="7"/>
      <c r="Q48" t="s">
        <v>117</v>
      </c>
      <c r="R48">
        <v>296</v>
      </c>
    </row>
    <row r="49" spans="1:19" x14ac:dyDescent="0.35">
      <c r="M49" s="9" t="s">
        <v>91</v>
      </c>
      <c r="R49" s="12">
        <f>R46-R47-R48</f>
        <v>3670.6120000000001</v>
      </c>
      <c r="S49" s="10">
        <f>R49-M42</f>
        <v>0</v>
      </c>
    </row>
    <row r="50" spans="1:19" ht="15.5" x14ac:dyDescent="0.35">
      <c r="A50" t="s">
        <v>118</v>
      </c>
      <c r="C50" s="24"/>
      <c r="D50" s="24"/>
      <c r="E50" s="24"/>
      <c r="F50" s="24"/>
      <c r="G50" s="24"/>
      <c r="H50" s="24"/>
      <c r="I50" s="24"/>
      <c r="J50" t="s">
        <v>123</v>
      </c>
      <c r="Q50" t="s">
        <v>112</v>
      </c>
      <c r="R50" s="12">
        <f>R47+595</f>
        <v>1419.058</v>
      </c>
    </row>
    <row r="51" spans="1:19" x14ac:dyDescent="0.35">
      <c r="B51" s="30"/>
      <c r="C51" s="31" t="s">
        <v>106</v>
      </c>
      <c r="D51" s="31"/>
      <c r="E51" s="29" t="s">
        <v>122</v>
      </c>
      <c r="F51" s="31"/>
      <c r="G51" s="31"/>
      <c r="H51" s="31"/>
      <c r="J51" s="29" t="s">
        <v>124</v>
      </c>
      <c r="K51" s="30" t="s">
        <v>125</v>
      </c>
      <c r="L51" s="30"/>
      <c r="M51" s="30"/>
      <c r="N51" s="27"/>
      <c r="O51" s="30"/>
    </row>
    <row r="52" spans="1:19" x14ac:dyDescent="0.35">
      <c r="B52" s="30"/>
      <c r="C52" s="30"/>
      <c r="D52" s="30" t="s">
        <v>105</v>
      </c>
      <c r="E52" s="30"/>
      <c r="F52" s="30"/>
      <c r="G52" s="30"/>
      <c r="H52" s="30"/>
      <c r="J52" s="30" t="s">
        <v>107</v>
      </c>
      <c r="K52" s="30" t="s">
        <v>105</v>
      </c>
      <c r="L52" s="30"/>
      <c r="M52" s="30"/>
      <c r="N52" s="30"/>
      <c r="O52" s="30"/>
    </row>
    <row r="53" spans="1:19" x14ac:dyDescent="0.35">
      <c r="B53" s="22">
        <v>43921</v>
      </c>
      <c r="C53" s="25">
        <f>G53</f>
        <v>179.27800000000002</v>
      </c>
      <c r="D53" s="30"/>
      <c r="E53" s="30"/>
      <c r="F53" s="28">
        <f>G53</f>
        <v>179.27800000000002</v>
      </c>
      <c r="G53" s="6">
        <v>179.27800000000002</v>
      </c>
      <c r="H53" s="30"/>
      <c r="J53" s="21">
        <f>M53-K53</f>
        <v>170.02099999999996</v>
      </c>
      <c r="K53" s="30">
        <v>16</v>
      </c>
      <c r="L53" s="30"/>
      <c r="M53">
        <v>186.02099999999996</v>
      </c>
      <c r="N53" s="6">
        <v>186.02099999999996</v>
      </c>
      <c r="O53" s="30"/>
      <c r="Q53" t="s">
        <v>119</v>
      </c>
    </row>
    <row r="54" spans="1:19" ht="15.5" x14ac:dyDescent="0.35">
      <c r="B54" s="22">
        <v>44012</v>
      </c>
      <c r="C54" s="21">
        <f>F54-D54</f>
        <v>177.59999999999997</v>
      </c>
      <c r="D54" s="35">
        <v>-97.7</v>
      </c>
      <c r="E54" s="32"/>
      <c r="F54" s="28">
        <f>G54</f>
        <v>79.899999999999977</v>
      </c>
      <c r="G54" s="6">
        <v>79.899999999999977</v>
      </c>
      <c r="H54" s="20">
        <f>F54-G54</f>
        <v>0</v>
      </c>
      <c r="J54" s="21">
        <f>M54-K54</f>
        <v>162.3420000000001</v>
      </c>
      <c r="K54" s="36">
        <v>260.5</v>
      </c>
      <c r="L54" s="30"/>
      <c r="M54">
        <v>422.8420000000001</v>
      </c>
      <c r="N54" s="6">
        <f>1191.642-768.8</f>
        <v>422.8420000000001</v>
      </c>
      <c r="O54" s="30"/>
      <c r="Q54" t="s">
        <v>120</v>
      </c>
    </row>
    <row r="55" spans="1:19" ht="15.5" x14ac:dyDescent="0.35">
      <c r="B55" s="22">
        <v>44104</v>
      </c>
      <c r="C55" s="21">
        <f>G55/G54*C54</f>
        <v>179.28741092636574</v>
      </c>
      <c r="D55" s="35">
        <v>-97.404061440677964</v>
      </c>
      <c r="E55" s="30"/>
      <c r="F55" s="9">
        <f>C55+D55</f>
        <v>81.883349485687773</v>
      </c>
      <c r="G55" s="6">
        <v>80.659144893111602</v>
      </c>
      <c r="H55" s="20">
        <f>F55-G55</f>
        <v>1.2242045925761715</v>
      </c>
      <c r="J55" s="30">
        <f>N56/N55*J54</f>
        <v>167.26626761549642</v>
      </c>
      <c r="K55" s="36">
        <v>285.08174706649288</v>
      </c>
      <c r="L55" s="30"/>
      <c r="M55" s="32">
        <f t="shared" ref="M55:M60" si="13">K55+J55</f>
        <v>452.3480146819893</v>
      </c>
      <c r="N55" s="6">
        <v>1119.6291926611975</v>
      </c>
      <c r="O55" s="20">
        <f>M55-N55</f>
        <v>-667.28117797920822</v>
      </c>
      <c r="Q55" t="s">
        <v>121</v>
      </c>
      <c r="R55">
        <f>637-445</f>
        <v>192</v>
      </c>
    </row>
    <row r="56" spans="1:19" ht="15.5" x14ac:dyDescent="0.35">
      <c r="B56" s="22">
        <v>44196</v>
      </c>
      <c r="C56" s="21">
        <f t="shared" ref="C56:C60" si="14">G56/G55*C55</f>
        <v>181.29121140142522</v>
      </c>
      <c r="D56" s="35">
        <v>-64.35239406779661</v>
      </c>
      <c r="E56" s="30"/>
      <c r="F56" s="9">
        <f t="shared" ref="F56:F60" si="15">C56+D56</f>
        <v>116.93881733362861</v>
      </c>
      <c r="G56" s="6">
        <v>81.560629453681713</v>
      </c>
      <c r="H56" s="20">
        <f t="shared" ref="H56:H60" si="16">F56-G56</f>
        <v>35.378187879946893</v>
      </c>
      <c r="J56" s="30">
        <f>N56/N55*J55</f>
        <v>172.33990145506922</v>
      </c>
      <c r="K56" s="36">
        <v>166.02043676662322</v>
      </c>
      <c r="L56" s="30"/>
      <c r="M56" s="32">
        <f t="shared" si="13"/>
        <v>338.36033822169247</v>
      </c>
      <c r="N56" s="6">
        <v>1153.590544466558</v>
      </c>
      <c r="O56" s="20">
        <f t="shared" ref="O56:O60" si="17">M56-N56</f>
        <v>-815.23020624486549</v>
      </c>
    </row>
    <row r="57" spans="1:19" ht="15.5" x14ac:dyDescent="0.35">
      <c r="B57" s="22">
        <v>44286</v>
      </c>
      <c r="C57" s="21">
        <f t="shared" si="14"/>
        <v>183.29501187648469</v>
      </c>
      <c r="D57" s="35">
        <v>-65.456059322033894</v>
      </c>
      <c r="E57" s="30"/>
      <c r="F57" s="9">
        <f t="shared" si="15"/>
        <v>117.8389525544508</v>
      </c>
      <c r="G57" s="6">
        <v>82.462114014251824</v>
      </c>
      <c r="H57" s="20">
        <f t="shared" si="16"/>
        <v>35.376838540198975</v>
      </c>
      <c r="J57" s="30">
        <f>N57/N56*J56</f>
        <v>175.56369489569209</v>
      </c>
      <c r="K57" s="36">
        <v>70.006812255541064</v>
      </c>
      <c r="L57" s="30"/>
      <c r="M57" s="32">
        <f t="shared" si="13"/>
        <v>245.57050715123316</v>
      </c>
      <c r="N57" s="6">
        <v>1175.1696309057215</v>
      </c>
      <c r="O57" s="20">
        <f t="shared" si="17"/>
        <v>-929.59912375448835</v>
      </c>
      <c r="R57">
        <f>637-179</f>
        <v>458</v>
      </c>
    </row>
    <row r="58" spans="1:19" ht="15.5" x14ac:dyDescent="0.35">
      <c r="B58" s="22">
        <v>44377</v>
      </c>
      <c r="C58" s="21">
        <f t="shared" si="14"/>
        <v>185.29881235154392</v>
      </c>
      <c r="D58" s="35">
        <v>-21.219834745762711</v>
      </c>
      <c r="E58" s="30"/>
      <c r="F58" s="9">
        <f t="shared" si="15"/>
        <v>164.0789776057812</v>
      </c>
      <c r="G58" s="6">
        <v>83.363598574821822</v>
      </c>
      <c r="H58" s="20">
        <f t="shared" si="16"/>
        <v>80.715379030959383</v>
      </c>
      <c r="J58" s="30">
        <f>N58/N57*J57</f>
        <v>179.11825450036559</v>
      </c>
      <c r="K58" s="36">
        <v>6.66893741851369</v>
      </c>
      <c r="L58" s="30"/>
      <c r="M58" s="32">
        <f t="shared" si="13"/>
        <v>185.78719191887927</v>
      </c>
      <c r="N58" s="6">
        <v>1198.9627647944699</v>
      </c>
      <c r="O58" s="20">
        <f t="shared" si="17"/>
        <v>-1013.1755728755907</v>
      </c>
    </row>
    <row r="59" spans="1:19" ht="15.5" x14ac:dyDescent="0.35">
      <c r="B59" s="22">
        <v>44469</v>
      </c>
      <c r="C59" s="21">
        <f t="shared" si="14"/>
        <v>187.30261282660339</v>
      </c>
      <c r="D59" s="35">
        <v>-21.773620762711865</v>
      </c>
      <c r="E59" s="30"/>
      <c r="F59" s="9">
        <f t="shared" si="15"/>
        <v>165.52899206389154</v>
      </c>
      <c r="G59" s="6">
        <v>84.265083135391933</v>
      </c>
      <c r="H59" s="20">
        <f t="shared" si="16"/>
        <v>81.263908928499603</v>
      </c>
      <c r="J59" s="30">
        <f>N59/N58*J58</f>
        <v>181.607012020876</v>
      </c>
      <c r="K59" s="36">
        <v>2.2229791395045635</v>
      </c>
      <c r="L59" s="30"/>
      <c r="M59" s="32">
        <f t="shared" si="13"/>
        <v>183.82999116038056</v>
      </c>
      <c r="N59" s="6">
        <v>1215.6217457901121</v>
      </c>
      <c r="O59" s="20">
        <f t="shared" si="17"/>
        <v>-1031.7917546297315</v>
      </c>
    </row>
    <row r="60" spans="1:19" ht="15.5" x14ac:dyDescent="0.35">
      <c r="B60" s="22">
        <v>44561</v>
      </c>
      <c r="C60" s="21">
        <f t="shared" si="14"/>
        <v>189.62280285035658</v>
      </c>
      <c r="D60" s="35">
        <v>0.62202754237288138</v>
      </c>
      <c r="E60" s="30"/>
      <c r="F60" s="9">
        <f t="shared" si="15"/>
        <v>190.24483039272945</v>
      </c>
      <c r="G60" s="6">
        <v>85.308907363420531</v>
      </c>
      <c r="H60" s="20">
        <f t="shared" si="16"/>
        <v>104.93592302930892</v>
      </c>
      <c r="J60" s="30">
        <f>N60/N59*J59</f>
        <v>183.29139642738892</v>
      </c>
      <c r="K60" s="36">
        <v>0.7409930465015212</v>
      </c>
      <c r="L60" s="30"/>
      <c r="M60" s="32">
        <f t="shared" si="13"/>
        <v>184.03238947389045</v>
      </c>
      <c r="N60" s="6">
        <v>1226.8964993915397</v>
      </c>
      <c r="O60" s="20">
        <f t="shared" si="17"/>
        <v>-1042.8641099176493</v>
      </c>
    </row>
    <row r="62" spans="1:19" ht="15.5" x14ac:dyDescent="0.35">
      <c r="D62" s="36"/>
      <c r="E62" s="36"/>
      <c r="F62" s="36"/>
      <c r="G62" s="36"/>
      <c r="H62" s="36"/>
      <c r="I62" s="36"/>
      <c r="J62" s="36"/>
    </row>
    <row r="63" spans="1:19" x14ac:dyDescent="0.35">
      <c r="D63" t="s">
        <v>126</v>
      </c>
    </row>
    <row r="64" spans="1:19" x14ac:dyDescent="0.35">
      <c r="A64" t="s">
        <v>126</v>
      </c>
      <c r="D64" t="s">
        <v>127</v>
      </c>
    </row>
    <row r="65" spans="1:17" ht="15.5" x14ac:dyDescent="0.35">
      <c r="B65" s="22">
        <v>43921</v>
      </c>
      <c r="C65" s="25">
        <v>75.099999999999994</v>
      </c>
      <c r="E65" s="41"/>
      <c r="F65" s="41"/>
      <c r="G65" s="6">
        <v>74.5</v>
      </c>
      <c r="H65" s="41"/>
      <c r="I65" s="41"/>
      <c r="J65" s="41"/>
      <c r="K65" s="41"/>
    </row>
    <row r="66" spans="1:17" ht="15.5" x14ac:dyDescent="0.35">
      <c r="B66" s="22">
        <v>44012</v>
      </c>
      <c r="C66" s="21">
        <v>1087.7</v>
      </c>
      <c r="D66" s="41">
        <v>1011.9974785373608</v>
      </c>
      <c r="E66" s="34">
        <f>D66+75</f>
        <v>1086.9974785373608</v>
      </c>
      <c r="G66" s="6">
        <v>1087.0999999999999</v>
      </c>
      <c r="H66" s="42">
        <v>0</v>
      </c>
    </row>
    <row r="67" spans="1:17" ht="15.5" x14ac:dyDescent="0.35">
      <c r="B67" s="22">
        <v>44104</v>
      </c>
      <c r="C67" s="21">
        <v>1091.3192852456284</v>
      </c>
      <c r="D67" s="41">
        <v>1254.2259395866454</v>
      </c>
      <c r="E67" s="34">
        <f t="shared" ref="E67:E72" si="18">D67+75</f>
        <v>1329.2259395866454</v>
      </c>
      <c r="G67" s="6">
        <v>1090.717288765765</v>
      </c>
      <c r="H67" s="42">
        <f>E67-G67</f>
        <v>238.50865082088035</v>
      </c>
      <c r="J67" s="46" t="s">
        <v>126</v>
      </c>
      <c r="K67" s="47">
        <v>1011.9974785373608</v>
      </c>
      <c r="L67" s="47">
        <v>1254.2259395866454</v>
      </c>
      <c r="M67" s="47">
        <v>520.28601907790141</v>
      </c>
      <c r="N67" s="47">
        <v>106.45755802861686</v>
      </c>
      <c r="O67" s="47">
        <v>22.7</v>
      </c>
      <c r="P67" s="47">
        <v>22.7</v>
      </c>
      <c r="Q67" s="47">
        <v>22.7</v>
      </c>
    </row>
    <row r="68" spans="1:17" ht="15.5" x14ac:dyDescent="0.35">
      <c r="B68" s="22">
        <v>44196</v>
      </c>
      <c r="C68" s="21">
        <v>1094.8932586258968</v>
      </c>
      <c r="D68" s="41">
        <v>520.28601907790141</v>
      </c>
      <c r="E68" s="34">
        <f t="shared" si="18"/>
        <v>595.28601907790141</v>
      </c>
      <c r="G68" s="6">
        <v>1094.289290661223</v>
      </c>
      <c r="H68" s="42">
        <f t="shared" ref="H68:H72" si="19">E68-G68</f>
        <v>-499.00327158332163</v>
      </c>
      <c r="J68" s="46" t="s">
        <v>128</v>
      </c>
      <c r="K68" s="47">
        <v>167</v>
      </c>
      <c r="L68" s="47">
        <v>314.98375423728817</v>
      </c>
      <c r="M68" s="47">
        <v>266.19042372881353</v>
      </c>
      <c r="N68" s="47">
        <v>261.77576271186439</v>
      </c>
      <c r="O68" s="47">
        <v>41.720661016949151</v>
      </c>
      <c r="P68" s="47">
        <v>39.50551694915255</v>
      </c>
      <c r="Q68" s="47">
        <v>15.088110169491525</v>
      </c>
    </row>
    <row r="69" spans="1:17" ht="15.5" x14ac:dyDescent="0.35">
      <c r="B69" s="22">
        <v>44286</v>
      </c>
      <c r="C69" s="21">
        <v>1098.6031676022451</v>
      </c>
      <c r="D69" s="41">
        <v>106.45755802861686</v>
      </c>
      <c r="E69" s="34">
        <f t="shared" si="18"/>
        <v>181.45755802861686</v>
      </c>
      <c r="G69" s="6">
        <v>1097.9971531676019</v>
      </c>
      <c r="H69" s="42">
        <f t="shared" si="19"/>
        <v>-916.53959513898508</v>
      </c>
      <c r="J69" s="48" t="s">
        <v>129</v>
      </c>
      <c r="K69" s="49">
        <v>143.80000000000001</v>
      </c>
      <c r="L69" s="49">
        <v>144.98375423728814</v>
      </c>
      <c r="M69" s="49">
        <v>94.190423728813556</v>
      </c>
      <c r="N69" s="49">
        <v>89.775762711864417</v>
      </c>
      <c r="O69" s="49">
        <v>41.720661016949151</v>
      </c>
      <c r="P69" s="49">
        <v>39.50551694915255</v>
      </c>
      <c r="Q69" s="49">
        <v>15.088110169491525</v>
      </c>
    </row>
    <row r="70" spans="1:17" ht="15.5" x14ac:dyDescent="0.35">
      <c r="B70" s="22">
        <v>44377</v>
      </c>
      <c r="C70" s="21">
        <v>1102.5736198044133</v>
      </c>
      <c r="D70" s="41">
        <v>22.7</v>
      </c>
      <c r="E70" s="34">
        <f t="shared" si="18"/>
        <v>97.7</v>
      </c>
      <c r="G70" s="6">
        <v>1101.9654151782456</v>
      </c>
      <c r="H70" s="42">
        <f t="shared" si="19"/>
        <v>-1004.2654151782456</v>
      </c>
    </row>
    <row r="71" spans="1:17" ht="15.5" x14ac:dyDescent="0.35">
      <c r="B71" s="22">
        <v>44469</v>
      </c>
      <c r="C71" s="21">
        <v>1106.8612550641014</v>
      </c>
      <c r="D71" s="41">
        <v>22.7</v>
      </c>
      <c r="E71" s="34">
        <f t="shared" si="18"/>
        <v>97.7</v>
      </c>
      <c r="G71" s="6">
        <v>1106.2506852810377</v>
      </c>
      <c r="H71" s="42">
        <f t="shared" si="19"/>
        <v>-1008.5506852810377</v>
      </c>
    </row>
    <row r="72" spans="1:17" ht="15.5" x14ac:dyDescent="0.35">
      <c r="B72" s="22">
        <v>44561</v>
      </c>
      <c r="C72" s="21">
        <v>1111.4830653308197</v>
      </c>
      <c r="D72" s="41">
        <v>22.7</v>
      </c>
      <c r="E72" s="34">
        <f t="shared" si="18"/>
        <v>97.7</v>
      </c>
      <c r="G72" s="6">
        <v>1110.8699460523435</v>
      </c>
      <c r="H72" s="42">
        <f t="shared" si="19"/>
        <v>-1013.1699460523434</v>
      </c>
    </row>
    <row r="75" spans="1:17" x14ac:dyDescent="0.35">
      <c r="A75" t="s">
        <v>128</v>
      </c>
      <c r="C75" t="s">
        <v>90</v>
      </c>
      <c r="G75" t="s">
        <v>130</v>
      </c>
      <c r="N75" s="6"/>
    </row>
    <row r="76" spans="1:17" x14ac:dyDescent="0.35">
      <c r="B76" s="22">
        <v>43921</v>
      </c>
      <c r="G76" s="6">
        <v>182.97799999999995</v>
      </c>
      <c r="J76" s="22"/>
      <c r="N76" s="6"/>
    </row>
    <row r="77" spans="1:17" ht="15.5" x14ac:dyDescent="0.35">
      <c r="B77" s="22">
        <v>44012</v>
      </c>
      <c r="C77" s="54">
        <v>317</v>
      </c>
      <c r="G77" s="6">
        <v>799.1</v>
      </c>
      <c r="J77" s="49"/>
      <c r="K77" s="50"/>
      <c r="N77" s="6"/>
    </row>
    <row r="78" spans="1:17" ht="15.5" x14ac:dyDescent="0.35">
      <c r="B78" s="22">
        <v>44104</v>
      </c>
      <c r="C78" s="54">
        <v>200</v>
      </c>
      <c r="G78" s="6">
        <v>805.75514765494438</v>
      </c>
      <c r="J78" s="49"/>
      <c r="K78" s="50"/>
      <c r="N78" s="6"/>
    </row>
    <row r="79" spans="1:17" ht="15.5" x14ac:dyDescent="0.35">
      <c r="B79" s="22">
        <v>44196</v>
      </c>
      <c r="C79" s="54">
        <v>135</v>
      </c>
      <c r="G79" s="6">
        <v>809.76545273149611</v>
      </c>
      <c r="J79" s="49"/>
      <c r="K79" s="50"/>
      <c r="N79" s="6"/>
    </row>
    <row r="80" spans="1:17" ht="15.5" x14ac:dyDescent="0.35">
      <c r="B80" s="22">
        <v>44286</v>
      </c>
      <c r="C80" s="54">
        <v>68</v>
      </c>
      <c r="G80" s="6">
        <v>808.74091064063441</v>
      </c>
      <c r="J80" s="49"/>
      <c r="K80" s="50"/>
      <c r="N80" s="6"/>
    </row>
    <row r="81" spans="2:14" ht="15.5" x14ac:dyDescent="0.35">
      <c r="B81" s="22">
        <v>44377</v>
      </c>
      <c r="C81" s="54">
        <v>0</v>
      </c>
      <c r="G81" s="6">
        <v>808.55550974434129</v>
      </c>
      <c r="J81" s="49"/>
      <c r="K81" s="50"/>
      <c r="N81" s="6"/>
    </row>
    <row r="82" spans="2:14" ht="15.5" x14ac:dyDescent="0.35">
      <c r="B82" s="22">
        <v>44469</v>
      </c>
      <c r="C82" s="54">
        <v>0</v>
      </c>
      <c r="G82" s="6">
        <v>809.48896377414007</v>
      </c>
      <c r="J82" s="49"/>
      <c r="K82" s="50"/>
      <c r="N82" s="6"/>
    </row>
    <row r="83" spans="2:14" ht="15.5" x14ac:dyDescent="0.35">
      <c r="B83" s="22">
        <v>44561</v>
      </c>
      <c r="C83" s="54">
        <v>0</v>
      </c>
      <c r="G83" s="6">
        <v>812.74547159104202</v>
      </c>
      <c r="J83" s="49"/>
      <c r="K83" s="50"/>
      <c r="N83" s="6"/>
    </row>
    <row r="85" spans="2:14" ht="15.5" x14ac:dyDescent="0.35">
      <c r="C85" s="54"/>
      <c r="D85" s="54"/>
      <c r="E85" s="54"/>
      <c r="F85" s="54"/>
      <c r="G85" s="54"/>
      <c r="H85" s="54"/>
      <c r="I85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837E-7597-4F4E-9E1E-CCD2E400CB74}">
  <dimension ref="A1:BX24"/>
  <sheetViews>
    <sheetView workbookViewId="0">
      <pane xSplit="1" topLeftCell="N1" activePane="topRight" state="frozen"/>
      <selection pane="topRight" activeCell="R19" sqref="R19"/>
    </sheetView>
  </sheetViews>
  <sheetFormatPr defaultRowHeight="14.5" x14ac:dyDescent="0.35"/>
  <cols>
    <col min="1" max="1" width="10.453125" bestFit="1" customWidth="1"/>
    <col min="2" max="2" width="20.81640625" bestFit="1" customWidth="1"/>
    <col min="3" max="3" width="19.1796875" bestFit="1" customWidth="1"/>
    <col min="4" max="4" width="22.08984375" bestFit="1" customWidth="1"/>
    <col min="5" max="5" width="20" bestFit="1" customWidth="1"/>
    <col min="6" max="6" width="21" bestFit="1" customWidth="1"/>
    <col min="7" max="8" width="21.26953125" bestFit="1" customWidth="1"/>
    <col min="9" max="9" width="20.81640625" bestFit="1" customWidth="1"/>
    <col min="10" max="10" width="22.08984375" bestFit="1" customWidth="1"/>
    <col min="11" max="11" width="16.08984375" bestFit="1" customWidth="1"/>
    <col min="12" max="12" width="13.6328125" bestFit="1" customWidth="1"/>
    <col min="13" max="13" width="15" bestFit="1" customWidth="1"/>
    <col min="14" max="14" width="13.453125" bestFit="1" customWidth="1"/>
    <col min="15" max="15" width="14.7265625" bestFit="1" customWidth="1"/>
    <col min="16" max="17" width="11.81640625" bestFit="1" customWidth="1"/>
    <col min="18" max="18" width="14.1796875" bestFit="1" customWidth="1"/>
    <col min="19" max="19" width="13.90625" bestFit="1" customWidth="1"/>
    <col min="20" max="20" width="12.453125" bestFit="1" customWidth="1"/>
    <col min="21" max="21" width="15" bestFit="1" customWidth="1"/>
    <col min="22" max="22" width="12.81640625" bestFit="1" customWidth="1"/>
    <col min="23" max="23" width="14.54296875" bestFit="1" customWidth="1"/>
    <col min="24" max="24" width="14.26953125" bestFit="1" customWidth="1"/>
    <col min="25" max="25" width="11.81640625" bestFit="1" customWidth="1"/>
    <col min="26" max="26" width="12.453125" bestFit="1" customWidth="1"/>
    <col min="27" max="27" width="11.81640625" bestFit="1" customWidth="1"/>
    <col min="28" max="28" width="12.453125" bestFit="1" customWidth="1"/>
    <col min="29" max="29" width="11.81640625" bestFit="1" customWidth="1"/>
    <col min="30" max="30" width="12.453125" bestFit="1" customWidth="1"/>
    <col min="31" max="31" width="18.90625" bestFit="1" customWidth="1"/>
    <col min="32" max="32" width="18.6328125" bestFit="1" customWidth="1"/>
    <col min="33" max="33" width="13.7265625" bestFit="1" customWidth="1"/>
    <col min="34" max="34" width="16.90625" bestFit="1" customWidth="1"/>
    <col min="35" max="35" width="14.1796875" bestFit="1" customWidth="1"/>
    <col min="36" max="36" width="12.81640625" bestFit="1" customWidth="1"/>
    <col min="37" max="37" width="17.54296875" bestFit="1" customWidth="1"/>
    <col min="38" max="38" width="17.81640625" bestFit="1" customWidth="1"/>
    <col min="39" max="39" width="17.453125" bestFit="1" customWidth="1"/>
    <col min="40" max="40" width="18.6328125" bestFit="1" customWidth="1"/>
    <col min="41" max="41" width="18.08984375" bestFit="1" customWidth="1"/>
    <col min="42" max="42" width="22.90625" bestFit="1" customWidth="1"/>
    <col min="43" max="43" width="23.1796875" bestFit="1" customWidth="1"/>
    <col min="44" max="44" width="22.7265625" bestFit="1" customWidth="1"/>
    <col min="45" max="45" width="24" bestFit="1" customWidth="1"/>
    <col min="46" max="46" width="20" bestFit="1" customWidth="1"/>
    <col min="47" max="47" width="24.90625" bestFit="1" customWidth="1"/>
    <col min="48" max="48" width="25.1796875" bestFit="1" customWidth="1"/>
    <col min="49" max="49" width="24.81640625" bestFit="1" customWidth="1"/>
    <col min="50" max="50" width="26" bestFit="1" customWidth="1"/>
    <col min="51" max="51" width="23.1796875" bestFit="1" customWidth="1"/>
    <col min="52" max="52" width="28.6328125" bestFit="1" customWidth="1"/>
    <col min="53" max="53" width="30.54296875" bestFit="1" customWidth="1"/>
    <col min="54" max="54" width="23.453125" bestFit="1" customWidth="1"/>
    <col min="55" max="55" width="28.90625" bestFit="1" customWidth="1"/>
    <col min="56" max="56" width="30.81640625" bestFit="1" customWidth="1"/>
    <col min="57" max="57" width="23" bestFit="1" customWidth="1"/>
    <col min="58" max="58" width="28.453125" bestFit="1" customWidth="1"/>
    <col min="59" max="59" width="30.36328125" bestFit="1" customWidth="1"/>
    <col min="60" max="60" width="24.36328125" bestFit="1" customWidth="1"/>
    <col min="61" max="61" width="29.7265625" bestFit="1" customWidth="1"/>
    <col min="62" max="62" width="31.6328125" bestFit="1" customWidth="1"/>
    <col min="63" max="63" width="18.36328125" bestFit="1" customWidth="1"/>
    <col min="64" max="64" width="23.7265625" bestFit="1" customWidth="1"/>
    <col min="65" max="65" width="25.7265625" bestFit="1" customWidth="1"/>
    <col min="66" max="66" width="18" bestFit="1" customWidth="1"/>
    <col min="67" max="67" width="23.26953125" bestFit="1" customWidth="1"/>
    <col min="68" max="68" width="25.36328125" bestFit="1" customWidth="1"/>
    <col min="69" max="69" width="24.08984375" bestFit="1" customWidth="1"/>
    <col min="70" max="70" width="26.1796875" bestFit="1" customWidth="1"/>
    <col min="71" max="71" width="11.81640625" bestFit="1" customWidth="1"/>
    <col min="72" max="72" width="18.6328125" bestFit="1" customWidth="1"/>
    <col min="73" max="73" width="12.6328125" bestFit="1" customWidth="1"/>
    <col min="74" max="74" width="13.90625" bestFit="1" customWidth="1"/>
    <col min="75" max="75" width="18.90625" bestFit="1" customWidth="1"/>
    <col min="76" max="76" width="21" bestFit="1" customWidth="1"/>
  </cols>
  <sheetData>
    <row r="1" spans="1:76" x14ac:dyDescent="0.35">
      <c r="A1" s="51" t="s">
        <v>0</v>
      </c>
      <c r="B1" s="51" t="s">
        <v>8</v>
      </c>
      <c r="C1" s="51" t="s">
        <v>3</v>
      </c>
      <c r="D1" s="51" t="s">
        <v>9</v>
      </c>
      <c r="E1" s="51" t="s">
        <v>4</v>
      </c>
      <c r="F1" s="51" t="s">
        <v>6</v>
      </c>
      <c r="G1" s="51" t="s">
        <v>7</v>
      </c>
      <c r="H1" s="51" t="s">
        <v>1</v>
      </c>
      <c r="I1" s="51" t="s">
        <v>2</v>
      </c>
      <c r="J1" s="51" t="s">
        <v>15</v>
      </c>
      <c r="K1" s="51" t="s">
        <v>17</v>
      </c>
      <c r="L1" s="51" t="s">
        <v>16</v>
      </c>
      <c r="M1" s="53" t="s">
        <v>19</v>
      </c>
    </row>
    <row r="2" spans="1:76" x14ac:dyDescent="0.35">
      <c r="A2" s="43">
        <v>43921</v>
      </c>
      <c r="B2" s="45">
        <v>3381.6</v>
      </c>
      <c r="C2" s="45">
        <v>1862.4</v>
      </c>
      <c r="D2" s="45">
        <v>180.5</v>
      </c>
      <c r="E2" s="45">
        <v>62.7</v>
      </c>
      <c r="F2" s="45">
        <v>1249.52</v>
      </c>
      <c r="G2" s="45">
        <v>1574.78</v>
      </c>
      <c r="H2" s="45">
        <v>179.28</v>
      </c>
      <c r="I2" s="45">
        <v>186.02</v>
      </c>
      <c r="J2" s="45">
        <v>75.099999999999994</v>
      </c>
      <c r="K2" s="45">
        <v>182.98</v>
      </c>
      <c r="L2" s="6">
        <v>1452.6</v>
      </c>
      <c r="M2" s="10">
        <v>2381.6</v>
      </c>
    </row>
    <row r="3" spans="1:76" x14ac:dyDescent="0.35">
      <c r="A3" s="43">
        <v>44012</v>
      </c>
      <c r="B3" s="45">
        <v>3120.2</v>
      </c>
      <c r="C3" s="45">
        <v>1795.6</v>
      </c>
      <c r="D3" s="45">
        <v>203.93</v>
      </c>
      <c r="E3" s="45">
        <v>67.83</v>
      </c>
      <c r="F3" s="45">
        <v>1419</v>
      </c>
      <c r="G3" s="45">
        <v>3687.16</v>
      </c>
      <c r="H3" s="45">
        <v>79.900000000000006</v>
      </c>
      <c r="I3" s="45">
        <v>422.84</v>
      </c>
      <c r="J3" s="45">
        <v>1087.7</v>
      </c>
      <c r="K3" s="45">
        <v>799.1</v>
      </c>
      <c r="L3" s="6">
        <v>1509.2</v>
      </c>
      <c r="M3" s="10">
        <v>2330.1</v>
      </c>
    </row>
    <row r="4" spans="1:76" x14ac:dyDescent="0.35">
      <c r="A4" s="43">
        <v>44104</v>
      </c>
      <c r="B4" s="45">
        <v>3159.28</v>
      </c>
      <c r="C4" s="45">
        <v>1873.65</v>
      </c>
      <c r="D4" s="45">
        <v>214.56</v>
      </c>
      <c r="E4" s="45">
        <v>70.78</v>
      </c>
      <c r="F4" s="45">
        <v>1439.73</v>
      </c>
      <c r="G4" s="45">
        <v>3726.41</v>
      </c>
      <c r="H4" s="45">
        <v>80.66</v>
      </c>
      <c r="I4" s="45">
        <v>377.85</v>
      </c>
      <c r="J4" s="45">
        <v>1091.32</v>
      </c>
      <c r="K4" s="45">
        <v>805.76</v>
      </c>
      <c r="L4" s="6">
        <v>1522.5244869999999</v>
      </c>
      <c r="M4" s="10">
        <v>2248.2020170000001</v>
      </c>
    </row>
    <row r="5" spans="1:76" x14ac:dyDescent="0.35">
      <c r="A5" s="43">
        <v>44196</v>
      </c>
      <c r="B5" s="45">
        <v>3198.93</v>
      </c>
      <c r="C5" s="45">
        <v>1911.54</v>
      </c>
      <c r="D5" s="45">
        <v>220.26</v>
      </c>
      <c r="E5" s="45">
        <v>72.209999999999994</v>
      </c>
      <c r="F5" s="45">
        <v>1461.77</v>
      </c>
      <c r="G5" s="45">
        <v>3775.69</v>
      </c>
      <c r="H5" s="45">
        <v>81.56</v>
      </c>
      <c r="I5" s="45">
        <v>394.69</v>
      </c>
      <c r="J5" s="45">
        <v>1094.8900000000001</v>
      </c>
      <c r="K5" s="45">
        <v>809.77</v>
      </c>
      <c r="L5" s="6">
        <v>1534.1329410000001</v>
      </c>
      <c r="M5" s="10">
        <v>2300.1048639999999</v>
      </c>
    </row>
    <row r="6" spans="1:76" x14ac:dyDescent="0.35">
      <c r="A6" s="43">
        <v>44286</v>
      </c>
      <c r="B6" s="45">
        <v>3238.58</v>
      </c>
      <c r="C6" s="45">
        <v>1943.24</v>
      </c>
      <c r="D6" s="45">
        <v>225.96</v>
      </c>
      <c r="E6" s="45">
        <v>73.41</v>
      </c>
      <c r="F6" s="45">
        <v>1483.8</v>
      </c>
      <c r="G6" s="45">
        <v>3837.49</v>
      </c>
      <c r="H6" s="45">
        <v>82.46</v>
      </c>
      <c r="I6" s="45">
        <v>404.24</v>
      </c>
      <c r="J6" s="45">
        <v>1098.5999999999999</v>
      </c>
      <c r="K6" s="45">
        <v>808.74</v>
      </c>
      <c r="L6" s="6">
        <v>1540.290469</v>
      </c>
      <c r="M6" s="10">
        <v>2336.5494659999999</v>
      </c>
    </row>
    <row r="7" spans="1:76" x14ac:dyDescent="0.35">
      <c r="A7" s="43">
        <v>44377</v>
      </c>
      <c r="B7" s="45">
        <v>3278.22</v>
      </c>
      <c r="C7" s="45">
        <v>1974.14</v>
      </c>
      <c r="D7" s="45">
        <v>231.66</v>
      </c>
      <c r="E7" s="45">
        <v>74.58</v>
      </c>
      <c r="F7" s="45">
        <v>1505.84</v>
      </c>
      <c r="G7" s="45">
        <v>3878.7</v>
      </c>
      <c r="H7" s="45">
        <v>83.36</v>
      </c>
      <c r="I7" s="45">
        <v>415.1</v>
      </c>
      <c r="J7" s="45">
        <v>1102.57</v>
      </c>
      <c r="K7" s="45">
        <v>808.56</v>
      </c>
      <c r="L7" s="6">
        <v>1547.356485</v>
      </c>
      <c r="M7" s="10">
        <v>2375.7581260000002</v>
      </c>
    </row>
    <row r="8" spans="1:76" x14ac:dyDescent="0.35">
      <c r="A8" s="43">
        <v>44469</v>
      </c>
      <c r="B8" s="45">
        <v>3317.87</v>
      </c>
      <c r="C8" s="45">
        <v>2007.17</v>
      </c>
      <c r="D8" s="45">
        <v>237.36</v>
      </c>
      <c r="E8" s="45">
        <v>75.83</v>
      </c>
      <c r="F8" s="45">
        <v>1527.88</v>
      </c>
      <c r="G8" s="45">
        <v>3919.3</v>
      </c>
      <c r="H8" s="45">
        <v>84.27</v>
      </c>
      <c r="I8" s="45">
        <v>421.76</v>
      </c>
      <c r="J8" s="45">
        <v>1106.8599999999999</v>
      </c>
      <c r="K8" s="45">
        <v>809.49</v>
      </c>
      <c r="L8" s="6">
        <v>1555.6338169999999</v>
      </c>
      <c r="M8" s="10">
        <v>2406.0603799999999</v>
      </c>
    </row>
    <row r="9" spans="1:76" x14ac:dyDescent="0.35">
      <c r="A9" s="43">
        <v>44561</v>
      </c>
      <c r="B9" s="45">
        <v>3354.44</v>
      </c>
      <c r="C9" s="45">
        <v>2029.29</v>
      </c>
      <c r="D9" s="45">
        <v>245.65</v>
      </c>
      <c r="E9" s="45">
        <v>76.66</v>
      </c>
      <c r="F9" s="45">
        <v>1552.99</v>
      </c>
      <c r="G9" s="45">
        <v>3969.08</v>
      </c>
      <c r="H9" s="45">
        <v>85.31</v>
      </c>
      <c r="I9" s="45">
        <v>424.76</v>
      </c>
      <c r="J9" s="45">
        <v>1111.48</v>
      </c>
      <c r="K9" s="45">
        <v>812.75</v>
      </c>
      <c r="L9" s="6">
        <v>1567.57356</v>
      </c>
      <c r="M9" s="10">
        <v>2431.1416370000002</v>
      </c>
    </row>
    <row r="16" spans="1:76" x14ac:dyDescent="0.35">
      <c r="A16" s="51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132</v>
      </c>
      <c r="U16" t="s">
        <v>19</v>
      </c>
      <c r="V16" t="s">
        <v>133</v>
      </c>
      <c r="W16" t="s">
        <v>134</v>
      </c>
      <c r="X16" t="s">
        <v>135</v>
      </c>
      <c r="Y16" t="s">
        <v>20</v>
      </c>
      <c r="Z16" t="s">
        <v>21</v>
      </c>
      <c r="AA16" t="s">
        <v>22</v>
      </c>
      <c r="AB16" t="s">
        <v>136</v>
      </c>
      <c r="AC16" t="s">
        <v>23</v>
      </c>
      <c r="AD16" t="s">
        <v>137</v>
      </c>
      <c r="AE16" t="s">
        <v>36</v>
      </c>
      <c r="AF16" t="s">
        <v>37</v>
      </c>
      <c r="AG16" t="s">
        <v>38</v>
      </c>
      <c r="AH16" t="s">
        <v>39</v>
      </c>
      <c r="AI16" t="s">
        <v>40</v>
      </c>
      <c r="AJ16" t="s">
        <v>41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  <c r="AQ16" t="s">
        <v>48</v>
      </c>
      <c r="AR16" t="s">
        <v>49</v>
      </c>
      <c r="AS16" t="s">
        <v>50</v>
      </c>
      <c r="AT16" t="s">
        <v>51</v>
      </c>
      <c r="AU16" t="s">
        <v>52</v>
      </c>
      <c r="AV16" t="s">
        <v>53</v>
      </c>
      <c r="AW16" t="s">
        <v>54</v>
      </c>
      <c r="AX16" t="s">
        <v>55</v>
      </c>
      <c r="AY16" t="s">
        <v>56</v>
      </c>
      <c r="AZ16" t="s">
        <v>57</v>
      </c>
      <c r="BA16" t="s">
        <v>58</v>
      </c>
      <c r="BB16" t="s">
        <v>59</v>
      </c>
      <c r="BC16" t="s">
        <v>60</v>
      </c>
      <c r="BD16" t="s">
        <v>61</v>
      </c>
      <c r="BE16" t="s">
        <v>62</v>
      </c>
      <c r="BF16" t="s">
        <v>63</v>
      </c>
      <c r="BG16" t="s">
        <v>64</v>
      </c>
      <c r="BH16" t="s">
        <v>65</v>
      </c>
      <c r="BI16" t="s">
        <v>66</v>
      </c>
      <c r="BJ16" t="s">
        <v>67</v>
      </c>
      <c r="BK16" t="s">
        <v>68</v>
      </c>
      <c r="BL16" t="s">
        <v>69</v>
      </c>
      <c r="BM16" t="s">
        <v>70</v>
      </c>
      <c r="BN16" t="s">
        <v>71</v>
      </c>
      <c r="BO16" t="s">
        <v>72</v>
      </c>
      <c r="BP16" t="s">
        <v>73</v>
      </c>
      <c r="BQ16" t="s">
        <v>74</v>
      </c>
      <c r="BR16" t="s">
        <v>75</v>
      </c>
      <c r="BS16" t="s">
        <v>76</v>
      </c>
      <c r="BT16" t="s">
        <v>77</v>
      </c>
      <c r="BU16" t="s">
        <v>78</v>
      </c>
      <c r="BV16" t="s">
        <v>79</v>
      </c>
      <c r="BW16" t="s">
        <v>80</v>
      </c>
      <c r="BX16" t="s">
        <v>81</v>
      </c>
    </row>
    <row r="17" spans="1:76" x14ac:dyDescent="0.35">
      <c r="A17" s="43">
        <v>43921</v>
      </c>
      <c r="B17">
        <v>179.27799999999999</v>
      </c>
      <c r="C17">
        <v>186.02099999999999</v>
      </c>
      <c r="D17">
        <v>1862.4</v>
      </c>
      <c r="E17">
        <v>62.7</v>
      </c>
      <c r="F17">
        <v>0.6</v>
      </c>
      <c r="G17">
        <v>1249.5219999999999</v>
      </c>
      <c r="H17">
        <v>1574.779</v>
      </c>
      <c r="I17">
        <v>3376.8</v>
      </c>
      <c r="J17">
        <v>180.5</v>
      </c>
      <c r="K17">
        <v>74.5</v>
      </c>
      <c r="L17">
        <v>1428.8</v>
      </c>
      <c r="M17">
        <v>1760.8</v>
      </c>
      <c r="N17">
        <v>5239.2</v>
      </c>
      <c r="O17">
        <v>243.2</v>
      </c>
      <c r="P17">
        <v>75.099999999999994</v>
      </c>
      <c r="Q17">
        <v>1452.6</v>
      </c>
      <c r="R17">
        <v>182.97800000000001</v>
      </c>
      <c r="S17">
        <v>72.239999999999995</v>
      </c>
      <c r="T17">
        <v>-6.8295576064203401E-4</v>
      </c>
      <c r="U17">
        <v>2381.6</v>
      </c>
      <c r="V17">
        <v>7.57268307846393E-3</v>
      </c>
      <c r="W17">
        <v>8.4565499351492192E-3</v>
      </c>
      <c r="X17">
        <v>3.7761433561331898E-3</v>
      </c>
      <c r="Y17">
        <v>21561.1</v>
      </c>
      <c r="Z17">
        <v>7.9955540033112005E-3</v>
      </c>
      <c r="AA17">
        <v>4.5350401479802302E-3</v>
      </c>
      <c r="AB17">
        <v>3.4605138553309698E-3</v>
      </c>
      <c r="AC17">
        <v>14545.5</v>
      </c>
      <c r="AD17">
        <v>3.1937319617476598E-3</v>
      </c>
      <c r="AE17">
        <v>2.3687032062497799E-2</v>
      </c>
      <c r="AF17">
        <v>3.4375680625075601E-2</v>
      </c>
      <c r="AG17">
        <v>-1.61386277794506E-2</v>
      </c>
      <c r="AH17">
        <v>-7.9876155016595701E-2</v>
      </c>
      <c r="AI17">
        <v>-9.6014782796046305E-2</v>
      </c>
      <c r="AJ17">
        <v>-6.6268034180989304</v>
      </c>
      <c r="AK17">
        <v>0.54601128888293704</v>
      </c>
      <c r="AL17">
        <v>56.327554853606202</v>
      </c>
      <c r="AM17">
        <v>30.3507498420277</v>
      </c>
      <c r="AN17">
        <v>-59.924814650606201</v>
      </c>
      <c r="AO17">
        <v>-4.6372632658366903E-3</v>
      </c>
      <c r="AP17">
        <v>-5.4991476540396302</v>
      </c>
      <c r="AQ17">
        <v>15.6221264664219</v>
      </c>
      <c r="AR17">
        <v>15.8377979861345</v>
      </c>
      <c r="AS17">
        <v>-8.8487428197906706</v>
      </c>
      <c r="AT17">
        <v>-6.6221661548331001</v>
      </c>
      <c r="AU17">
        <v>6.0451589429221704</v>
      </c>
      <c r="AV17">
        <v>40.705428387184803</v>
      </c>
      <c r="AW17">
        <v>14.714497610315</v>
      </c>
      <c r="AX17">
        <v>-50.975298953604501</v>
      </c>
      <c r="AY17">
        <v>2.94290614221562</v>
      </c>
      <c r="AZ17">
        <v>0.50842967519364801</v>
      </c>
      <c r="BA17">
        <v>2.4344764670218999</v>
      </c>
      <c r="BB17">
        <v>7.0233962666886702</v>
      </c>
      <c r="BC17">
        <v>2.9881325058223198</v>
      </c>
      <c r="BD17">
        <v>4.0352637608662203</v>
      </c>
      <c r="BE17">
        <v>-4.8770821449300996</v>
      </c>
      <c r="BF17">
        <v>2.0703147110083702</v>
      </c>
      <c r="BG17">
        <v>-6.95370955312492</v>
      </c>
      <c r="BH17">
        <v>2.9504939161377299</v>
      </c>
      <c r="BI17">
        <v>-6.7914645768652596E-2</v>
      </c>
      <c r="BJ17">
        <v>3.0183460661669299</v>
      </c>
      <c r="BK17">
        <v>0.28556824582613899</v>
      </c>
      <c r="BL17">
        <v>1.04116187872619E-3</v>
      </c>
      <c r="BM17">
        <v>0.287820510607247</v>
      </c>
      <c r="BN17">
        <v>8.3252824259380507</v>
      </c>
      <c r="BO17">
        <v>5.50000340813442</v>
      </c>
      <c r="BP17">
        <v>2.8221972515373799</v>
      </c>
      <c r="BQ17">
        <v>0.10116158084432</v>
      </c>
      <c r="BR17">
        <v>5.1908683365135697E-2</v>
      </c>
      <c r="BS17">
        <v>5.4128882389906201E-2</v>
      </c>
      <c r="BT17">
        <v>0.129181350721257</v>
      </c>
      <c r="BU17">
        <v>-8.9704187993601095E-2</v>
      </c>
      <c r="BV17">
        <v>5.4268444340707003E-2</v>
      </c>
      <c r="BW17" s="58">
        <v>1.9150093872852601E-5</v>
      </c>
      <c r="BX17">
        <v>5.2938836018512E-3</v>
      </c>
    </row>
    <row r="18" spans="1:76" x14ac:dyDescent="0.35">
      <c r="A18" s="43">
        <v>44012</v>
      </c>
      <c r="B18">
        <v>61.09</v>
      </c>
      <c r="C18">
        <v>465.21800000000002</v>
      </c>
      <c r="D18">
        <v>1816.2</v>
      </c>
      <c r="E18">
        <v>54.4</v>
      </c>
      <c r="F18">
        <v>0.6</v>
      </c>
      <c r="G18">
        <v>1420.71</v>
      </c>
      <c r="H18">
        <v>3690.1819999999998</v>
      </c>
      <c r="I18">
        <v>3097</v>
      </c>
      <c r="J18">
        <v>173.4</v>
      </c>
      <c r="K18">
        <v>1086.2</v>
      </c>
      <c r="L18">
        <v>1481.8</v>
      </c>
      <c r="M18">
        <v>4155.3999999999996</v>
      </c>
      <c r="N18">
        <v>4913.1000000000004</v>
      </c>
      <c r="O18">
        <v>227.8</v>
      </c>
      <c r="P18">
        <v>1086.8</v>
      </c>
      <c r="Q18">
        <v>1509.2</v>
      </c>
      <c r="R18">
        <v>800.29</v>
      </c>
      <c r="S18">
        <v>72.525000000000006</v>
      </c>
      <c r="T18">
        <v>-2.1851535452541699E-3</v>
      </c>
      <c r="U18">
        <v>2333.1</v>
      </c>
      <c r="V18">
        <v>-6.2645687645688196E-3</v>
      </c>
      <c r="W18">
        <v>-7.1595157252117804E-3</v>
      </c>
      <c r="X18">
        <v>-2.4452595309547602E-3</v>
      </c>
      <c r="Y18">
        <v>19486.5</v>
      </c>
      <c r="Z18">
        <v>-4.4671511356564298E-4</v>
      </c>
      <c r="AA18">
        <v>4.5982663646491097E-3</v>
      </c>
      <c r="AB18">
        <v>-5.0449814782147504E-3</v>
      </c>
      <c r="AC18">
        <v>13046.7</v>
      </c>
      <c r="AD18">
        <v>-4.4642051911041297E-3</v>
      </c>
      <c r="AE18">
        <v>11.461022903015101</v>
      </c>
      <c r="AF18">
        <v>2.4018586497708502E-3</v>
      </c>
      <c r="AG18">
        <v>0.98500934216801495</v>
      </c>
      <c r="AH18">
        <v>-0.82614586833420101</v>
      </c>
      <c r="AI18">
        <v>0.158863473833813</v>
      </c>
      <c r="AJ18">
        <v>1011.68993200587</v>
      </c>
      <c r="AK18">
        <v>52.808453395238999</v>
      </c>
      <c r="AL18">
        <v>2394.3639450856199</v>
      </c>
      <c r="AM18">
        <v>-326.80237330043701</v>
      </c>
      <c r="AN18">
        <v>-15.4326036774061</v>
      </c>
      <c r="AO18" s="58">
        <v>-8.0436704126940497E-5</v>
      </c>
      <c r="AP18">
        <v>-118.212034219071</v>
      </c>
      <c r="AQ18">
        <v>279.17206180643598</v>
      </c>
      <c r="AR18">
        <v>-46.449675529610197</v>
      </c>
      <c r="AS18">
        <v>-8.3084056355812699</v>
      </c>
      <c r="AT18">
        <v>1011.69001244257</v>
      </c>
      <c r="AU18">
        <v>171.02048761431001</v>
      </c>
      <c r="AV18">
        <v>2115.1918832791898</v>
      </c>
      <c r="AW18">
        <v>-280.25269777082701</v>
      </c>
      <c r="AX18">
        <v>-7.1241980418248501</v>
      </c>
      <c r="AY18">
        <v>11.893597716813799</v>
      </c>
      <c r="AZ18">
        <v>-26.632568621487099</v>
      </c>
      <c r="BA18">
        <v>38.526166338300797</v>
      </c>
      <c r="BB18">
        <v>568.94418205398597</v>
      </c>
      <c r="BC18">
        <v>67.9773158876134</v>
      </c>
      <c r="BD18">
        <v>500.96687976616801</v>
      </c>
      <c r="BE18">
        <v>31.8037914620244</v>
      </c>
      <c r="BF18">
        <v>4.3751922700312598</v>
      </c>
      <c r="BG18">
        <v>27.398346687037002</v>
      </c>
      <c r="BH18">
        <v>3.6220972127552402</v>
      </c>
      <c r="BI18">
        <v>0.151074732253622</v>
      </c>
      <c r="BJ18">
        <v>3.4709599847621702</v>
      </c>
      <c r="BK18">
        <v>49.338454923658901</v>
      </c>
      <c r="BL18">
        <v>-2.0798744406792398E-3</v>
      </c>
      <c r="BM18">
        <v>49.337207639304999</v>
      </c>
      <c r="BN18">
        <v>665.60212336923905</v>
      </c>
      <c r="BO18">
        <v>45.868934393970598</v>
      </c>
      <c r="BP18">
        <v>619.69956041557305</v>
      </c>
      <c r="BQ18">
        <v>0.85095722192226897</v>
      </c>
      <c r="BR18">
        <v>11.4966223507256</v>
      </c>
      <c r="BS18">
        <v>0.220649182403752</v>
      </c>
      <c r="BT18">
        <v>10.555012166429099</v>
      </c>
      <c r="BU18">
        <v>0.59002168650067699</v>
      </c>
      <c r="BV18">
        <v>6.7196890933305595E-2</v>
      </c>
      <c r="BW18" s="58">
        <v>-3.8585683303342298E-5</v>
      </c>
      <c r="BX18">
        <v>0.91530038150753001</v>
      </c>
    </row>
    <row r="19" spans="1:76" x14ac:dyDescent="0.35">
      <c r="A19" s="43">
        <v>44104</v>
      </c>
      <c r="B19">
        <v>63.009813793412498</v>
      </c>
      <c r="C19">
        <v>405.08098280863499</v>
      </c>
      <c r="D19">
        <v>1895.1488054536601</v>
      </c>
      <c r="E19">
        <v>56.7647258103067</v>
      </c>
      <c r="F19">
        <v>0.60199647986336002</v>
      </c>
      <c r="G19">
        <v>1460.7042835549901</v>
      </c>
      <c r="H19">
        <v>4207.1388100548502</v>
      </c>
      <c r="I19">
        <v>3077.6723691114898</v>
      </c>
      <c r="J19">
        <v>163.507021090991</v>
      </c>
      <c r="K19">
        <v>1089.81429404597</v>
      </c>
      <c r="L19">
        <v>1523.7140973483999</v>
      </c>
      <c r="M19">
        <v>4612.2197928634896</v>
      </c>
      <c r="N19">
        <v>4972.8211745651497</v>
      </c>
      <c r="O19">
        <v>220.271746901298</v>
      </c>
      <c r="P19">
        <v>1090.4162905258299</v>
      </c>
      <c r="Q19">
        <v>1522.5244866564101</v>
      </c>
      <c r="R19">
        <v>793.87394730358403</v>
      </c>
      <c r="S19">
        <v>73.165311684837107</v>
      </c>
      <c r="T19">
        <v>5.5881685241763197E-3</v>
      </c>
      <c r="U19">
        <v>2251.0965730855401</v>
      </c>
      <c r="V19">
        <v>2.3918522134369598E-3</v>
      </c>
      <c r="W19">
        <v>2.3918522134369598E-3</v>
      </c>
      <c r="X19">
        <v>2.3918522134369598E-3</v>
      </c>
      <c r="Y19">
        <v>20333.563042326099</v>
      </c>
      <c r="Z19">
        <v>6.8735657297140903E-3</v>
      </c>
      <c r="AA19">
        <v>3.3274664389340001E-3</v>
      </c>
      <c r="AB19">
        <v>3.5460992907800901E-3</v>
      </c>
      <c r="AC19">
        <v>13910.4720836289</v>
      </c>
      <c r="AD19">
        <v>4.0155719093093499E-3</v>
      </c>
      <c r="AE19">
        <v>-0.22565706967844401</v>
      </c>
      <c r="AF19">
        <v>4.6292171415886502E-3</v>
      </c>
      <c r="AG19">
        <v>-2.6888282639800998E-3</v>
      </c>
      <c r="AH19">
        <v>-1.95719435018717</v>
      </c>
      <c r="AI19">
        <v>-1.9598831784511499</v>
      </c>
      <c r="AJ19">
        <v>-4.3641235510372098</v>
      </c>
      <c r="AK19">
        <v>31.033183123976599</v>
      </c>
      <c r="AL19">
        <v>426.306531311198</v>
      </c>
      <c r="AM19">
        <v>23.644092856392501</v>
      </c>
      <c r="AN19">
        <v>-9.2009972344317195</v>
      </c>
      <c r="AO19">
        <v>-2.40934314558561E-3</v>
      </c>
      <c r="AP19">
        <v>1.47122758071827</v>
      </c>
      <c r="AQ19">
        <v>-63.553130805657602</v>
      </c>
      <c r="AR19">
        <v>65.612379205578193</v>
      </c>
      <c r="AS19">
        <v>1.96526452416224</v>
      </c>
      <c r="AT19">
        <v>-4.3617142078917404</v>
      </c>
      <c r="AU19">
        <v>29.561955543258399</v>
      </c>
      <c r="AV19">
        <v>489.85966211685599</v>
      </c>
      <c r="AW19">
        <v>-42.069020653020303</v>
      </c>
      <c r="AX19">
        <v>-11.166261758593899</v>
      </c>
      <c r="AY19">
        <v>17.468895751120701</v>
      </c>
      <c r="AZ19">
        <v>-27.981488328395301</v>
      </c>
      <c r="BA19">
        <v>45.450384079515899</v>
      </c>
      <c r="BB19">
        <v>554.47158005668496</v>
      </c>
      <c r="BC19">
        <v>39.564511825315897</v>
      </c>
      <c r="BD19">
        <v>514.90708183116396</v>
      </c>
      <c r="BE19">
        <v>32.393443596854198</v>
      </c>
      <c r="BF19">
        <v>-1.8856528324839901</v>
      </c>
      <c r="BG19">
        <v>34.285075617159301</v>
      </c>
      <c r="BH19">
        <v>3.84077772785938</v>
      </c>
      <c r="BI19">
        <v>0.11105379122780901</v>
      </c>
      <c r="BJ19">
        <v>3.7296614408921198</v>
      </c>
      <c r="BK19">
        <v>42.314490695724999</v>
      </c>
      <c r="BL19">
        <v>-1.9899000306823102E-3</v>
      </c>
      <c r="BM19">
        <v>42.316480595755699</v>
      </c>
      <c r="BN19">
        <v>650.48918782824398</v>
      </c>
      <c r="BO19">
        <v>9.8064345556336896</v>
      </c>
      <c r="BP19">
        <v>640.68868356448695</v>
      </c>
      <c r="BQ19">
        <v>0.20129699136599599</v>
      </c>
      <c r="BR19">
        <v>13.151436811423</v>
      </c>
      <c r="BS19">
        <v>0.358584573958806</v>
      </c>
      <c r="BT19">
        <v>11.381655608892</v>
      </c>
      <c r="BU19">
        <v>0.66494123822860396</v>
      </c>
      <c r="BV19">
        <v>7.8839765537359302E-2</v>
      </c>
      <c r="BW19" s="58">
        <v>-4.08467406806211E-5</v>
      </c>
      <c r="BX19">
        <v>0.86863173162457497</v>
      </c>
    </row>
    <row r="20" spans="1:76" x14ac:dyDescent="0.35">
      <c r="A20" s="43">
        <v>44196</v>
      </c>
      <c r="B20">
        <v>65.414387073439201</v>
      </c>
      <c r="C20">
        <v>404.20608325604502</v>
      </c>
      <c r="D20">
        <v>1933.47191075455</v>
      </c>
      <c r="E20">
        <v>57.912604308472503</v>
      </c>
      <c r="F20">
        <v>0.60396796467365799</v>
      </c>
      <c r="G20">
        <v>1471.3575997539101</v>
      </c>
      <c r="H20">
        <v>3554.8225332396901</v>
      </c>
      <c r="I20">
        <v>3071.6414090328499</v>
      </c>
      <c r="J20">
        <v>156.12224225230901</v>
      </c>
      <c r="K20">
        <v>1093.3833387142099</v>
      </c>
      <c r="L20">
        <v>1536.77198682735</v>
      </c>
      <c r="M20">
        <v>3959.0286164957301</v>
      </c>
      <c r="N20">
        <v>5005.1133197874096</v>
      </c>
      <c r="O20">
        <v>214.03484656078101</v>
      </c>
      <c r="P20">
        <v>1093.98730667889</v>
      </c>
      <c r="Q20">
        <v>1534.13294094041</v>
      </c>
      <c r="R20">
        <v>781.13535139200803</v>
      </c>
      <c r="S20">
        <v>73.723158986021005</v>
      </c>
      <c r="T20">
        <v>3.65066307183137E-3</v>
      </c>
      <c r="U20">
        <v>2303.06624489258</v>
      </c>
      <c r="V20">
        <v>3.4588239430768399E-3</v>
      </c>
      <c r="W20">
        <v>3.4588239430768399E-3</v>
      </c>
      <c r="X20">
        <v>3.4588239430768399E-3</v>
      </c>
      <c r="Y20">
        <v>20744.741982666299</v>
      </c>
      <c r="Z20">
        <v>4.1583030873304496E-3</v>
      </c>
      <c r="AA20">
        <v>3.27491086118203E-3</v>
      </c>
      <c r="AB20">
        <v>8.8339222614841595E-4</v>
      </c>
      <c r="AC20">
        <v>14180.0236886737</v>
      </c>
      <c r="AD20">
        <v>1.66642454500399E-3</v>
      </c>
      <c r="AE20">
        <v>-0.35575334245325002</v>
      </c>
      <c r="AF20">
        <v>1.28204772162341E-3</v>
      </c>
      <c r="AG20">
        <v>2.0932846537859401E-2</v>
      </c>
      <c r="AH20">
        <v>0.72415020207680503</v>
      </c>
      <c r="AI20">
        <v>0.74508304861466401</v>
      </c>
      <c r="AJ20">
        <v>-1.8170964708042401</v>
      </c>
      <c r="AK20">
        <v>5.5287070608103503</v>
      </c>
      <c r="AL20">
        <v>-675.98170133134499</v>
      </c>
      <c r="AM20">
        <v>7.7197678837501398</v>
      </c>
      <c r="AN20">
        <v>-7.32533692246255</v>
      </c>
      <c r="AO20">
        <v>-1.0031817100503201E-3</v>
      </c>
      <c r="AP20">
        <v>2.0932206561921598</v>
      </c>
      <c r="AQ20">
        <v>-2.8765405553152199</v>
      </c>
      <c r="AR20">
        <v>28.958539408517499</v>
      </c>
      <c r="AS20">
        <v>0.86738494869692295</v>
      </c>
      <c r="AT20">
        <v>-1.8160932890943999</v>
      </c>
      <c r="AU20">
        <v>3.4354864046183602</v>
      </c>
      <c r="AV20">
        <v>-673.10516077602801</v>
      </c>
      <c r="AW20">
        <v>-21.2387715247669</v>
      </c>
      <c r="AX20">
        <v>-8.1927218711594794</v>
      </c>
      <c r="AY20">
        <v>20.231179845504499</v>
      </c>
      <c r="AZ20">
        <v>-27.033015068145001</v>
      </c>
      <c r="BA20">
        <v>47.264194913649497</v>
      </c>
      <c r="BB20">
        <v>335.23076316828201</v>
      </c>
      <c r="BC20">
        <v>37.102898517822403</v>
      </c>
      <c r="BD20">
        <v>298.13013785025498</v>
      </c>
      <c r="BE20">
        <v>11.133356912104199</v>
      </c>
      <c r="BF20">
        <v>-9.4057041611218892</v>
      </c>
      <c r="BG20">
        <v>20.544991157335399</v>
      </c>
      <c r="BH20">
        <v>2.98743037597231</v>
      </c>
      <c r="BI20">
        <v>0.106039914063648</v>
      </c>
      <c r="BJ20">
        <v>2.8779946328358799</v>
      </c>
      <c r="BK20">
        <v>40.085937569611502</v>
      </c>
      <c r="BL20">
        <v>-1.77691302104395E-3</v>
      </c>
      <c r="BM20">
        <v>40.087714482632499</v>
      </c>
      <c r="BN20">
        <v>409.66866787147501</v>
      </c>
      <c r="BO20">
        <v>0.76844228959806904</v>
      </c>
      <c r="BP20">
        <v>408.90503303670903</v>
      </c>
      <c r="BQ20">
        <v>1.51167267241553E-2</v>
      </c>
      <c r="BR20">
        <v>8.0439425630527506</v>
      </c>
      <c r="BS20">
        <v>0.39798592707813202</v>
      </c>
      <c r="BT20">
        <v>6.5946290371337204</v>
      </c>
      <c r="BU20">
        <v>0.219014383045984</v>
      </c>
      <c r="BV20">
        <v>5.8768458233388998E-2</v>
      </c>
      <c r="BW20" s="58">
        <v>-3.4955271092334399E-5</v>
      </c>
      <c r="BX20">
        <v>0.78860186774322505</v>
      </c>
    </row>
    <row r="21" spans="1:76" x14ac:dyDescent="0.35">
      <c r="A21" s="43">
        <v>44286</v>
      </c>
      <c r="B21">
        <v>67.818960353465997</v>
      </c>
      <c r="C21">
        <v>395.88157173561501</v>
      </c>
      <c r="D21">
        <v>1965.5383751259999</v>
      </c>
      <c r="E21">
        <v>58.8730798407964</v>
      </c>
      <c r="F21">
        <v>0.60601443464314297</v>
      </c>
      <c r="G21">
        <v>1482.0109159528199</v>
      </c>
      <c r="H21">
        <v>2989.5220552605201</v>
      </c>
      <c r="I21">
        <v>3065.6104489542199</v>
      </c>
      <c r="J21">
        <v>148.73746341362599</v>
      </c>
      <c r="K21">
        <v>1097.08813151564</v>
      </c>
      <c r="L21">
        <v>1549.8298763062901</v>
      </c>
      <c r="M21">
        <v>3385.4036269961298</v>
      </c>
      <c r="N21">
        <v>5031.14882408022</v>
      </c>
      <c r="O21">
        <v>207.61054325442299</v>
      </c>
      <c r="P21">
        <v>1097.69414595028</v>
      </c>
      <c r="Q21">
        <v>1540.2904688649601</v>
      </c>
      <c r="R21">
        <v>763.35143409724697</v>
      </c>
      <c r="S21">
        <v>74.019060597953299</v>
      </c>
      <c r="T21">
        <v>3.9389826120605998E-3</v>
      </c>
      <c r="U21">
        <v>2339.5577698695101</v>
      </c>
      <c r="V21">
        <v>3.1885362715387E-3</v>
      </c>
      <c r="W21">
        <v>3.1885362715387E-3</v>
      </c>
      <c r="X21">
        <v>3.1885362715387E-3</v>
      </c>
      <c r="Y21">
        <v>21088.791733780901</v>
      </c>
      <c r="Z21">
        <v>5.15360009464794E-3</v>
      </c>
      <c r="AA21">
        <v>3.3883750284520201E-3</v>
      </c>
      <c r="AB21">
        <v>1.7652250661959201E-3</v>
      </c>
      <c r="AC21">
        <v>14317.3139651238</v>
      </c>
      <c r="AD21">
        <v>2.17232854368143E-3</v>
      </c>
      <c r="AE21">
        <v>-0.44196982991266998</v>
      </c>
      <c r="AF21">
        <v>-3.6437004737249101E-3</v>
      </c>
      <c r="AG21">
        <v>-9.8022193885194897E-2</v>
      </c>
      <c r="AH21">
        <v>0.411563808971113</v>
      </c>
      <c r="AI21">
        <v>0.31354161508591799</v>
      </c>
      <c r="AJ21">
        <v>-2.3764998527237799</v>
      </c>
      <c r="AK21">
        <v>4.5123560022377696</v>
      </c>
      <c r="AL21">
        <v>-595.63997406952899</v>
      </c>
      <c r="AM21">
        <v>-1.79644722346438</v>
      </c>
      <c r="AN21">
        <v>-7.6144876421902001</v>
      </c>
      <c r="AO21">
        <v>-1.3120168491297401E-3</v>
      </c>
      <c r="AP21">
        <v>2.0408232641585502</v>
      </c>
      <c r="AQ21">
        <v>-10.57218173147</v>
      </c>
      <c r="AR21">
        <v>21.315000210694699</v>
      </c>
      <c r="AS21">
        <v>0.63844070667426001</v>
      </c>
      <c r="AT21">
        <v>-2.3751878358746099</v>
      </c>
      <c r="AU21">
        <v>2.4715327380790799</v>
      </c>
      <c r="AV21">
        <v>-585.06779233805901</v>
      </c>
      <c r="AW21">
        <v>-23.111447434158901</v>
      </c>
      <c r="AX21">
        <v>-8.2529283488644598</v>
      </c>
      <c r="AY21">
        <v>21.123607406009299</v>
      </c>
      <c r="AZ21">
        <v>-25.336521611550399</v>
      </c>
      <c r="BA21">
        <v>46.460129017559801</v>
      </c>
      <c r="BB21">
        <v>192.773178103085</v>
      </c>
      <c r="BC21">
        <v>31.469818177357499</v>
      </c>
      <c r="BD21">
        <v>161.30335992572699</v>
      </c>
      <c r="BE21">
        <v>17.387452263462698</v>
      </c>
      <c r="BF21">
        <v>-7.1552446164157999</v>
      </c>
      <c r="BG21">
        <v>24.536582905757701</v>
      </c>
      <c r="BH21">
        <v>1.9754277649251899</v>
      </c>
      <c r="BI21">
        <v>6.4408383346828899E-2</v>
      </c>
      <c r="BJ21">
        <v>1.9109936190046599</v>
      </c>
      <c r="BK21">
        <v>37.881682168857203</v>
      </c>
      <c r="BL21">
        <v>-1.59197448851555E-3</v>
      </c>
      <c r="BM21">
        <v>37.883274143345702</v>
      </c>
      <c r="BN21">
        <v>271.14134770633899</v>
      </c>
      <c r="BO21">
        <v>-0.959131641750398</v>
      </c>
      <c r="BP21">
        <v>272.09433961139501</v>
      </c>
      <c r="BQ21">
        <v>-1.8493971003386199E-2</v>
      </c>
      <c r="BR21">
        <v>5.24652154919543</v>
      </c>
      <c r="BS21">
        <v>0.40730528099427898</v>
      </c>
      <c r="BT21">
        <v>3.7170513523698601</v>
      </c>
      <c r="BU21">
        <v>0.33526475823109397</v>
      </c>
      <c r="BV21">
        <v>3.8090187220950603E-2</v>
      </c>
      <c r="BW21" s="58">
        <v>-3.0696443269253597E-5</v>
      </c>
      <c r="BX21">
        <v>0.73046508218805095</v>
      </c>
    </row>
    <row r="22" spans="1:76" x14ac:dyDescent="0.35">
      <c r="A22" s="43">
        <v>44377</v>
      </c>
      <c r="B22">
        <v>70.223533633492494</v>
      </c>
      <c r="C22">
        <v>388.889110037249</v>
      </c>
      <c r="D22">
        <v>1996.7932691808101</v>
      </c>
      <c r="E22">
        <v>59.809246692784903</v>
      </c>
      <c r="F22">
        <v>0.60820462616773796</v>
      </c>
      <c r="G22">
        <v>1492.66423215174</v>
      </c>
      <c r="H22">
        <v>2477.7061140139999</v>
      </c>
      <c r="I22">
        <v>3059.57948887558</v>
      </c>
      <c r="J22">
        <v>141.35268457494399</v>
      </c>
      <c r="K22">
        <v>1101.05310823899</v>
      </c>
      <c r="L22">
        <v>1562.8877657852299</v>
      </c>
      <c r="M22">
        <v>2866.5952240512502</v>
      </c>
      <c r="N22">
        <v>5056.37275805639</v>
      </c>
      <c r="O22">
        <v>201.16193126772899</v>
      </c>
      <c r="P22">
        <v>1101.66131286516</v>
      </c>
      <c r="Q22">
        <v>1547.3564845160899</v>
      </c>
      <c r="R22">
        <v>746.40840369968305</v>
      </c>
      <c r="S22">
        <v>74.358619824760893</v>
      </c>
      <c r="T22">
        <v>5.4103370672069504E-3</v>
      </c>
      <c r="U22">
        <v>2378.81691050481</v>
      </c>
      <c r="V22">
        <v>5.8029141236253202E-3</v>
      </c>
      <c r="W22">
        <v>5.8029141236253202E-3</v>
      </c>
      <c r="X22">
        <v>5.8029141236253202E-3</v>
      </c>
      <c r="Y22">
        <v>21424.133927921899</v>
      </c>
      <c r="Z22">
        <v>7.1383204222088504E-3</v>
      </c>
      <c r="AA22">
        <v>3.6140913473188302E-3</v>
      </c>
      <c r="AB22">
        <v>3.5242290748900302E-3</v>
      </c>
      <c r="AC22">
        <v>14423.7265017423</v>
      </c>
      <c r="AD22">
        <v>3.4348756747632999E-3</v>
      </c>
      <c r="AE22">
        <v>-0.45771261499170102</v>
      </c>
      <c r="AF22">
        <v>-6.7804486157428297E-3</v>
      </c>
      <c r="AG22">
        <v>-0.129627633654778</v>
      </c>
      <c r="AH22">
        <v>0.32676148608837202</v>
      </c>
      <c r="AI22">
        <v>0.19713385243359399</v>
      </c>
      <c r="AJ22">
        <v>-3.7704429202547098</v>
      </c>
      <c r="AK22">
        <v>2.1331897910222302</v>
      </c>
      <c r="AL22">
        <v>-542.67200146801395</v>
      </c>
      <c r="AM22">
        <v>-10.240468167959101</v>
      </c>
      <c r="AN22">
        <v>-7.9120518595310596</v>
      </c>
      <c r="AO22">
        <v>-2.0815842401111801E-3</v>
      </c>
      <c r="AP22">
        <v>1.9265196650230401</v>
      </c>
      <c r="AQ22">
        <v>-9.7830178421805307</v>
      </c>
      <c r="AR22">
        <v>17.399878867906398</v>
      </c>
      <c r="AS22">
        <v>0.52117245370230603</v>
      </c>
      <c r="AT22">
        <v>-3.76836133601455</v>
      </c>
      <c r="AU22">
        <v>0.20667012599915299</v>
      </c>
      <c r="AV22">
        <v>-532.88898362583302</v>
      </c>
      <c r="AW22">
        <v>-27.640347035865499</v>
      </c>
      <c r="AX22">
        <v>-8.4332243132333495</v>
      </c>
      <c r="AY22">
        <v>9.7216730950605701</v>
      </c>
      <c r="AZ22">
        <v>1.6946530123707</v>
      </c>
      <c r="BA22">
        <v>8.0270200826898606</v>
      </c>
      <c r="BB22">
        <v>-228.196335644979</v>
      </c>
      <c r="BC22">
        <v>-8.3243209097904494</v>
      </c>
      <c r="BD22">
        <v>-219.872014735188</v>
      </c>
      <c r="BE22">
        <v>19.659012590256999</v>
      </c>
      <c r="BF22">
        <v>-5.3741018076996401</v>
      </c>
      <c r="BG22">
        <v>25.033065710921299</v>
      </c>
      <c r="BH22">
        <v>2.8708688079081601</v>
      </c>
      <c r="BI22">
        <v>0.20851013733712601</v>
      </c>
      <c r="BJ22">
        <v>2.6623329079973401</v>
      </c>
      <c r="BK22">
        <v>35.559372819139497</v>
      </c>
      <c r="BL22">
        <v>-1.4633818202753001E-3</v>
      </c>
      <c r="BM22">
        <v>35.560836200959798</v>
      </c>
      <c r="BN22">
        <v>-160.38540833261399</v>
      </c>
      <c r="BO22">
        <v>-11.796722949602501</v>
      </c>
      <c r="BP22">
        <v>-148.58875983262001</v>
      </c>
      <c r="BQ22">
        <v>-0.223753415530318</v>
      </c>
      <c r="BR22">
        <v>-2.81834562564539</v>
      </c>
      <c r="BS22">
        <v>0.184395070476949</v>
      </c>
      <c r="BT22">
        <v>-4.3282960641020498</v>
      </c>
      <c r="BU22">
        <v>0.37288077645086498</v>
      </c>
      <c r="BV22">
        <v>5.4452978513880201E-2</v>
      </c>
      <c r="BW22" s="58">
        <v>-2.7756579679834299E-5</v>
      </c>
      <c r="BX22">
        <v>0.67449736618142997</v>
      </c>
    </row>
    <row r="23" spans="1:76" x14ac:dyDescent="0.35">
      <c r="A23" s="43">
        <v>44469</v>
      </c>
      <c r="B23">
        <v>72.628106913519204</v>
      </c>
      <c r="C23">
        <v>377.60448780112102</v>
      </c>
      <c r="D23">
        <v>2030.19976826113</v>
      </c>
      <c r="E23">
        <v>60.809859813569702</v>
      </c>
      <c r="F23">
        <v>0.61056978306376897</v>
      </c>
      <c r="G23">
        <v>1503.31754835066</v>
      </c>
      <c r="H23">
        <v>2040.9880786444501</v>
      </c>
      <c r="I23">
        <v>3053.54852879694</v>
      </c>
      <c r="J23">
        <v>133.967905736261</v>
      </c>
      <c r="K23">
        <v>1105.3348306064399</v>
      </c>
      <c r="L23">
        <v>1575.94565526418</v>
      </c>
      <c r="M23">
        <v>2418.5925664455699</v>
      </c>
      <c r="N23">
        <v>5083.7482970580704</v>
      </c>
      <c r="O23">
        <v>194.777765549831</v>
      </c>
      <c r="P23">
        <v>1105.94540038951</v>
      </c>
      <c r="Q23">
        <v>1555.6338171359801</v>
      </c>
      <c r="R23">
        <v>730.58655583171605</v>
      </c>
      <c r="S23">
        <v>74.756389204735498</v>
      </c>
      <c r="T23">
        <v>4.6760126561193899E-3</v>
      </c>
      <c r="U23">
        <v>2409.1581784631599</v>
      </c>
      <c r="V23">
        <v>5.5851895345160303E-3</v>
      </c>
      <c r="W23">
        <v>5.5851895345160303E-3</v>
      </c>
      <c r="X23">
        <v>5.5851895345160303E-3</v>
      </c>
      <c r="Y23">
        <v>21782.561273108899</v>
      </c>
      <c r="Z23">
        <v>7.4006044029057997E-3</v>
      </c>
      <c r="AA23">
        <v>3.8887519007109201E-3</v>
      </c>
      <c r="AB23">
        <v>3.5118525021948801E-3</v>
      </c>
      <c r="AC23">
        <v>14556.9936199081</v>
      </c>
      <c r="AD23">
        <v>3.8219263490924002E-3</v>
      </c>
      <c r="AE23">
        <v>-0.42742969117724799</v>
      </c>
      <c r="AF23">
        <v>-5.7262492940227203E-3</v>
      </c>
      <c r="AG23">
        <v>-9.2893582017599396E-2</v>
      </c>
      <c r="AH23">
        <v>0.145714097743364</v>
      </c>
      <c r="AI23">
        <v>5.2820515725764197E-2</v>
      </c>
      <c r="AJ23">
        <v>-4.21046839941505</v>
      </c>
      <c r="AK23">
        <v>1.0069647764194101</v>
      </c>
      <c r="AL23">
        <v>-470.10605105075899</v>
      </c>
      <c r="AM23">
        <v>-11.612524446761199</v>
      </c>
      <c r="AN23">
        <v>-7.9352606460122699</v>
      </c>
      <c r="AO23">
        <v>-2.3245132863902698E-3</v>
      </c>
      <c r="AP23">
        <v>1.8631022066146401</v>
      </c>
      <c r="AQ23">
        <v>-14.2832210384775</v>
      </c>
      <c r="AR23">
        <v>18.009868650292901</v>
      </c>
      <c r="AS23">
        <v>0.53944326317362401</v>
      </c>
      <c r="AT23">
        <v>-4.2081438861287097</v>
      </c>
      <c r="AU23">
        <v>-0.85613743019530397</v>
      </c>
      <c r="AV23">
        <v>-455.82283001228097</v>
      </c>
      <c r="AW23">
        <v>-29.622393097054101</v>
      </c>
      <c r="AX23">
        <v>-8.4747039091859104</v>
      </c>
      <c r="AY23">
        <v>2.9657739668601999</v>
      </c>
      <c r="AZ23">
        <v>1.7828248031973899</v>
      </c>
      <c r="BA23">
        <v>1.18294916366279</v>
      </c>
      <c r="BB23">
        <v>-355.32443205373698</v>
      </c>
      <c r="BC23">
        <v>-2.1969911161756901</v>
      </c>
      <c r="BD23">
        <v>-353.12744093755998</v>
      </c>
      <c r="BE23">
        <v>18.4481754999522</v>
      </c>
      <c r="BF23">
        <v>-8.4553019160318197</v>
      </c>
      <c r="BG23">
        <v>26.9034287289487</v>
      </c>
      <c r="BH23">
        <v>3.4204016949230298</v>
      </c>
      <c r="BI23">
        <v>0.216692428895817</v>
      </c>
      <c r="BJ23">
        <v>3.2036835034535098</v>
      </c>
      <c r="BK23">
        <v>35.367261119059698</v>
      </c>
      <c r="BL23">
        <v>-1.37336975627235E-3</v>
      </c>
      <c r="BM23">
        <v>35.368634488815999</v>
      </c>
      <c r="BN23">
        <v>-295.122819772941</v>
      </c>
      <c r="BO23">
        <v>-8.6541491698705801</v>
      </c>
      <c r="BP23">
        <v>-286.46874505267903</v>
      </c>
      <c r="BQ23">
        <v>-0.16157757786589799</v>
      </c>
      <c r="BR23">
        <v>-5.3485241646912298</v>
      </c>
      <c r="BS23">
        <v>5.5372580788340203E-2</v>
      </c>
      <c r="BT23">
        <v>-6.6340965426965397</v>
      </c>
      <c r="BU23">
        <v>0.34443726989418699</v>
      </c>
      <c r="BV23">
        <v>6.3860722798511696E-2</v>
      </c>
      <c r="BW23" s="58">
        <v>-2.5641545387885201E-5</v>
      </c>
      <c r="BX23">
        <v>0.66035125821763596</v>
      </c>
    </row>
    <row r="24" spans="1:76" x14ac:dyDescent="0.35">
      <c r="A24" s="43">
        <v>44561</v>
      </c>
      <c r="B24">
        <v>71.905190915813407</v>
      </c>
      <c r="C24">
        <v>397.47458006632002</v>
      </c>
      <c r="D24">
        <v>2052.5745731536199</v>
      </c>
      <c r="E24">
        <v>61.480044477236603</v>
      </c>
      <c r="F24">
        <v>0.61311927847613501</v>
      </c>
      <c r="G24">
        <v>1536.3491403461601</v>
      </c>
      <c r="H24">
        <v>2103.95623052777</v>
      </c>
      <c r="I24">
        <v>3144.3076119706002</v>
      </c>
      <c r="J24">
        <v>164.498990112191</v>
      </c>
      <c r="K24">
        <v>1109.9502671346299</v>
      </c>
      <c r="L24">
        <v>1608.25433126197</v>
      </c>
      <c r="M24">
        <v>2501.43081059409</v>
      </c>
      <c r="N24">
        <v>5196.8821851242201</v>
      </c>
      <c r="O24">
        <v>225.97903458942699</v>
      </c>
      <c r="P24">
        <v>1110.56338641311</v>
      </c>
      <c r="Q24">
        <v>1567.5735601343899</v>
      </c>
      <c r="R24">
        <v>748.69791667930303</v>
      </c>
      <c r="S24">
        <v>75.330156671578706</v>
      </c>
      <c r="T24">
        <v>4.6635170615263498E-3</v>
      </c>
      <c r="U24">
        <v>2434.27172795571</v>
      </c>
      <c r="V24">
        <v>5.4923263852981697E-3</v>
      </c>
      <c r="W24">
        <v>5.4923263852981697E-3</v>
      </c>
      <c r="X24">
        <v>5.4923263852981697E-3</v>
      </c>
      <c r="Y24">
        <v>22022.626593854198</v>
      </c>
      <c r="Z24">
        <v>7.6751629251630097E-3</v>
      </c>
      <c r="AA24">
        <v>4.1756003704822601E-3</v>
      </c>
      <c r="AB24">
        <v>3.49956255468076E-3</v>
      </c>
      <c r="AC24">
        <v>14715.9083721361</v>
      </c>
      <c r="AD24">
        <v>3.4224289671052101E-3</v>
      </c>
      <c r="AE24">
        <v>0.202879788075013</v>
      </c>
      <c r="AF24">
        <v>-2.7356163794871099E-3</v>
      </c>
      <c r="AG24">
        <v>-3.32502127689112E-2</v>
      </c>
      <c r="AH24">
        <v>3.34576757478263E-2</v>
      </c>
      <c r="AI24">
        <v>2.0746297891513499E-4</v>
      </c>
      <c r="AJ24">
        <v>-3.7850195743296799</v>
      </c>
      <c r="AK24">
        <v>20.334594674657399</v>
      </c>
      <c r="AL24">
        <v>64.461706872992195</v>
      </c>
      <c r="AM24">
        <v>74.507419360196806</v>
      </c>
      <c r="AN24">
        <v>29.7213418626392</v>
      </c>
      <c r="AO24">
        <v>-2.0896317119965002E-3</v>
      </c>
      <c r="AP24">
        <v>-1.2747464847682199</v>
      </c>
      <c r="AQ24">
        <v>17.0010422888809</v>
      </c>
      <c r="AR24">
        <v>6.9492874920840704</v>
      </c>
      <c r="AS24">
        <v>0.20814956478878299</v>
      </c>
      <c r="AT24">
        <v>-3.78292994261778</v>
      </c>
      <c r="AU24">
        <v>21.609341159425899</v>
      </c>
      <c r="AV24">
        <v>47.460664584110901</v>
      </c>
      <c r="AW24">
        <v>67.558131868112497</v>
      </c>
      <c r="AX24">
        <v>29.513192297850399</v>
      </c>
      <c r="AY24">
        <v>6.2970986799757798</v>
      </c>
      <c r="AZ24">
        <v>1.0250321964813001</v>
      </c>
      <c r="BA24">
        <v>5.2720664834944797</v>
      </c>
      <c r="BB24">
        <v>-210.098396901846</v>
      </c>
      <c r="BC24">
        <v>3.1259783774323302</v>
      </c>
      <c r="BD24">
        <v>-213.22437527927801</v>
      </c>
      <c r="BE24">
        <v>9.0800932969691193</v>
      </c>
      <c r="BF24">
        <v>-9.1555339460385099</v>
      </c>
      <c r="BG24">
        <v>18.223578555972399</v>
      </c>
      <c r="BH24">
        <v>3.0843161020785099</v>
      </c>
      <c r="BI24">
        <v>0.23947999620784699</v>
      </c>
      <c r="BJ24">
        <v>2.8448103432969698</v>
      </c>
      <c r="BK24">
        <v>34.535706750882703</v>
      </c>
      <c r="BL24">
        <v>-1.2763764034986499E-3</v>
      </c>
      <c r="BM24">
        <v>34.536983127286099</v>
      </c>
      <c r="BN24">
        <v>-157.10118207194</v>
      </c>
      <c r="BO24">
        <v>-4.7663197523205296</v>
      </c>
      <c r="BP24">
        <v>-152.34693676922799</v>
      </c>
      <c r="BQ24">
        <v>-8.7525423526840299E-2</v>
      </c>
      <c r="BR24">
        <v>-2.79759455022957</v>
      </c>
      <c r="BS24">
        <v>0.11563559676978299</v>
      </c>
      <c r="BT24">
        <v>-3.8581027137743802</v>
      </c>
      <c r="BU24">
        <v>0.166740599199942</v>
      </c>
      <c r="BV24">
        <v>5.6638263304438302E-2</v>
      </c>
      <c r="BW24" s="58">
        <v>-2.34384999540778E-5</v>
      </c>
      <c r="BX24">
        <v>0.63421344614644204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6DD6-344F-8B46-A9EB-D8DA748D311F}">
  <dimension ref="A1:M17"/>
  <sheetViews>
    <sheetView workbookViewId="0">
      <selection activeCell="J3" sqref="J3"/>
    </sheetView>
  </sheetViews>
  <sheetFormatPr defaultRowHeight="14.5" x14ac:dyDescent="0.35"/>
  <cols>
    <col min="1" max="1" width="19.36328125" bestFit="1" customWidth="1"/>
    <col min="2" max="2" width="17.81640625" bestFit="1" customWidth="1"/>
    <col min="3" max="3" width="20.36328125" bestFit="1" customWidth="1"/>
    <col min="4" max="4" width="18.81640625" bestFit="1" customWidth="1"/>
    <col min="5" max="6" width="19.36328125" bestFit="1" customWidth="1"/>
    <col min="7" max="8" width="17.81640625" bestFit="1" customWidth="1"/>
    <col min="9" max="12" width="17.36328125" bestFit="1" customWidth="1"/>
    <col min="13" max="13" width="14.6328125" bestFit="1" customWidth="1"/>
  </cols>
  <sheetData>
    <row r="1" spans="1:13" x14ac:dyDescent="0.35">
      <c r="A1" s="5" t="s">
        <v>0</v>
      </c>
      <c r="B1" s="5" t="s">
        <v>8</v>
      </c>
      <c r="C1" s="5" t="s">
        <v>3</v>
      </c>
      <c r="D1" s="5" t="s">
        <v>9</v>
      </c>
      <c r="E1" s="5" t="s">
        <v>4</v>
      </c>
      <c r="F1" s="5" t="s">
        <v>6</v>
      </c>
      <c r="G1" s="5" t="s">
        <v>7</v>
      </c>
      <c r="H1" s="5" t="s">
        <v>1</v>
      </c>
      <c r="I1" s="5" t="s">
        <v>2</v>
      </c>
      <c r="J1" s="5" t="s">
        <v>15</v>
      </c>
      <c r="K1" s="5" t="s">
        <v>17</v>
      </c>
      <c r="L1" s="5" t="s">
        <v>16</v>
      </c>
      <c r="M1" s="5" t="s">
        <v>19</v>
      </c>
    </row>
    <row r="2" spans="1:13" x14ac:dyDescent="0.35">
      <c r="A2" s="52">
        <v>43921</v>
      </c>
      <c r="B2" s="6">
        <v>3381.6000000000004</v>
      </c>
      <c r="C2" s="6">
        <v>1862.4</v>
      </c>
      <c r="D2" s="6">
        <v>180.5</v>
      </c>
      <c r="E2" s="6">
        <v>62.7</v>
      </c>
      <c r="F2" s="6">
        <v>1249.5219999999999</v>
      </c>
      <c r="G2" s="6">
        <v>1574.779</v>
      </c>
      <c r="H2" s="6">
        <v>179.27800000000002</v>
      </c>
      <c r="I2" s="6">
        <v>186.02099999999996</v>
      </c>
      <c r="J2" s="6">
        <v>75.099999999999994</v>
      </c>
      <c r="K2" s="6">
        <v>182.97799999999995</v>
      </c>
      <c r="L2" s="6">
        <v>1452.6</v>
      </c>
      <c r="M2" s="6">
        <v>2381.6</v>
      </c>
    </row>
    <row r="3" spans="1:13" x14ac:dyDescent="0.35">
      <c r="A3" s="52">
        <v>44012</v>
      </c>
      <c r="B3" s="6">
        <v>3120.2</v>
      </c>
      <c r="C3" s="6">
        <v>1795.6</v>
      </c>
      <c r="D3" s="6">
        <v>154.88333333333333</v>
      </c>
      <c r="E3" s="6">
        <v>67.833333333333329</v>
      </c>
      <c r="F3" s="6">
        <v>1419</v>
      </c>
      <c r="G3" s="6">
        <v>3687.1579999999994</v>
      </c>
      <c r="H3" s="6">
        <v>79.899999999999977</v>
      </c>
      <c r="I3" s="6">
        <v>422.8420000000001</v>
      </c>
      <c r="J3" s="6">
        <v>1087.7</v>
      </c>
      <c r="K3" s="6">
        <v>349.1</v>
      </c>
      <c r="L3" s="6">
        <v>1509.2</v>
      </c>
      <c r="M3" s="6">
        <v>2330.1</v>
      </c>
    </row>
    <row r="4" spans="1:13" x14ac:dyDescent="0.35">
      <c r="A4" s="52">
        <v>44104</v>
      </c>
      <c r="B4" s="6">
        <v>3190.794429333564</v>
      </c>
      <c r="C4" s="6">
        <v>1838.7933394299018</v>
      </c>
      <c r="D4" s="6">
        <v>210.46756035578144</v>
      </c>
      <c r="E4" s="6">
        <v>72.141995725474303</v>
      </c>
      <c r="F4" s="6">
        <v>1441.2772565320665</v>
      </c>
      <c r="G4" s="6">
        <v>2270.1714833297137</v>
      </c>
      <c r="H4" s="6">
        <v>81.879144893111601</v>
      </c>
      <c r="I4" s="6">
        <v>454.66085251797023</v>
      </c>
      <c r="J4" s="6">
        <v>1329.2192852456285</v>
      </c>
      <c r="K4" s="6">
        <v>501.02514765494436</v>
      </c>
      <c r="L4" s="6">
        <v>1462.524486656411</v>
      </c>
      <c r="M4" s="6">
        <v>2248.2020166073544</v>
      </c>
    </row>
    <row r="5" spans="1:13" x14ac:dyDescent="0.35">
      <c r="A5" s="52">
        <v>44196</v>
      </c>
      <c r="B5" s="6">
        <v>3240.5012244486229</v>
      </c>
      <c r="C5" s="6">
        <v>1844.371770152449</v>
      </c>
      <c r="D5" s="6">
        <v>209.67836509953406</v>
      </c>
      <c r="E5" s="6">
        <v>71.743327063567122</v>
      </c>
      <c r="F5" s="6">
        <v>1410.1755611638957</v>
      </c>
      <c r="G5" s="6">
        <v>2274.1145137872145</v>
      </c>
      <c r="H5" s="6">
        <v>116.94062945368171</v>
      </c>
      <c r="I5" s="6">
        <v>343.14722738910092</v>
      </c>
      <c r="J5" s="6">
        <v>595.29325862589667</v>
      </c>
      <c r="K5" s="6">
        <v>453.1554527314961</v>
      </c>
      <c r="L5" s="6">
        <v>1474.1329409404054</v>
      </c>
      <c r="M5" s="6">
        <v>2303.2048635824435</v>
      </c>
    </row>
    <row r="6" spans="1:13" x14ac:dyDescent="0.35">
      <c r="A6" s="52">
        <v>44286</v>
      </c>
      <c r="B6" s="6">
        <v>3294.3580195636819</v>
      </c>
      <c r="C6" s="6">
        <v>1849.2145250392296</v>
      </c>
      <c r="D6" s="6">
        <v>220.47916984328674</v>
      </c>
      <c r="E6" s="6">
        <v>75.260978845600945</v>
      </c>
      <c r="F6" s="6">
        <v>1425.4438657957246</v>
      </c>
      <c r="G6" s="6">
        <v>2014.1654965131522</v>
      </c>
      <c r="H6" s="6">
        <v>117.84211401425182</v>
      </c>
      <c r="I6" s="6">
        <v>251.42167519200081</v>
      </c>
      <c r="J6" s="6">
        <v>181.50316760224507</v>
      </c>
      <c r="K6" s="6">
        <v>448.5009106406344</v>
      </c>
      <c r="L6" s="6">
        <v>1480.2904688649592</v>
      </c>
      <c r="M6" s="6">
        <v>2339.6494661921706</v>
      </c>
    </row>
    <row r="7" spans="1:13" x14ac:dyDescent="0.35">
      <c r="A7" s="52">
        <v>44377</v>
      </c>
      <c r="B7" s="6">
        <v>3347.2348146787413</v>
      </c>
      <c r="C7" s="6">
        <v>1862.3149147346433</v>
      </c>
      <c r="D7" s="6">
        <v>225.55997458703936</v>
      </c>
      <c r="E7" s="6">
        <v>76.798319252339041</v>
      </c>
      <c r="F7" s="6">
        <v>1387.0821704275534</v>
      </c>
      <c r="G7" s="6">
        <v>1958.1017526492446</v>
      </c>
      <c r="H7" s="6">
        <v>164.08359857482182</v>
      </c>
      <c r="I7" s="6">
        <v>192.95818942431936</v>
      </c>
      <c r="J7" s="6">
        <v>97.673619804413377</v>
      </c>
      <c r="K7" s="6">
        <v>228.40550974434132</v>
      </c>
      <c r="L7" s="6">
        <v>1487.3564845160861</v>
      </c>
      <c r="M7" s="6">
        <v>2378.8581257413994</v>
      </c>
    </row>
    <row r="8" spans="1:13" x14ac:dyDescent="0.35">
      <c r="A8" s="52">
        <v>44469</v>
      </c>
      <c r="B8" s="6">
        <v>3393.5416097938</v>
      </c>
      <c r="C8" s="6">
        <v>1873.502505169959</v>
      </c>
      <c r="D8" s="6">
        <v>231.20077933079199</v>
      </c>
      <c r="E8" s="6">
        <v>78.506020049396071</v>
      </c>
      <c r="F8" s="6">
        <v>1404.5604750593823</v>
      </c>
      <c r="G8" s="6">
        <v>1930.6664437205295</v>
      </c>
      <c r="H8" s="6">
        <v>165.52508313539192</v>
      </c>
      <c r="I8" s="6">
        <v>191.50915627295558</v>
      </c>
      <c r="J8" s="6">
        <v>97.661255064101425</v>
      </c>
      <c r="K8" s="6">
        <v>226.40896377414003</v>
      </c>
      <c r="L8" s="6">
        <v>1495.6338171359773</v>
      </c>
      <c r="M8" s="6">
        <v>2409.1603795966785</v>
      </c>
    </row>
    <row r="9" spans="1:13" x14ac:dyDescent="0.35">
      <c r="A9" s="52">
        <v>44561</v>
      </c>
      <c r="B9" s="6">
        <v>3450.615592662974</v>
      </c>
      <c r="C9" s="6">
        <v>1889.413526899375</v>
      </c>
      <c r="D9" s="6">
        <v>239.89285895806859</v>
      </c>
      <c r="E9" s="6">
        <v>79.671697617142442</v>
      </c>
      <c r="F9" s="6">
        <v>1402.5685777909737</v>
      </c>
      <c r="G9" s="6">
        <v>1952.397520692308</v>
      </c>
      <c r="H9" s="6">
        <v>190.24890736342053</v>
      </c>
      <c r="I9" s="6">
        <v>191.36852654324639</v>
      </c>
      <c r="J9" s="6">
        <v>97.683065330819673</v>
      </c>
      <c r="K9" s="6">
        <v>202.74547159104202</v>
      </c>
      <c r="L9" s="6">
        <v>1507.5735601343893</v>
      </c>
      <c r="M9" s="6">
        <v>2436.1416370106763</v>
      </c>
    </row>
    <row r="11" spans="1:13" x14ac:dyDescent="0.35">
      <c r="A11" s="52">
        <v>44012</v>
      </c>
      <c r="B11" s="3">
        <f>B3/B2-1</f>
        <v>-7.7300686065767787E-2</v>
      </c>
      <c r="C11" s="3">
        <f t="shared" ref="C11:M11" si="0">C3/C2-1</f>
        <v>-3.5867697594501813E-2</v>
      </c>
      <c r="D11" s="3">
        <f t="shared" si="0"/>
        <v>-0.14192059095106191</v>
      </c>
      <c r="E11" s="3">
        <f t="shared" si="0"/>
        <v>8.1871345029239651E-2</v>
      </c>
      <c r="F11" s="3">
        <f t="shared" si="0"/>
        <v>0.13563426654352639</v>
      </c>
      <c r="G11" s="3">
        <f t="shared" si="0"/>
        <v>1.3413812350812395</v>
      </c>
      <c r="H11" s="3">
        <f t="shared" si="0"/>
        <v>-0.55432345296132279</v>
      </c>
      <c r="I11" s="3">
        <f t="shared" si="0"/>
        <v>1.273087447116187</v>
      </c>
      <c r="J11" s="3">
        <f t="shared" si="0"/>
        <v>13.483355525965381</v>
      </c>
      <c r="K11" s="3">
        <f t="shared" si="0"/>
        <v>0.90787963580321196</v>
      </c>
      <c r="L11" s="3">
        <f t="shared" si="0"/>
        <v>3.8964615172793815E-2</v>
      </c>
      <c r="M11" s="3">
        <f t="shared" si="0"/>
        <v>-2.1624118239838785E-2</v>
      </c>
    </row>
    <row r="12" spans="1:13" x14ac:dyDescent="0.35">
      <c r="A12" s="52">
        <v>44104</v>
      </c>
      <c r="B12" s="3">
        <f t="shared" ref="B12:M17" si="1">B4/B3-1</f>
        <v>2.2624969339646306E-2</v>
      </c>
      <c r="C12" s="3">
        <f t="shared" si="1"/>
        <v>2.4055101041380089E-2</v>
      </c>
      <c r="D12" s="3">
        <f t="shared" si="1"/>
        <v>0.35887803952941866</v>
      </c>
      <c r="E12" s="3">
        <f t="shared" si="1"/>
        <v>6.3518364503306834E-2</v>
      </c>
      <c r="F12" s="3">
        <f t="shared" si="1"/>
        <v>1.5699264645571809E-2</v>
      </c>
      <c r="G12" s="3">
        <f t="shared" si="1"/>
        <v>-0.38430317243532441</v>
      </c>
      <c r="H12" s="3">
        <f t="shared" si="1"/>
        <v>2.4770274006403303E-2</v>
      </c>
      <c r="I12" s="3">
        <f t="shared" si="1"/>
        <v>7.5249981122901932E-2</v>
      </c>
      <c r="J12" s="3">
        <f t="shared" si="1"/>
        <v>0.22204586305564811</v>
      </c>
      <c r="K12" s="3">
        <f t="shared" si="1"/>
        <v>0.4351909127898721</v>
      </c>
      <c r="L12" s="3">
        <f t="shared" si="1"/>
        <v>-3.0927321324933144E-2</v>
      </c>
      <c r="M12" s="3">
        <f t="shared" si="1"/>
        <v>-3.5147840604542901E-2</v>
      </c>
    </row>
    <row r="13" spans="1:13" x14ac:dyDescent="0.35">
      <c r="A13" s="52">
        <v>44196</v>
      </c>
      <c r="B13" s="3">
        <f t="shared" si="1"/>
        <v>1.5578187882646199E-2</v>
      </c>
      <c r="C13" s="3">
        <f t="shared" si="1"/>
        <v>3.0337453388191715E-3</v>
      </c>
      <c r="D13" s="3">
        <f t="shared" si="1"/>
        <v>-3.7497239713013553E-3</v>
      </c>
      <c r="E13" s="3">
        <f t="shared" si="1"/>
        <v>-5.5261662489107799E-3</v>
      </c>
      <c r="F13" s="3">
        <f t="shared" si="1"/>
        <v>-2.1579259110080073E-2</v>
      </c>
      <c r="G13" s="3">
        <f t="shared" si="1"/>
        <v>1.73688661251159E-3</v>
      </c>
      <c r="H13" s="3">
        <f t="shared" si="1"/>
        <v>0.42821019450484998</v>
      </c>
      <c r="I13" s="3">
        <f t="shared" si="1"/>
        <v>-0.24526770781186136</v>
      </c>
      <c r="J13" s="3">
        <f t="shared" si="1"/>
        <v>-0.55214819312835095</v>
      </c>
      <c r="K13" s="3">
        <f t="shared" si="1"/>
        <v>-9.554349746215951E-2</v>
      </c>
      <c r="L13" s="3">
        <f t="shared" si="1"/>
        <v>7.9372717447852015E-3</v>
      </c>
      <c r="M13" s="3">
        <f t="shared" si="1"/>
        <v>2.4465260047267012E-2</v>
      </c>
    </row>
    <row r="14" spans="1:13" x14ac:dyDescent="0.35">
      <c r="A14" s="52">
        <v>44286</v>
      </c>
      <c r="B14" s="3">
        <f t="shared" si="1"/>
        <v>1.6619896548325741E-2</v>
      </c>
      <c r="C14" s="3">
        <f t="shared" si="1"/>
        <v>2.6256934557071787E-3</v>
      </c>
      <c r="D14" s="3">
        <f t="shared" si="1"/>
        <v>5.1511297975952663E-2</v>
      </c>
      <c r="E14" s="3">
        <f t="shared" si="1"/>
        <v>4.9031065689455033E-2</v>
      </c>
      <c r="F14" s="3">
        <f t="shared" si="1"/>
        <v>1.0827236730174938E-2</v>
      </c>
      <c r="G14" s="3">
        <f t="shared" si="1"/>
        <v>-0.11430779571480509</v>
      </c>
      <c r="H14" s="3">
        <f t="shared" si="1"/>
        <v>7.7089080568628621E-3</v>
      </c>
      <c r="I14" s="3">
        <f t="shared" si="1"/>
        <v>-0.26730669775481186</v>
      </c>
      <c r="J14" s="3">
        <f t="shared" si="1"/>
        <v>-0.69510293460872519</v>
      </c>
      <c r="K14" s="3">
        <f t="shared" si="1"/>
        <v>-1.027140259000614E-2</v>
      </c>
      <c r="L14" s="3">
        <f t="shared" si="1"/>
        <v>4.1770506265368379E-3</v>
      </c>
      <c r="M14" s="3">
        <f t="shared" si="1"/>
        <v>1.582343072732173E-2</v>
      </c>
    </row>
    <row r="15" spans="1:13" x14ac:dyDescent="0.35">
      <c r="A15" s="52">
        <v>44377</v>
      </c>
      <c r="B15" s="3">
        <f t="shared" si="1"/>
        <v>1.6050713007222717E-2</v>
      </c>
      <c r="C15" s="3">
        <f t="shared" si="1"/>
        <v>7.084299586677556E-3</v>
      </c>
      <c r="D15" s="3">
        <f t="shared" si="1"/>
        <v>2.3044375336518153E-2</v>
      </c>
      <c r="E15" s="3">
        <f t="shared" si="1"/>
        <v>2.042679261310143E-2</v>
      </c>
      <c r="F15" s="3">
        <f t="shared" si="1"/>
        <v>-2.6912105266773567E-2</v>
      </c>
      <c r="G15" s="3">
        <f t="shared" si="1"/>
        <v>-2.7834725577894681E-2</v>
      </c>
      <c r="H15" s="3">
        <f t="shared" si="1"/>
        <v>0.39240202831881943</v>
      </c>
      <c r="I15" s="3">
        <f t="shared" si="1"/>
        <v>-0.23253160541164641</v>
      </c>
      <c r="J15" s="3">
        <f t="shared" si="1"/>
        <v>-0.4618627261731314</v>
      </c>
      <c r="K15" s="3">
        <f t="shared" si="1"/>
        <v>-0.4907356834168094</v>
      </c>
      <c r="L15" s="3">
        <f t="shared" si="1"/>
        <v>4.7733980591964098E-3</v>
      </c>
      <c r="M15" s="3">
        <f t="shared" si="1"/>
        <v>1.6758347827652065E-2</v>
      </c>
    </row>
    <row r="16" spans="1:13" x14ac:dyDescent="0.35">
      <c r="A16" s="52">
        <v>44469</v>
      </c>
      <c r="B16" s="3">
        <f t="shared" si="1"/>
        <v>1.3834343175443742E-2</v>
      </c>
      <c r="C16" s="3">
        <f t="shared" si="1"/>
        <v>6.0073569441985164E-3</v>
      </c>
      <c r="D16" s="3">
        <f t="shared" si="1"/>
        <v>2.5008003986877414E-2</v>
      </c>
      <c r="E16" s="3">
        <f t="shared" si="1"/>
        <v>2.2236174094461214E-2</v>
      </c>
      <c r="F16" s="3">
        <f t="shared" si="1"/>
        <v>1.2600770887597479E-2</v>
      </c>
      <c r="G16" s="3">
        <f t="shared" si="1"/>
        <v>-1.4011176330135044E-2</v>
      </c>
      <c r="H16" s="3">
        <f t="shared" si="1"/>
        <v>8.785061840978603E-3</v>
      </c>
      <c r="I16" s="3">
        <f t="shared" si="1"/>
        <v>-7.5095706260869255E-3</v>
      </c>
      <c r="J16" s="3">
        <f t="shared" si="1"/>
        <v>-1.2659242420531847E-4</v>
      </c>
      <c r="K16" s="3">
        <f t="shared" si="1"/>
        <v>-8.7412338364168951E-3</v>
      </c>
      <c r="L16" s="3">
        <f t="shared" si="1"/>
        <v>5.5651302872319341E-3</v>
      </c>
      <c r="M16" s="3">
        <f t="shared" si="1"/>
        <v>1.2738150933585102E-2</v>
      </c>
    </row>
    <row r="17" spans="1:13" x14ac:dyDescent="0.35">
      <c r="A17" s="52">
        <v>44561</v>
      </c>
      <c r="B17" s="3">
        <f t="shared" si="1"/>
        <v>1.6818412570648311E-2</v>
      </c>
      <c r="C17" s="3">
        <f t="shared" si="1"/>
        <v>8.4926610375535283E-3</v>
      </c>
      <c r="D17" s="3">
        <f t="shared" si="1"/>
        <v>3.7595373391195785E-2</v>
      </c>
      <c r="E17" s="3">
        <f t="shared" si="1"/>
        <v>1.4848257076500948E-2</v>
      </c>
      <c r="F17" s="3">
        <f t="shared" si="1"/>
        <v>-1.4181641187962502E-3</v>
      </c>
      <c r="G17" s="3">
        <f t="shared" si="1"/>
        <v>1.1255738681561711E-2</v>
      </c>
      <c r="H17" s="3">
        <f t="shared" si="1"/>
        <v>0.14936602815541655</v>
      </c>
      <c r="I17" s="3">
        <f t="shared" si="1"/>
        <v>-7.3432379133220316E-4</v>
      </c>
      <c r="J17" s="3">
        <f t="shared" si="1"/>
        <v>2.2332568533900421E-4</v>
      </c>
      <c r="K17" s="3">
        <f t="shared" si="1"/>
        <v>-0.10451658710255007</v>
      </c>
      <c r="L17" s="3">
        <f t="shared" si="1"/>
        <v>7.9830656819965817E-3</v>
      </c>
      <c r="M17" s="3">
        <f t="shared" si="1"/>
        <v>1.1199444272163683E-2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A5A68-4606-4FD8-9B3F-ABC56740AE78}">
  <ds:schemaRefs>
    <ds:schemaRef ds:uri="http://schemas.openxmlformats.org/package/2006/metadata/core-properties"/>
    <ds:schemaRef ds:uri="http://purl.org/dc/dcmitype/"/>
    <ds:schemaRef ds:uri="66951ee6-cd93-49c7-9437-e871b2a117d6"/>
    <ds:schemaRef ds:uri="http://schemas.microsoft.com/office/2006/documentManagement/types"/>
    <ds:schemaRef ds:uri="http://purl.org/dc/elements/1.1/"/>
    <ds:schemaRef ds:uri="cac5d118-ba7b-4807-b700-df6f95cfff50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009D341-7FFA-475D-8F01-9FA10E3225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E1D0B-7817-455B-8A23-B53B24A18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factors</vt:lpstr>
      <vt:lpstr>Sheet1</vt:lpstr>
      <vt:lpstr>No addons</vt:lpstr>
      <vt:lpstr>With addons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Alcala Kovalski</cp:lastModifiedBy>
  <dcterms:created xsi:type="dcterms:W3CDTF">2020-07-31T22:10:42Z</dcterms:created>
  <dcterms:modified xsi:type="dcterms:W3CDTF">2020-09-09T22:25:54Z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