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BFA7A9F0-7476-4A6C-947A-19EF3C3043E4}" xr6:coauthVersionLast="44" xr6:coauthVersionMax="45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MPC - round (2)" sheetId="15" r:id="rId10"/>
    <sheet name="figuring out Medicaid" sheetId="7" r:id="rId11"/>
    <sheet name="add-ons - Kadija b4" sheetId="6" state="hidden" r:id="rId12"/>
    <sheet name="figuring out UI" sheetId="4" r:id="rId13"/>
    <sheet name="figuring NIPA tax changes" sheetId="3" r:id="rId14"/>
    <sheet name="figuring out social benefits" sheetId="2" r:id="rId15"/>
  </sheets>
  <externalReferences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63" i="1" l="1"/>
  <c r="Z63" i="1" s="1"/>
  <c r="Z75" i="1" s="1"/>
  <c r="W49" i="1"/>
  <c r="X49" i="1"/>
  <c r="Y49" i="1"/>
  <c r="Z49" i="1"/>
  <c r="Z82" i="1"/>
  <c r="Y82" i="1"/>
  <c r="X82" i="1"/>
  <c r="W82" i="1"/>
  <c r="Z81" i="1"/>
  <c r="Y81" i="1"/>
  <c r="X81" i="1"/>
  <c r="W81" i="1"/>
  <c r="N81" i="1"/>
  <c r="N65" i="1"/>
  <c r="P65" i="1"/>
  <c r="Q65" i="1"/>
  <c r="R65" i="1"/>
  <c r="S65" i="1"/>
  <c r="T65" i="1"/>
  <c r="U65" i="1"/>
  <c r="V65" i="1"/>
  <c r="W65" i="1"/>
  <c r="X65" i="1"/>
  <c r="Y65" i="1"/>
  <c r="Z65" i="1"/>
  <c r="O65" i="1"/>
  <c r="P70" i="1"/>
  <c r="Q70" i="1"/>
  <c r="R70" i="1"/>
  <c r="S70" i="1"/>
  <c r="T70" i="1"/>
  <c r="U70" i="1"/>
  <c r="V70" i="1"/>
  <c r="W70" i="1"/>
  <c r="X70" i="1"/>
  <c r="Y70" i="1"/>
  <c r="Z70" i="1"/>
  <c r="O70" i="1"/>
  <c r="S50" i="1"/>
  <c r="O50" i="1"/>
  <c r="D27" i="15"/>
  <c r="D28" i="15" s="1"/>
  <c r="C15" i="15" s="1"/>
  <c r="D26" i="15"/>
  <c r="L21" i="15"/>
  <c r="G17" i="15"/>
  <c r="G20" i="15" s="1"/>
  <c r="F17" i="15"/>
  <c r="C17" i="15"/>
  <c r="L16" i="15"/>
  <c r="C16" i="15"/>
  <c r="L15" i="15"/>
  <c r="D6" i="15"/>
  <c r="P6" i="15" s="1"/>
  <c r="C6" i="15"/>
  <c r="D7" i="15" s="1"/>
  <c r="D5" i="15"/>
  <c r="E5" i="15" s="1"/>
  <c r="Y75" i="1" l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I17" i="15" l="1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4"/>
  <c r="M17" i="4"/>
  <c r="M38" i="1"/>
  <c r="M37" i="1" s="1"/>
  <c r="M36" i="1"/>
  <c r="I5" i="15" l="1"/>
  <c r="H9" i="15"/>
  <c r="H7" i="15"/>
  <c r="J20" i="15"/>
  <c r="K17" i="15"/>
  <c r="J18" i="15"/>
  <c r="L17" i="15"/>
  <c r="M93" i="1"/>
  <c r="M90" i="1"/>
  <c r="M87" i="1"/>
  <c r="M84" i="1"/>
  <c r="M80" i="1"/>
  <c r="M78" i="1"/>
  <c r="M77" i="1"/>
  <c r="M61" i="1"/>
  <c r="M56" i="1"/>
  <c r="M55" i="1"/>
  <c r="M54" i="1"/>
  <c r="M52" i="1"/>
  <c r="M49" i="1"/>
  <c r="M44" i="1"/>
  <c r="M43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5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40" i="11" s="1"/>
  <c r="R39" i="11"/>
  <c r="S39" i="11"/>
  <c r="S40" i="11" s="1"/>
  <c r="T39" i="11"/>
  <c r="U39" i="11"/>
  <c r="V39" i="11"/>
  <c r="W39" i="11"/>
  <c r="X39" i="11"/>
  <c r="X40" i="11" s="1"/>
  <c r="Y39" i="11"/>
  <c r="Z39" i="11"/>
  <c r="AA39" i="11"/>
  <c r="D39" i="11"/>
  <c r="W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2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L5" i="15" l="1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99" i="1"/>
  <c r="X99" i="1"/>
  <c r="W99" i="1"/>
  <c r="Y98" i="1"/>
  <c r="Y100" i="1" s="1"/>
  <c r="X98" i="1"/>
  <c r="X100" i="1" s="1"/>
  <c r="W98" i="1"/>
  <c r="W100" i="1" s="1"/>
  <c r="N94" i="1"/>
  <c r="O94" i="1" s="1"/>
  <c r="P94" i="1" s="1"/>
  <c r="Q94" i="1" s="1"/>
  <c r="R94" i="1" s="1"/>
  <c r="S94" i="1" s="1"/>
  <c r="M95" i="1"/>
  <c r="M91" i="1"/>
  <c r="G91" i="1"/>
  <c r="H91" i="1"/>
  <c r="I91" i="1"/>
  <c r="J91" i="1"/>
  <c r="K91" i="1"/>
  <c r="L91" i="1"/>
  <c r="L95" i="1"/>
  <c r="K95" i="1"/>
  <c r="M5" i="15" l="1"/>
  <c r="L7" i="15"/>
  <c r="L9" i="15"/>
  <c r="N39" i="1"/>
  <c r="N5" i="15" l="1"/>
  <c r="M7" i="15"/>
  <c r="M9" i="15"/>
  <c r="M53" i="1"/>
  <c r="M50" i="1" s="1"/>
  <c r="L53" i="1"/>
  <c r="M85" i="1"/>
  <c r="M62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5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O7" i="15" l="1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79" i="1"/>
  <c r="Y79" i="1"/>
  <c r="X79" i="1"/>
  <c r="W79" i="1"/>
  <c r="P72" i="5"/>
  <c r="Q72" i="5"/>
  <c r="L4" i="10" l="1"/>
  <c r="G38" i="11" s="1"/>
  <c r="G41" i="11" s="1"/>
  <c r="O31" i="1"/>
  <c r="Q73" i="5"/>
  <c r="R73" i="5"/>
  <c r="O72" i="5"/>
  <c r="N52" i="1"/>
  <c r="N50" i="1" s="1"/>
  <c r="P52" i="1"/>
  <c r="P50" i="1" s="1"/>
  <c r="Q52" i="1"/>
  <c r="Q50" i="1" s="1"/>
  <c r="R52" i="1"/>
  <c r="R50" i="1" s="1"/>
  <c r="T52" i="1"/>
  <c r="U52" i="1"/>
  <c r="V52" i="1"/>
  <c r="T53" i="1"/>
  <c r="U53" i="1"/>
  <c r="V53" i="1"/>
  <c r="V50" i="1" l="1"/>
  <c r="T50" i="1"/>
  <c r="U50" i="1"/>
  <c r="P3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41" i="1" s="1"/>
  <c r="V35" i="1" s="1"/>
  <c r="V18" i="4"/>
  <c r="U41" i="1" s="1"/>
  <c r="U35" i="1" s="1"/>
  <c r="U18" i="4"/>
  <c r="T41" i="1" s="1"/>
  <c r="T35" i="1" s="1"/>
  <c r="T18" i="4"/>
  <c r="S41" i="1" s="1"/>
  <c r="S35" i="1" s="1"/>
  <c r="F29" i="4"/>
  <c r="V33" i="4"/>
  <c r="V26" i="4" s="1"/>
  <c r="U33" i="4"/>
  <c r="U26" i="4" s="1"/>
  <c r="T33" i="4"/>
  <c r="T26" i="4" s="1"/>
  <c r="S33" i="4"/>
  <c r="S37" i="4" s="1"/>
  <c r="V96" i="1"/>
  <c r="V49" i="1"/>
  <c r="U49" i="1"/>
  <c r="T49" i="1"/>
  <c r="S49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3" i="9" l="1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85" i="1" l="1"/>
  <c r="K85" i="1"/>
  <c r="J85" i="1"/>
  <c r="I85" i="1"/>
  <c r="H85" i="1"/>
  <c r="G85" i="1"/>
  <c r="F85" i="1"/>
  <c r="L65" i="1"/>
  <c r="G62" i="1"/>
  <c r="H62" i="1"/>
  <c r="I62" i="1"/>
  <c r="J62" i="1"/>
  <c r="K62" i="1"/>
  <c r="L62" i="1"/>
  <c r="L63" i="1" s="1"/>
  <c r="F62" i="1"/>
  <c r="AK80" i="1"/>
  <c r="AJ80" i="1"/>
  <c r="AI80" i="1"/>
  <c r="J89" i="1"/>
  <c r="K89" i="1"/>
  <c r="F15" i="7" s="1"/>
  <c r="J15" i="7" s="1"/>
  <c r="J13" i="7" s="1"/>
  <c r="G89" i="1"/>
  <c r="H89" i="1"/>
  <c r="I89" i="1"/>
  <c r="F89" i="1"/>
  <c r="L75" i="1" l="1"/>
  <c r="E71" i="5" s="1"/>
  <c r="J2" i="9" s="1"/>
  <c r="H15" i="7"/>
  <c r="H13" i="7" s="1"/>
  <c r="AJ87" i="1" s="1"/>
  <c r="K15" i="7"/>
  <c r="K13" i="7" s="1"/>
  <c r="F13" i="7"/>
  <c r="G15" i="7"/>
  <c r="G13" i="7" s="1"/>
  <c r="AI87" i="1" s="1"/>
  <c r="I15" i="7"/>
  <c r="I13" i="7" s="1"/>
  <c r="AK87" i="1" s="1"/>
  <c r="K75" i="1"/>
  <c r="N90" i="1"/>
  <c r="O90" i="1" s="1"/>
  <c r="P90" i="1" s="1"/>
  <c r="Q90" i="1" s="1"/>
  <c r="R90" i="1" s="1"/>
  <c r="S90" i="1" s="1"/>
  <c r="T90" i="1" s="1"/>
  <c r="U90" i="1" s="1"/>
  <c r="V90" i="1" s="1"/>
  <c r="T96" i="1"/>
  <c r="T94" i="1" s="1"/>
  <c r="U96" i="1"/>
  <c r="U94" i="1" l="1"/>
  <c r="V94" i="1" s="1"/>
  <c r="N87" i="1"/>
  <c r="L6" i="10" s="1"/>
  <c r="G24" i="11" s="1"/>
  <c r="G27" i="11" s="1"/>
  <c r="L15" i="7"/>
  <c r="L13" i="7" s="1"/>
  <c r="AD87" i="1"/>
  <c r="D25" i="5"/>
  <c r="E50" i="5"/>
  <c r="M99" i="1"/>
  <c r="F98" i="1"/>
  <c r="F100" i="1" s="1"/>
  <c r="L99" i="1"/>
  <c r="D24" i="5" s="1"/>
  <c r="M42" i="1"/>
  <c r="L42" i="1"/>
  <c r="O87" i="1" l="1"/>
  <c r="M6" i="10" s="1"/>
  <c r="H24" i="11" s="1"/>
  <c r="H27" i="11" s="1"/>
  <c r="M45" i="1"/>
  <c r="N80" i="1"/>
  <c r="E24" i="5"/>
  <c r="M65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79" i="1"/>
  <c r="O79" i="1"/>
  <c r="P79" i="1"/>
  <c r="Q79" i="1"/>
  <c r="R79" i="1"/>
  <c r="S79" i="1"/>
  <c r="T79" i="1"/>
  <c r="U79" i="1"/>
  <c r="V79" i="1"/>
  <c r="M79" i="1"/>
  <c r="M63" i="1" s="1"/>
  <c r="O42" i="1"/>
  <c r="P42" i="1"/>
  <c r="Q42" i="1"/>
  <c r="R42" i="1"/>
  <c r="N42" i="1"/>
  <c r="P87" i="1" l="1"/>
  <c r="N6" i="10" s="1"/>
  <c r="I24" i="11" s="1"/>
  <c r="I27" i="11" s="1"/>
  <c r="O80" i="1"/>
  <c r="N63" i="1"/>
  <c r="O63" i="1" s="1"/>
  <c r="E54" i="6"/>
  <c r="E56" i="6" s="1"/>
  <c r="M75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80" i="1" l="1"/>
  <c r="F54" i="6"/>
  <c r="Q87" i="1"/>
  <c r="O6" i="10" s="1"/>
  <c r="J24" i="11" s="1"/>
  <c r="J27" i="11" s="1"/>
  <c r="F71" i="5"/>
  <c r="J3" i="9" s="1"/>
  <c r="P63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80" i="1" l="1"/>
  <c r="G54" i="6"/>
  <c r="F56" i="6"/>
  <c r="F58" i="6" s="1"/>
  <c r="R87" i="1"/>
  <c r="P6" i="10" s="1"/>
  <c r="K24" i="11" s="1"/>
  <c r="K27" i="11" s="1"/>
  <c r="AE87" i="1"/>
  <c r="Q63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80" i="1" l="1"/>
  <c r="G56" i="6"/>
  <c r="G58" i="6" s="1"/>
  <c r="H54" i="6"/>
  <c r="S87" i="1"/>
  <c r="Q6" i="10" s="1"/>
  <c r="L24" i="11" s="1"/>
  <c r="L27" i="11" s="1"/>
  <c r="R63" i="1"/>
  <c r="S63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80" i="1" l="1"/>
  <c r="H56" i="6"/>
  <c r="H58" i="6" s="1"/>
  <c r="I54" i="6"/>
  <c r="T87" i="1"/>
  <c r="R6" i="10" s="1"/>
  <c r="M24" i="11" s="1"/>
  <c r="T63" i="1"/>
  <c r="S75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80" i="1"/>
  <c r="M27" i="11"/>
  <c r="N24" i="11"/>
  <c r="U87" i="1"/>
  <c r="S6" i="10" s="1"/>
  <c r="U63" i="1"/>
  <c r="T75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87" i="1"/>
  <c r="T6" i="10" s="1"/>
  <c r="U80" i="1"/>
  <c r="AF87" i="1"/>
  <c r="V63" i="1"/>
  <c r="U75" i="1"/>
  <c r="N71" i="5" s="1"/>
  <c r="N74" i="5" s="1"/>
  <c r="N75" i="1"/>
  <c r="O75" i="1"/>
  <c r="P75" i="1"/>
  <c r="Q75" i="1"/>
  <c r="R75" i="1"/>
  <c r="N49" i="1"/>
  <c r="O49" i="1"/>
  <c r="P49" i="1"/>
  <c r="Q49" i="1"/>
  <c r="R49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80" i="1"/>
  <c r="V99" i="1" s="1"/>
  <c r="D3" i="9" a="1"/>
  <c r="D19" i="9" s="1"/>
  <c r="K52" i="5"/>
  <c r="L52" i="5"/>
  <c r="V75" i="1"/>
  <c r="O71" i="5" s="1"/>
  <c r="O74" i="5" s="1"/>
  <c r="W63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1" i="1"/>
  <c r="W75" i="1" l="1"/>
  <c r="P71" i="5" s="1"/>
  <c r="X63" i="1"/>
  <c r="X75" i="1" s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P74" i="5"/>
  <c r="H3" i="9" a="1"/>
  <c r="O61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1" i="1"/>
  <c r="S24" i="11" l="1"/>
  <c r="R27" i="11"/>
  <c r="R74" i="5"/>
  <c r="R61" i="1"/>
  <c r="Q61" i="1"/>
  <c r="T24" i="11" l="1"/>
  <c r="S27" i="11"/>
  <c r="T71" i="5"/>
  <c r="S74" i="5"/>
  <c r="G98" i="1"/>
  <c r="G100" i="1" s="1"/>
  <c r="H98" i="1"/>
  <c r="H100" i="1" s="1"/>
  <c r="I98" i="1"/>
  <c r="I100" i="1" s="1"/>
  <c r="J98" i="1"/>
  <c r="J100" i="1" s="1"/>
  <c r="K98" i="1"/>
  <c r="K100" i="1" s="1"/>
  <c r="M8" i="4"/>
  <c r="U24" i="11" l="1"/>
  <c r="T27" i="11"/>
  <c r="U71" i="5"/>
  <c r="T74" i="5"/>
  <c r="AE42" i="1"/>
  <c r="AF42" i="1"/>
  <c r="X42" i="2"/>
  <c r="F47" i="2"/>
  <c r="X41" i="2"/>
  <c r="X40" i="2"/>
  <c r="X38" i="2"/>
  <c r="X37" i="2"/>
  <c r="X36" i="2"/>
  <c r="X35" i="2"/>
  <c r="X34" i="2"/>
  <c r="S38" i="1"/>
  <c r="T38" i="1"/>
  <c r="U38" i="1"/>
  <c r="L45" i="1"/>
  <c r="K45" i="1"/>
  <c r="J45" i="1"/>
  <c r="AD42" i="1"/>
  <c r="G48" i="2"/>
  <c r="AI42" i="1" s="1"/>
  <c r="AI47" i="1" s="1"/>
  <c r="AD32" i="1"/>
  <c r="S18" i="4"/>
  <c r="R41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6" i="1"/>
  <c r="J81" i="1"/>
  <c r="K81" i="1"/>
  <c r="D57" i="5" s="1"/>
  <c r="K46" i="1"/>
  <c r="V71" i="5"/>
  <c r="U74" i="5"/>
  <c r="G47" i="2"/>
  <c r="G32" i="4"/>
  <c r="G33" i="4" s="1"/>
  <c r="K38" i="4"/>
  <c r="K18" i="4" s="1"/>
  <c r="G49" i="2"/>
  <c r="G50" i="2" s="1"/>
  <c r="X43" i="2"/>
  <c r="AF41" i="1"/>
  <c r="Q18" i="4"/>
  <c r="P41" i="1" s="1"/>
  <c r="S17" i="4"/>
  <c r="R38" i="1" s="1"/>
  <c r="L26" i="4"/>
  <c r="M26" i="4"/>
  <c r="M28" i="4"/>
  <c r="Q17" i="4" l="1"/>
  <c r="P38" i="1" s="1"/>
  <c r="P37" i="1" s="1"/>
  <c r="W24" i="11"/>
  <c r="V27" i="11"/>
  <c r="R17" i="4"/>
  <c r="Q38" i="1" s="1"/>
  <c r="Q37" i="1" s="1"/>
  <c r="P17" i="4"/>
  <c r="O38" i="1" s="1"/>
  <c r="O37" i="1" s="1"/>
  <c r="O17" i="4"/>
  <c r="N38" i="1" s="1"/>
  <c r="N37" i="1" s="1"/>
  <c r="N45" i="1"/>
  <c r="W71" i="5"/>
  <c r="V74" i="5"/>
  <c r="R37" i="1"/>
  <c r="N28" i="4"/>
  <c r="M33" i="4"/>
  <c r="L38" i="1" s="1"/>
  <c r="L37" i="1" s="1"/>
  <c r="AF38" i="1"/>
  <c r="L34" i="4"/>
  <c r="L38" i="4"/>
  <c r="L18" i="4" s="1"/>
  <c r="P18" i="4"/>
  <c r="O41" i="1" s="1"/>
  <c r="O18" i="4"/>
  <c r="N41" i="1" s="1"/>
  <c r="R18" i="4"/>
  <c r="Q41" i="1" s="1"/>
  <c r="O45" i="1" l="1"/>
  <c r="O81" i="1" s="1"/>
  <c r="P35" i="1"/>
  <c r="Q35" i="1"/>
  <c r="AE38" i="1"/>
  <c r="X24" i="11"/>
  <c r="W27" i="11"/>
  <c r="N35" i="1"/>
  <c r="R35" i="1"/>
  <c r="AF35" i="1" s="1"/>
  <c r="O35" i="1"/>
  <c r="M34" i="4"/>
  <c r="X71" i="5"/>
  <c r="W74" i="5"/>
  <c r="L81" i="1"/>
  <c r="E57" i="5" s="1"/>
  <c r="N33" i="4"/>
  <c r="N17" i="4" s="1"/>
  <c r="N10" i="4"/>
  <c r="AE41" i="1"/>
  <c r="M38" i="4"/>
  <c r="M18" i="4" s="1"/>
  <c r="L41" i="1" s="1"/>
  <c r="N8" i="4"/>
  <c r="N18" i="4"/>
  <c r="M41" i="1" s="1"/>
  <c r="M98" i="1" s="1"/>
  <c r="M100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5" i="1"/>
  <c r="H81" i="1"/>
  <c r="I45" i="1"/>
  <c r="F45" i="1"/>
  <c r="AC35" i="1"/>
  <c r="I47" i="2"/>
  <c r="H47" i="2"/>
  <c r="F24" i="2"/>
  <c r="L2" i="9" l="1" a="1"/>
  <c r="L2" i="9" s="1"/>
  <c r="P45" i="1"/>
  <c r="P81" i="1" s="1"/>
  <c r="M2" i="9" a="1"/>
  <c r="M2" i="9" s="1"/>
  <c r="K3" i="9" a="1"/>
  <c r="K3" i="9" s="1"/>
  <c r="N30" i="1"/>
  <c r="L3" i="10" s="1"/>
  <c r="G45" i="11" s="1"/>
  <c r="G48" i="11" s="1"/>
  <c r="Y24" i="11"/>
  <c r="X27" i="11"/>
  <c r="F81" i="1"/>
  <c r="G81" i="1"/>
  <c r="G46" i="1"/>
  <c r="H46" i="1"/>
  <c r="I81" i="1"/>
  <c r="I46" i="1"/>
  <c r="J46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1" i="1"/>
  <c r="L98" i="1"/>
  <c r="AE35" i="1"/>
  <c r="H49" i="2"/>
  <c r="H50" i="2" s="1"/>
  <c r="AD38" i="1"/>
  <c r="I49" i="2"/>
  <c r="I50" i="2" s="1"/>
  <c r="Q45" i="1" l="1"/>
  <c r="Q81" i="1" s="1"/>
  <c r="Z24" i="11"/>
  <c r="Y27" i="11"/>
  <c r="AD35" i="1"/>
  <c r="Z71" i="5"/>
  <c r="Y74" i="5"/>
  <c r="L100" i="1"/>
  <c r="E31" i="5" s="1"/>
  <c r="AE14" i="1"/>
  <c r="AF16" i="1"/>
  <c r="AE16" i="1"/>
  <c r="AC61" i="1"/>
  <c r="AC80" i="1"/>
  <c r="AC49" i="1"/>
  <c r="AC31" i="1"/>
  <c r="AC30" i="1"/>
  <c r="AG18" i="1"/>
  <c r="AG16" i="1"/>
  <c r="AG14" i="1"/>
  <c r="AG12" i="1"/>
  <c r="R45" i="1" l="1"/>
  <c r="R81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5" i="1" s="1"/>
  <c r="AK30" i="1"/>
  <c r="AK45" i="1" s="1"/>
  <c r="AF14" i="1"/>
  <c r="AD80" i="1"/>
  <c r="M82" i="1"/>
  <c r="S45" i="1" l="1"/>
  <c r="S81" i="1" s="1"/>
  <c r="B2" i="12" a="1"/>
  <c r="B2" i="12" s="1"/>
  <c r="F50" i="5"/>
  <c r="F53" i="5" s="1"/>
  <c r="N18" i="1"/>
  <c r="AD18" i="1"/>
  <c r="AI45" i="1"/>
  <c r="M11" i="1"/>
  <c r="AD31" i="1"/>
  <c r="AD47" i="1" s="1"/>
  <c r="T45" i="1" l="1"/>
  <c r="T81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2" i="1"/>
  <c r="AC45" i="1"/>
  <c r="O18" i="1"/>
  <c r="M81" i="1"/>
  <c r="AD45" i="1"/>
  <c r="AO45" i="1" s="1"/>
  <c r="AE31" i="1"/>
  <c r="U45" i="1" l="1"/>
  <c r="U81" i="1" s="1"/>
  <c r="F57" i="5"/>
  <c r="F60" i="5" s="1"/>
  <c r="AN45" i="1"/>
  <c r="G57" i="5"/>
  <c r="G60" i="5" s="1"/>
  <c r="P18" i="1"/>
  <c r="O12" i="1"/>
  <c r="AF31" i="1"/>
  <c r="V45" i="1" l="1"/>
  <c r="V81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5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5" i="1"/>
  <c r="U30" i="1"/>
  <c r="S3" i="10" s="1"/>
  <c r="N48" i="11" l="1"/>
  <c r="O60" i="5"/>
  <c r="G71" i="5"/>
  <c r="G74" i="5" s="1"/>
  <c r="N82" i="1"/>
  <c r="G50" i="5" s="1"/>
  <c r="G53" i="5" s="1"/>
  <c r="N99" i="1"/>
  <c r="F24" i="5" s="1"/>
  <c r="F27" i="5" s="1"/>
  <c r="O48" i="11" l="1"/>
  <c r="P60" i="5"/>
  <c r="O99" i="1"/>
  <c r="G24" i="5" s="1"/>
  <c r="G27" i="5" s="1"/>
  <c r="H71" i="5"/>
  <c r="H74" i="5" s="1"/>
  <c r="O82" i="1"/>
  <c r="H50" i="5" s="1"/>
  <c r="H53" i="5" s="1"/>
  <c r="P48" i="11" l="1"/>
  <c r="Q60" i="5"/>
  <c r="I71" i="5"/>
  <c r="I74" i="5" s="1"/>
  <c r="P99" i="1"/>
  <c r="H24" i="5" s="1"/>
  <c r="H27" i="5" s="1"/>
  <c r="P82" i="1"/>
  <c r="I50" i="5" s="1"/>
  <c r="I53" i="5" s="1"/>
  <c r="Q48" i="11" l="1"/>
  <c r="R60" i="5"/>
  <c r="J71" i="5"/>
  <c r="J74" i="5" s="1"/>
  <c r="AE80" i="1"/>
  <c r="Q99" i="1"/>
  <c r="I24" i="5" s="1"/>
  <c r="I27" i="5" s="1"/>
  <c r="Q82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2" i="1"/>
  <c r="R99" i="1"/>
  <c r="J24" i="5" s="1"/>
  <c r="J27" i="5" s="1"/>
  <c r="I3" i="9" l="1" a="1"/>
  <c r="I5" i="9" s="1"/>
  <c r="I2" i="12" a="1"/>
  <c r="S48" i="11"/>
  <c r="K53" i="5"/>
  <c r="P50" i="5"/>
  <c r="O53" i="5"/>
  <c r="T60" i="5"/>
  <c r="S99" i="1"/>
  <c r="K24" i="5" s="1"/>
  <c r="K27" i="5" s="1"/>
  <c r="S82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99" i="1"/>
  <c r="L24" i="5" s="1"/>
  <c r="L27" i="5" s="1"/>
  <c r="T82" i="1"/>
  <c r="M53" i="5" s="1"/>
  <c r="U48" i="11" l="1"/>
  <c r="R50" i="5"/>
  <c r="Q53" i="5"/>
  <c r="V60" i="5"/>
  <c r="U82" i="1"/>
  <c r="N53" i="5" s="1"/>
  <c r="U99" i="1"/>
  <c r="M24" i="5" s="1"/>
  <c r="AF80" i="1"/>
  <c r="V48" i="11" l="1"/>
  <c r="M27" i="5"/>
  <c r="N24" i="5"/>
  <c r="S50" i="5"/>
  <c r="R53" i="5"/>
  <c r="W60" i="5"/>
  <c r="N85" i="1"/>
  <c r="O85" i="1" s="1"/>
  <c r="W48" i="11" l="1"/>
  <c r="O24" i="5"/>
  <c r="N27" i="5"/>
  <c r="S53" i="5"/>
  <c r="T50" i="5"/>
  <c r="X60" i="5"/>
  <c r="N84" i="1"/>
  <c r="O84" i="1"/>
  <c r="P85" i="1"/>
  <c r="X48" i="11" l="1"/>
  <c r="O98" i="1"/>
  <c r="O100" i="1" s="1"/>
  <c r="H31" i="5" s="1"/>
  <c r="H34" i="5" s="1"/>
  <c r="M5" i="10"/>
  <c r="H31" i="11" s="1"/>
  <c r="H34" i="11" s="1"/>
  <c r="N98" i="1"/>
  <c r="N100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85" i="1"/>
  <c r="P84" i="1"/>
  <c r="Y48" i="11" l="1"/>
  <c r="P98" i="1"/>
  <c r="P100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85" i="1"/>
  <c r="Q84" i="1"/>
  <c r="AA48" i="11" l="1"/>
  <c r="Z48" i="11"/>
  <c r="Q98" i="1"/>
  <c r="Q100" i="1" s="1"/>
  <c r="J31" i="5" s="1"/>
  <c r="J34" i="5" s="1"/>
  <c r="O5" i="10"/>
  <c r="J31" i="11" s="1"/>
  <c r="J34" i="11" s="1"/>
  <c r="R24" i="5"/>
  <c r="Q27" i="5"/>
  <c r="W50" i="5"/>
  <c r="V53" i="5"/>
  <c r="S85" i="1"/>
  <c r="R84" i="1"/>
  <c r="G2" i="12" l="1" a="1"/>
  <c r="G2" i="12" s="1"/>
  <c r="R98" i="1"/>
  <c r="R100" i="1" s="1"/>
  <c r="K31" i="5" s="1"/>
  <c r="K34" i="5" s="1"/>
  <c r="P5" i="10"/>
  <c r="K31" i="11" s="1"/>
  <c r="K34" i="11" s="1"/>
  <c r="R27" i="5"/>
  <c r="S24" i="5"/>
  <c r="X50" i="5"/>
  <c r="W53" i="5"/>
  <c r="S84" i="1"/>
  <c r="T85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98" i="1"/>
  <c r="S100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84" i="1"/>
  <c r="U85" i="1"/>
  <c r="L34" i="11" l="1"/>
  <c r="M31" i="11"/>
  <c r="T98" i="1"/>
  <c r="T100" i="1" s="1"/>
  <c r="R5" i="10"/>
  <c r="U84" i="1"/>
  <c r="V85" i="1"/>
  <c r="V84" i="1" s="1"/>
  <c r="T27" i="5"/>
  <c r="U24" i="5"/>
  <c r="L34" i="5"/>
  <c r="Z50" i="5"/>
  <c r="Y53" i="5"/>
  <c r="N31" i="11" l="1"/>
  <c r="M34" i="11"/>
  <c r="V98" i="1"/>
  <c r="V100" i="1" s="1"/>
  <c r="T5" i="10"/>
  <c r="U98" i="1"/>
  <c r="U100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tc={6CD6C4CA-E498-4D54-9079-67C6684A7737}</author>
    <author>tc={7D448B96-9EF3-473D-8237-30098D498358}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3" authorId="1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2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A35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5" authorId="3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0" authorId="4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49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8" authorId="5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59" authorId="6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3" authorId="7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69" authorId="8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1" authorId="9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2" authorId="10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3" authorId="11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4" authorId="12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85" authorId="13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8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2" authorId="14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96" authorId="15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96" authorId="16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96" authorId="17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96" authorId="18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<sst xmlns="http://schemas.openxmlformats.org/spreadsheetml/2006/main" count="967" uniqueCount="354">
  <si>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</si>
  <si>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</si>
  <si>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</si>
  <si>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</si>
  <si>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</si>
  <si>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</si>
  <si>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</si>
  <si>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</si>
  <si>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</si>
  <si>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</si>
  <si>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</si>
  <si>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</si>
  <si>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</si>
  <si>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</si>
  <si>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</si>
  <si>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</si>
  <si>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</si>
  <si>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</si>
  <si>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</si>
  <si>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</si>
  <si>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</si>
  <si>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</si>
  <si>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</si>
  <si>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</si>
  <si>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</si>
  <si>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</si>
  <si>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</si>
  <si>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</si>
  <si>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</si>
  <si>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</si>
  <si>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</si>
  <si>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</si>
  <si>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</si>
  <si>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</si>
  <si>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</si>
  <si>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</si>
  <si>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</si>
  <si>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</si>
  <si>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</si>
  <si>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</si>
  <si>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</si>
  <si>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</si>
  <si>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</si>
  <si>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</si>
  <si>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</si>
  <si>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</si>
  <si>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</si>
  <si>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</si>
  <si>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</si>
  <si>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</si>
  <si>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</si>
  <si>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</si>
  <si>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</si>
  <si>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</si>
  <si>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</si>
  <si>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</si>
  <si>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</si>
  <si>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</si>
  <si>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</si>
  <si>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</si>
  <si>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</si>
  <si>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</si>
  <si>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</si>
  <si>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</si>
  <si>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</si>
  <si>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</si>
  <si>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</si>
  <si>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</si>
  <si>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</si>
  <si>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</si>
  <si>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</si>
  <si>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</si>
  <si>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</si>
  <si>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</si>
  <si>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</si>
  <si>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</si>
  <si>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</si>
  <si>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</si>
  <si>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</si>
  <si>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</si>
  <si>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</si>
  <si>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</si>
  <si>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</si>
  <si>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</si>
  <si>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</si>
  <si>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</si>
  <si>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</si>
  <si>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</si>
  <si>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</si>
  <si>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</si>
  <si>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</si>
  <si>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</si>
  <si>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</si>
  <si>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</si>
  <si>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</si>
  <si>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</si>
  <si>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</si>
  <si>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</si>
  <si>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</si>
  <si>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</si>
  <si>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</si>
  <si>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</si>
  <si>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</si>
  <si>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</si>
  <si>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</si>
  <si>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</si>
  <si>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</si>
  <si>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</si>
  <si>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</si>
  <si>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</si>
  <si>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</si>
  <si>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</si>
  <si>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</si>
  <si>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</si>
  <si>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</si>
  <si>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</si>
  <si>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</si>
  <si>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</si>
  <si>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</si>
  <si>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</si>
  <si>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</si>
  <si>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</si>
  <si>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</si>
  <si>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</si>
  <si>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</si>
  <si>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</si>
  <si>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</si>
  <si>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</si>
  <si>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</si>
  <si>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</si>
  <si>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</si>
  <si>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</si>
  <si>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</si>
  <si>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</si>
  <si>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</si>
  <si>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</si>
  <si>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</si>
  <si>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</si>
  <si>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</si>
  <si>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</si>
  <si>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</si>
  <si>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</si>
  <si>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</si>
  <si>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</si>
  <si>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</si>
  <si>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</si>
  <si>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</si>
  <si>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</si>
  <si>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</si>
  <si>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</si>
  <si>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</si>
  <si>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</si>
  <si>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</si>
  <si>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</si>
  <si>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</si>
  <si>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</si>
  <si>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</si>
  <si>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</si>
  <si>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</si>
  <si>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</si>
  <si>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</si>
  <si>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</si>
  <si>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</si>
  <si>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</si>
  <si>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</si>
  <si>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</si>
  <si>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</si>
  <si>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</si>
  <si>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</si>
  <si>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</si>
  <si>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</si>
  <si>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</si>
  <si>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</si>
  <si>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</si>
  <si>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</si>
  <si>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</si>
  <si>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</si>
  <si>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</si>
  <si>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</si>
  <si>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</si>
  <si>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</si>
  <si>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</si>
  <si>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</si>
  <si>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</si>
  <si>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</si>
  <si>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</si>
  <si>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</si>
  <si>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</si>
  <si>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</si>
  <si>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</si>
  <si>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</si>
  <si>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</si>
  <si>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</si>
  <si>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</si>
  <si>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</si>
  <si>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</si>
  <si>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</si>
  <si>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</si>
  <si>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</si>
  <si>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</si>
  <si>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</si>
  <si>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</si>
  <si>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</si>
  <si>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</si>
  <si>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</si>
  <si>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</si>
  <si>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</si>
  <si>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</si>
  <si>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</si>
  <si>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</si>
  <si>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</si>
  <si>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</si>
  <si>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</si>
  <si>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</si>
  <si>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</si>
  <si>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</si>
  <si>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</si>
  <si>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</si>
  <si>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</si>
  <si>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</si>
  <si>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</si>
  <si>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</si>
  <si>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</si>
  <si>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</si>
  <si>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</si>
  <si>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</si>
  <si>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</si>
  <si>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</si>
  <si>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</si>
  <si>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</si>
  <si>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</si>
  <si>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</si>
  <si>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</si>
  <si>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</si>
  <si>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</si>
  <si>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</si>
  <si>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</si>
  <si>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</si>
  <si>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</si>
  <si>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</si>
  <si>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</si>
  <si>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</si>
  <si>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</si>
  <si>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</si>
  <si>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</si>
  <si>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</si>
  <si>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</si>
  <si>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</si>
  <si>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</si>
  <si>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</si>
  <si>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</si>
  <si>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</si>
  <si>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</si>
  <si>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</si>
  <si>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</si>
  <si>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</si>
  <si>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</si>
  <si>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</si>
  <si>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</si>
  <si>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</si>
  <si>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</si>
  <si>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</si>
  <si>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</si>
  <si>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</si>
  <si>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</si>
  <si>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</si>
  <si>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</si>
  <si>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</si>
  <si>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</si>
  <si>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</si>
  <si>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</si>
  <si>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</si>
  <si>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</si>
  <si>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</si>
  <si>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</si>
  <si>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</si>
  <si>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</si>
  <si>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</si>
  <si>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</si>
  <si>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</si>
  <si>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</si>
  <si>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</si>
  <si>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</si>
  <si>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</si>
  <si>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</si>
  <si>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</si>
  <si>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</si>
  <si>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</si>
  <si>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</si>
  <si>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</si>
  <si>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</si>
  <si>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</si>
  <si>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</si>
  <si>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</si>
  <si>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</si>
  <si>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</si>
  <si>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</si>
  <si>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</si>
  <si>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</si>
  <si>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</si>
  <si>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</si>
  <si>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</si>
  <si>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</si>
  <si>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</si>
  <si>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</si>
  <si>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</si>
  <si>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</si>
  <si>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</si>
  <si>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</si>
  <si>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</si>
  <si>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</si>
  <si>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</si>
  <si>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</si>
  <si>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</si>
  <si>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</si>
  <si>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</si>
  <si>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</si>
  <si>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</si>
  <si>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</si>
  <si>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</si>
  <si>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</si>
  <si>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</si>
  <si>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</si>
  <si>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</si>
  <si>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</si>
  <si>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</si>
  <si>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</si>
  <si>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</si>
  <si>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</si>
  <si>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</si>
  <si>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</si>
  <si>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</si>
  <si>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</si>
  <si>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</si>
  <si>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</si>
  <si>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</si>
  <si>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</si>
  <si>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second estimate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</si>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</sst>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NumberFormat="1"/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  <xf numFmtId="173" fontId="0" fillId="16" borderId="33" xfId="1" applyNumberFormat="1" applyFont="1" applyFill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M35" dT="2020-10-29T15:30:32.00" personId="{2D35AFA9-F227-4AE7-B9A7-D673D9D18C70}" id="{7314685E-335E-47AA-B478-1BA6ABF2BDA3}">
    <text>BEA has 771k for total UI but not including Trump UI. Add trump UI for the real total</text>
  </threadedComment>
  <threadedComment ref="O40" dT="2020-12-21T20:20:53.19" personId="{2D35AFA9-F227-4AE7-B9A7-D673D9D18C70}" id="{299B58A4-BA69-464A-9D14-5A970E50857A}">
    <text>CRFB: estimate of $120B. And then annualized</text>
  </threadedComment>
  <threadedComment ref="O58" dT="2020-12-17T16:13:31.41" personId="{2D35AFA9-F227-4AE7-B9A7-D673D9D18C70}" id="{C5311C2D-4764-4363-AE1C-A82227666FB7}">
    <text>estimated $300 billion next year. over three quarters = 100. annualized ( x4).</text>
  </threadedComment>
  <threadedComment ref="O58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59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3" dT="2020-09-10T19:09:05.64" personId="{2D35AFA9-F227-4AE7-B9A7-D673D9D18C70}" id="{2D81BDF9-A0D8-4A1A-915B-91D32E8E61FF}">
    <text>grow with nom purchases</text>
  </threadedComment>
  <threadedComment ref="L69" dT="2020-10-27T15:26:37.39" personId="{2D35AFA9-F227-4AE7-B9A7-D673D9D18C70}" id="{33EF6DF5-9556-47EC-86E1-A12FDBDC0AA8}">
    <text>CBO indicated 17 for q2? why do we split the quarter 3 payments into q2?</text>
  </threadedComment>
  <threadedComment ref="L69" dT="2020-10-28T16:31:53.35" personId="{2D35AFA9-F227-4AE7-B9A7-D673D9D18C70}" id="{1079BF34-6E2F-4888-8715-72B28B28D9AA}" parentId="{33EF6DF5-9556-47EC-86E1-A12FDBDC0AA8}">
    <text>we're comfortable leaving this as is</text>
  </threadedComment>
  <threadedComment ref="O71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2" dT="2020-12-21T21:00:34.35" personId="{2D35AFA9-F227-4AE7-B9A7-D673D9D18C70}" id="{DA48DE65-66E5-4DD8-819A-2F757A61D389}">
    <text>CRFB: estimates $82B. According to the Louise x Wendy, MPC is 100% over 3 years.</text>
  </threadedComment>
  <threadedComment ref="O73" dT="2020-12-21T21:03:38.65" personId="{2D35AFA9-F227-4AE7-B9A7-D673D9D18C70}" id="{1FC8F5D3-F5DD-4502-A8BF-AD36B99CFAF5}">
    <text>CRFB: estimates $63B. MPC is 100% over 12 quarters and then annualize</text>
  </threadedComment>
  <threadedComment ref="O74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85" dT="2020-09-11T20:43:00.49" personId="{2D35AFA9-F227-4AE7-B9A7-D673D9D18C70}" id="{11731043-8530-4DAC-9476-3C98D0D836BB}">
    <text>grow with S&amp;L nom purchases</text>
  </threadedComment>
  <threadedComment ref="N92" dT="2020-10-29T17:11:18.12" personId="{2D35AFA9-F227-4AE7-B9A7-D673D9D18C70}" id="{DF0EC25E-9AE4-45F2-BCE9-95D46AA2D480}">
    <text>CBO projected is 1.96%</text>
  </threadedComment>
  <threadedComment ref="M96" dT="2020-09-30T15:34:05.87" personId="{2D35AFA9-F227-4AE7-B9A7-D673D9D18C70}" id="{55BAE892-7CB3-4E1D-8C31-C7FA6DC5B9F4}">
    <text>OVERRIDE IN THE FIM WITH -5%</text>
  </threadedComment>
  <threadedComment ref="N96" dT="2020-09-30T15:34:25.90" personId="{2D35AFA9-F227-4AE7-B9A7-D673D9D18C70}" id="{5A5A9177-799E-4FBA-A407-831B591270CB}">
    <text>overide in the fim with 4%</text>
  </threadedComment>
  <threadedComment ref="N96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96" dT="2020-09-30T15:34:25.90" personId="{2D35AFA9-F227-4AE7-B9A7-D673D9D18C70}" id="{6E4225DC-7AF1-4149-8AFD-DF5FEAFAE0CE}">
    <text>overide in the fim with 4%</text>
  </threadedComment>
  <threadedComment ref="O96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96" dT="2020-09-30T15:34:25.90" personId="{2D35AFA9-F227-4AE7-B9A7-D673D9D18C70}" id="{E0AA59A4-D972-4354-844E-3B08443F6713}">
    <text>overide in the fim with 4%</text>
  </threadedComment>
  <threadedComment ref="P96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08"/>
  <sheetViews>
    <sheetView tabSelected="1" zoomScale="110" zoomScaleNormal="110" workbookViewId="0">
      <pane xSplit="2" ySplit="3" topLeftCell="U4" activePane="bottomRight" state="frozen"/>
      <selection pane="topRight" activeCell="C1" sqref="C1"/>
      <selection pane="bottomLeft" activeCell="A4" sqref="A4"/>
      <selection pane="bottomRight" activeCell="V22" sqref="V22"/>
    </sheetView>
  </sheetViews>
  <sheetFormatPr defaultColWidth="8.81640625" defaultRowHeight="14.5" x14ac:dyDescent="0.35"/>
  <cols>
    <col min="1" max="1" width="29.906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9" max="39" width="8.6328125" style="146"/>
  </cols>
  <sheetData>
    <row r="1" spans="1:43" ht="18.5" x14ac:dyDescent="0.45">
      <c r="A1" s="301" t="s">
        <v>163</v>
      </c>
      <c r="B1" s="301"/>
      <c r="C1" s="280"/>
      <c r="D1" s="280"/>
      <c r="E1" s="35"/>
      <c r="M1" t="s">
        <v>337</v>
      </c>
      <c r="AC1" s="179" t="s">
        <v>249</v>
      </c>
      <c r="AD1" s="303" t="s">
        <v>247</v>
      </c>
      <c r="AE1" s="303"/>
      <c r="AF1" s="303"/>
      <c r="AG1" t="s">
        <v>28</v>
      </c>
      <c r="AI1" s="304" t="s">
        <v>281</v>
      </c>
      <c r="AJ1" s="304"/>
      <c r="AK1" s="304"/>
      <c r="AL1" s="304"/>
      <c r="AM1" s="302" t="s">
        <v>279</v>
      </c>
      <c r="AN1" s="302"/>
      <c r="AO1" s="302"/>
      <c r="AP1" s="302"/>
    </row>
    <row r="2" spans="1:43" x14ac:dyDescent="0.35">
      <c r="F2" s="300" t="s">
        <v>21</v>
      </c>
      <c r="G2" s="300"/>
      <c r="H2" s="300"/>
      <c r="I2" s="300"/>
      <c r="J2" s="300" t="s">
        <v>9</v>
      </c>
      <c r="K2" s="300"/>
      <c r="L2" s="300"/>
      <c r="M2" s="300"/>
      <c r="N2" s="300" t="s">
        <v>10</v>
      </c>
      <c r="O2" s="300"/>
      <c r="P2" s="300"/>
      <c r="Q2" s="300"/>
      <c r="R2" s="300" t="s">
        <v>11</v>
      </c>
      <c r="S2" s="300"/>
      <c r="T2" s="300"/>
      <c r="U2" s="300"/>
      <c r="V2" s="300" t="s">
        <v>268</v>
      </c>
      <c r="W2" s="300"/>
      <c r="X2" s="300"/>
      <c r="Y2" s="300"/>
      <c r="Z2" s="229"/>
      <c r="AA2" s="298"/>
      <c r="AB2" s="229"/>
      <c r="AC2" s="156"/>
      <c r="AD2" s="300" t="s">
        <v>102</v>
      </c>
      <c r="AE2" s="300"/>
      <c r="AF2" s="300"/>
      <c r="AG2" s="156"/>
      <c r="AH2" s="156" t="s">
        <v>21</v>
      </c>
      <c r="AI2" s="300" t="s">
        <v>102</v>
      </c>
      <c r="AJ2" s="300"/>
      <c r="AK2" s="300"/>
      <c r="AL2" s="230"/>
    </row>
    <row r="3" spans="1:43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8.5" x14ac:dyDescent="0.45">
      <c r="A4" s="299" t="s">
        <v>264</v>
      </c>
      <c r="B4" s="299"/>
      <c r="C4" s="280"/>
      <c r="D4" s="280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3">
      <c r="A6" s="170" t="s">
        <v>216</v>
      </c>
      <c r="C6" s="281"/>
      <c r="D6" s="281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8.3862275295720767E-2</v>
      </c>
      <c r="N6" s="198">
        <f>N5/M5-1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35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35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3261.5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D11" s="146"/>
      <c r="AI11" s="146"/>
    </row>
    <row r="12" spans="1:43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1687.2</v>
      </c>
      <c r="N12" s="169">
        <f>M12*(1+N13)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1695.825</v>
      </c>
      <c r="AE12" s="45">
        <f>AVERAGE(N12:Q12)</f>
        <v>1883.0203657405443</v>
      </c>
      <c r="AF12" s="45">
        <f>AVERAGE(R12:U12)</f>
        <v>1978.5558845578876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35">
      <c r="A13" s="219" t="s">
        <v>216</v>
      </c>
      <c r="C13" s="281"/>
      <c r="D13" s="281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35">
      <c r="A15" s="219" t="s">
        <v>216</v>
      </c>
      <c r="C15" s="281"/>
      <c r="D15" s="281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1429.6</v>
      </c>
      <c r="N16" s="169">
        <f>M16*(1+N17)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1410.9210000000003</v>
      </c>
      <c r="AE16" s="45">
        <f>AVERAGE(N16:Q16)</f>
        <v>1465.655886794854</v>
      </c>
      <c r="AF16" s="45">
        <f>AVERAGE(R16:U16)</f>
        <v>1543.257446916881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35">
      <c r="A17" s="219" t="s">
        <v>216</v>
      </c>
      <c r="C17" s="281"/>
      <c r="D17" s="281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205.3</v>
      </c>
      <c r="N18" s="169">
        <f>M18*(1+N19)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196.75</v>
      </c>
      <c r="AE18" s="45">
        <f>AVERAGE(N18:Q18)</f>
        <v>215.21475611492184</v>
      </c>
      <c r="AF18" s="45">
        <f>AVERAGE(R18:U18)</f>
        <v>255.09194929392049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35">
      <c r="A19" s="178" t="s">
        <v>216</v>
      </c>
      <c r="C19" s="281"/>
      <c r="D19" s="281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35">
      <c r="A20" s="170"/>
      <c r="C20" s="281"/>
      <c r="D20" s="281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35">
      <c r="A21" t="s">
        <v>265</v>
      </c>
      <c r="C21" s="281"/>
      <c r="D21" s="281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35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1836.9459999999999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9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499.4</v>
      </c>
      <c r="N23" s="102">
        <f>M23*(1+N$6)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9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1317.3</v>
      </c>
      <c r="N24" s="102">
        <f>M24*(1+N$6)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9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20.245999999999999</v>
      </c>
      <c r="N25" s="102">
        <f>M25*(1+N$6)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9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79.099999999999994</v>
      </c>
      <c r="N26" s="102">
        <f>M26*(1+N6)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9" s="187" customFormat="1" x14ac:dyDescent="0.35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35">
      <c r="A28" s="196"/>
      <c r="B28" s="197"/>
      <c r="C28" s="281"/>
      <c r="D28" s="281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3488125</v>
      </c>
      <c r="N30" s="44">
        <f>N31+N35+N45</f>
        <v>2847845.8319988288</v>
      </c>
      <c r="O30" s="44">
        <f t="shared" ref="O30:U30" si="19">O31+O35+O45</f>
        <v>3232064.9561336781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</f>
        <v>863499.75597117806</v>
      </c>
      <c r="P31" s="87">
        <f>O31*((($AJ$31/$AI$31)^0.25))</f>
        <v>874074.254602495</v>
      </c>
      <c r="Q31" s="87">
        <f>P31*((($AJ$31/$AI$31)^0.25))</f>
        <v>884778.24953132728</v>
      </c>
      <c r="R31" s="87">
        <f>Q31*((($AK$31/$AJ$31)^0.25))</f>
        <v>913710.09912095172</v>
      </c>
      <c r="S31" s="87">
        <f>R31*((($AK$31/$AJ$31)^0.25))</f>
        <v>943588.00713947637</v>
      </c>
      <c r="T31" s="87">
        <f>S31*((($AK$31/$AJ$31)^0.25))</f>
        <v>974442.9092707095</v>
      </c>
      <c r="U31" s="87">
        <f>T31*((($AK$31/$AJ$31)^0.25))</f>
        <v>1006306.7527813631</v>
      </c>
      <c r="V31" s="87">
        <f>U31*((($AL$31/$AK$31)^0.25))</f>
        <v>1016447.3981375673</v>
      </c>
      <c r="W31" s="87">
        <f>V31*((($AL$31/$AK$31)^0.25))</f>
        <v>1026690.2317062188</v>
      </c>
      <c r="X31" s="87">
        <f>W31*((($AL$31/$AK$31)^0.25))</f>
        <v>1037036.2832472979</v>
      </c>
      <c r="Y31" s="87">
        <f>X31*((($AL$31/$AK$31)^0.25))</f>
        <v>1047486.5928977706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868.85136177595723</v>
      </c>
      <c r="AF31" s="45">
        <f>AVERAGE(R31:U31)/1000</f>
        <v>959.51194207812523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x14ac:dyDescent="0.35">
      <c r="A32" s="93" t="s">
        <v>342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7" customFormat="1" x14ac:dyDescent="0.35">
      <c r="A33" s="296" t="s">
        <v>343</v>
      </c>
      <c r="F33" s="288"/>
      <c r="G33" s="288"/>
      <c r="H33" s="288"/>
      <c r="I33" s="288"/>
      <c r="J33" s="288"/>
      <c r="K33" s="288"/>
      <c r="L33" s="288"/>
      <c r="M33" s="289"/>
      <c r="N33" s="290"/>
      <c r="O33" s="290">
        <v>664000</v>
      </c>
      <c r="P33" s="290"/>
      <c r="Q33" s="290"/>
      <c r="R33" s="290"/>
      <c r="S33" s="290"/>
      <c r="T33" s="290"/>
      <c r="U33" s="290"/>
      <c r="AD33" s="292"/>
      <c r="AE33" s="292"/>
      <c r="AF33" s="292"/>
      <c r="AG33" s="291"/>
      <c r="AI33" s="291"/>
      <c r="AJ33" s="291"/>
      <c r="AK33" s="291"/>
      <c r="AL33" s="291"/>
      <c r="AM33" s="293"/>
    </row>
    <row r="34" spans="1:41" s="287" customFormat="1" x14ac:dyDescent="0.35">
      <c r="A34" s="296" t="s">
        <v>350</v>
      </c>
      <c r="F34" s="288"/>
      <c r="G34" s="288"/>
      <c r="H34" s="288"/>
      <c r="I34" s="288"/>
      <c r="J34" s="288"/>
      <c r="K34" s="288"/>
      <c r="L34" s="288"/>
      <c r="M34" s="289"/>
      <c r="N34" s="290"/>
      <c r="O34" s="290">
        <v>52000</v>
      </c>
      <c r="P34" s="290">
        <v>52000</v>
      </c>
      <c r="Q34" s="290"/>
      <c r="R34" s="290"/>
      <c r="S34" s="290"/>
      <c r="T34" s="290"/>
      <c r="U34" s="290"/>
      <c r="AD34" s="292"/>
      <c r="AE34" s="292"/>
      <c r="AF34" s="292"/>
      <c r="AG34" s="291"/>
      <c r="AI34" s="291"/>
      <c r="AJ34" s="291"/>
      <c r="AK34" s="291"/>
      <c r="AL34" s="291"/>
      <c r="AM34" s="293"/>
    </row>
    <row r="35" spans="1:41" x14ac:dyDescent="0.35">
      <c r="A35" s="86" t="s">
        <v>141</v>
      </c>
      <c r="F35" s="204">
        <v>27025</v>
      </c>
      <c r="G35" s="204">
        <v>28029</v>
      </c>
      <c r="H35" s="204">
        <v>27483</v>
      </c>
      <c r="I35" s="204">
        <v>27578</v>
      </c>
      <c r="J35" s="204">
        <v>27884</v>
      </c>
      <c r="K35" s="204">
        <v>43429</v>
      </c>
      <c r="L35" s="204">
        <v>1112564</v>
      </c>
      <c r="M35" s="199">
        <f>M36+M39</f>
        <v>874878</v>
      </c>
      <c r="N35" s="87">
        <f>N37+N41</f>
        <v>337800</v>
      </c>
      <c r="O35" s="87">
        <f t="shared" ref="O35:V35" si="20">O37+O41</f>
        <v>724000</v>
      </c>
      <c r="P35" s="87">
        <f t="shared" si="20"/>
        <v>152000</v>
      </c>
      <c r="Q35" s="87">
        <f t="shared" si="20"/>
        <v>44000</v>
      </c>
      <c r="R35" s="87">
        <f t="shared" si="20"/>
        <v>44000</v>
      </c>
      <c r="S35" s="87">
        <f t="shared" si="20"/>
        <v>44000</v>
      </c>
      <c r="T35" s="87">
        <f t="shared" si="20"/>
        <v>44000</v>
      </c>
      <c r="U35" s="87">
        <f t="shared" si="20"/>
        <v>44000</v>
      </c>
      <c r="V35" s="87">
        <f t="shared" si="20"/>
        <v>44000</v>
      </c>
      <c r="W35" s="44"/>
      <c r="X35" s="3"/>
      <c r="Y35" s="3"/>
      <c r="Z35" s="3"/>
      <c r="AA35" s="3"/>
      <c r="AB35" s="3"/>
      <c r="AC35" s="3">
        <f>AVERAGE(F35:I35)/1000</f>
        <v>27.528749999999999</v>
      </c>
      <c r="AD35" s="45">
        <f>AVERAGE(J35:M35)/1000</f>
        <v>514.68875000000003</v>
      </c>
      <c r="AE35" s="45">
        <f t="shared" ref="AE35:AE45" si="21">AVERAGE(N35:Q35)/1000</f>
        <v>314.45</v>
      </c>
      <c r="AF35" s="45">
        <f t="shared" ref="AF35:AF45" si="22">AVERAGE(R35:U35)/1000</f>
        <v>44</v>
      </c>
      <c r="AH35">
        <v>27.6</v>
      </c>
      <c r="AI35" s="3">
        <v>557</v>
      </c>
      <c r="AJ35" s="3">
        <v>166</v>
      </c>
      <c r="AK35" s="3">
        <v>67</v>
      </c>
      <c r="AL35" s="3"/>
      <c r="AM35" s="184"/>
    </row>
    <row r="36" spans="1:41" x14ac:dyDescent="0.35">
      <c r="A36" s="115" t="s">
        <v>335</v>
      </c>
      <c r="B36" t="s">
        <v>283</v>
      </c>
      <c r="C36" t="s">
        <v>307</v>
      </c>
      <c r="D36"/>
      <c r="F36" s="204"/>
      <c r="G36" s="204"/>
      <c r="H36" s="204"/>
      <c r="I36" s="204"/>
      <c r="J36" s="204"/>
      <c r="K36" s="204"/>
      <c r="L36" s="204"/>
      <c r="M36" s="199">
        <f>VLOOKUP(C36,'Haver NA'!$A$1:$I$34,9,0)</f>
        <v>768678</v>
      </c>
      <c r="N36" s="87"/>
      <c r="O36" s="87"/>
      <c r="P36" s="87"/>
      <c r="Q36" s="87"/>
      <c r="R36" s="87"/>
      <c r="S36" s="87"/>
      <c r="T36" s="87"/>
      <c r="U36" s="87"/>
      <c r="V36" s="87"/>
      <c r="W36" s="44"/>
      <c r="X36" s="3"/>
      <c r="Y36" s="3"/>
      <c r="Z36" s="3"/>
      <c r="AA36" s="3"/>
      <c r="AB36" s="3"/>
      <c r="AC36" s="3"/>
      <c r="AD36" s="45"/>
      <c r="AE36" s="45"/>
      <c r="AF36" s="45"/>
      <c r="AI36" s="3"/>
      <c r="AJ36" s="3"/>
      <c r="AK36" s="3"/>
      <c r="AL36" s="3"/>
      <c r="AM36" s="184"/>
    </row>
    <row r="37" spans="1:41" x14ac:dyDescent="0.35">
      <c r="A37" s="117" t="s">
        <v>213</v>
      </c>
      <c r="F37" s="204"/>
      <c r="G37" s="204"/>
      <c r="H37" s="204"/>
      <c r="I37" s="204"/>
      <c r="J37" s="204"/>
      <c r="K37" s="204"/>
      <c r="L37" s="204">
        <f>L38+L39</f>
        <v>834933.33333333326</v>
      </c>
      <c r="M37" s="199">
        <f>M38+M39</f>
        <v>738200</v>
      </c>
      <c r="N37" s="87">
        <f>SUM(N38:N40)</f>
        <v>257800</v>
      </c>
      <c r="O37" s="87">
        <f>SUM(O38:O40)</f>
        <v>664000</v>
      </c>
      <c r="P37" s="87">
        <f>SUM(P38:P40)</f>
        <v>108000</v>
      </c>
      <c r="Q37" s="87">
        <f t="shared" ref="Q37" si="23">Q38+Q39+Q40</f>
        <v>0</v>
      </c>
      <c r="R37" s="87">
        <f t="shared" ref="R37" si="24">R38+R39</f>
        <v>0</v>
      </c>
      <c r="S37" s="87"/>
      <c r="T37" s="87"/>
      <c r="U37" s="87"/>
      <c r="V37" s="3"/>
      <c r="W37" s="44"/>
      <c r="X37" s="3"/>
      <c r="Y37" s="3"/>
      <c r="Z37" s="3"/>
      <c r="AA37" s="3"/>
      <c r="AB37" s="3"/>
      <c r="AC37" s="3"/>
      <c r="AD37" s="45"/>
      <c r="AE37" s="45"/>
      <c r="AF37" s="45"/>
      <c r="AG37" s="3"/>
      <c r="AI37" s="3"/>
      <c r="AJ37" s="3"/>
      <c r="AK37" s="3"/>
      <c r="AL37" s="3"/>
      <c r="AM37" s="184"/>
    </row>
    <row r="38" spans="1:41" x14ac:dyDescent="0.35">
      <c r="A38" s="282" t="s">
        <v>138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UI'!M17*1000</f>
        <v>834933.33333333326</v>
      </c>
      <c r="M38" s="199">
        <f>1000*'figuring out UI'!N17</f>
        <v>632000</v>
      </c>
      <c r="N38" s="87">
        <f>1000*'figuring out UI'!O17</f>
        <v>188000</v>
      </c>
      <c r="O38" s="87">
        <f>1000*'figuring out UI'!P17</f>
        <v>184000</v>
      </c>
      <c r="P38" s="87">
        <f>1000*'figuring out UI'!Q17</f>
        <v>108000</v>
      </c>
      <c r="Q38" s="87">
        <f>1000*'figuring out UI'!R17</f>
        <v>0</v>
      </c>
      <c r="R38" s="87">
        <f>1000*'figuring out UI'!S17</f>
        <v>0</v>
      </c>
      <c r="S38" s="87">
        <f>1000*'figuring out UI'!T17</f>
        <v>0</v>
      </c>
      <c r="T38" s="87">
        <f>1000*'figuring out UI'!U17</f>
        <v>0</v>
      </c>
      <c r="U38" s="87">
        <f>1000*'figuring out UI'!V17</f>
        <v>0</v>
      </c>
      <c r="V38" s="3"/>
      <c r="W38" s="44"/>
      <c r="X38" s="3"/>
      <c r="Y38" s="3"/>
      <c r="Z38" s="3"/>
      <c r="AA38" s="3"/>
      <c r="AB38" s="3"/>
      <c r="AC38" s="3"/>
      <c r="AD38" s="45">
        <f>AVERAGE(J38:M38)/1000</f>
        <v>366.73333333333329</v>
      </c>
      <c r="AE38" s="45">
        <f t="shared" si="21"/>
        <v>120</v>
      </c>
      <c r="AF38" s="45">
        <f t="shared" si="22"/>
        <v>0</v>
      </c>
      <c r="AG38" s="3"/>
      <c r="AI38" s="3"/>
      <c r="AJ38" s="3"/>
      <c r="AK38" s="3"/>
      <c r="AL38" s="3"/>
      <c r="AM38" s="184"/>
    </row>
    <row r="39" spans="1:41" x14ac:dyDescent="0.35">
      <c r="A39" s="282" t="s">
        <v>162</v>
      </c>
      <c r="F39" s="204"/>
      <c r="G39" s="204"/>
      <c r="H39" s="204"/>
      <c r="I39" s="204"/>
      <c r="J39" s="204"/>
      <c r="K39" s="204"/>
      <c r="L39" s="204"/>
      <c r="M39" s="199">
        <v>106200</v>
      </c>
      <c r="N39" s="87">
        <f>(44000*4)-M39</f>
        <v>69800</v>
      </c>
      <c r="O39" s="87"/>
      <c r="P39" s="87"/>
      <c r="Q39" s="87"/>
      <c r="R39" s="87"/>
      <c r="S39" s="87"/>
      <c r="T39" s="87"/>
      <c r="U39" s="87"/>
      <c r="V39" s="3"/>
      <c r="W39" s="44"/>
      <c r="X39" s="3"/>
      <c r="Y39" s="3"/>
      <c r="Z39" s="3"/>
      <c r="AA39" s="3"/>
      <c r="AB39" s="3"/>
      <c r="AC39" s="3"/>
      <c r="AD39" s="45"/>
      <c r="AE39" s="45"/>
      <c r="AF39" s="45"/>
      <c r="AG39" s="3"/>
      <c r="AI39" s="3"/>
      <c r="AJ39" s="3"/>
      <c r="AK39" s="3"/>
      <c r="AL39" s="3"/>
      <c r="AM39" s="184"/>
    </row>
    <row r="40" spans="1:41" s="287" customFormat="1" ht="14.5" customHeight="1" x14ac:dyDescent="0.35">
      <c r="A40" s="286" t="s">
        <v>348</v>
      </c>
      <c r="F40" s="288"/>
      <c r="G40" s="288"/>
      <c r="H40" s="288"/>
      <c r="I40" s="288"/>
      <c r="J40" s="288"/>
      <c r="K40" s="288"/>
      <c r="L40" s="288"/>
      <c r="M40" s="289"/>
      <c r="N40" s="290"/>
      <c r="O40" s="290">
        <v>480000</v>
      </c>
      <c r="P40" s="290"/>
      <c r="Q40" s="290"/>
      <c r="R40" s="290"/>
      <c r="S40" s="290"/>
      <c r="T40" s="290"/>
      <c r="U40" s="290"/>
      <c r="V40" s="291"/>
      <c r="W40" s="291"/>
      <c r="X40" s="291"/>
      <c r="Y40" s="291"/>
      <c r="Z40" s="291"/>
      <c r="AA40" s="291"/>
      <c r="AB40" s="291"/>
      <c r="AC40" s="291"/>
      <c r="AD40" s="292"/>
      <c r="AE40" s="292"/>
      <c r="AF40" s="292"/>
      <c r="AG40" s="291"/>
      <c r="AI40" s="291"/>
      <c r="AJ40" s="291"/>
      <c r="AK40" s="291"/>
      <c r="AL40" s="291"/>
      <c r="AM40" s="293"/>
    </row>
    <row r="41" spans="1:41" x14ac:dyDescent="0.35">
      <c r="A41" s="117" t="s">
        <v>139</v>
      </c>
      <c r="F41" s="204"/>
      <c r="G41" s="204"/>
      <c r="H41" s="204"/>
      <c r="I41" s="204"/>
      <c r="J41" s="204">
        <v>0</v>
      </c>
      <c r="K41" s="204">
        <v>0</v>
      </c>
      <c r="L41" s="204">
        <f>'figuring out UI'!M18*1000</f>
        <v>277600</v>
      </c>
      <c r="M41" s="199">
        <f>1000*'figuring out UI'!N18</f>
        <v>140000</v>
      </c>
      <c r="N41" s="87">
        <f>1000*'figuring out UI'!O18</f>
        <v>80000</v>
      </c>
      <c r="O41" s="87">
        <f>1000*'figuring out UI'!P18</f>
        <v>60000</v>
      </c>
      <c r="P41" s="87">
        <f>1000*'figuring out UI'!Q18</f>
        <v>44000</v>
      </c>
      <c r="Q41" s="87">
        <f>1000*'figuring out UI'!R18</f>
        <v>44000</v>
      </c>
      <c r="R41" s="87">
        <f>1000*'figuring out UI'!S18</f>
        <v>44000</v>
      </c>
      <c r="S41" s="87">
        <f>1000*'figuring out UI'!T18</f>
        <v>44000</v>
      </c>
      <c r="T41" s="87">
        <f>1000*'figuring out UI'!U18</f>
        <v>44000</v>
      </c>
      <c r="U41" s="87">
        <f>1000*'figuring out UI'!V18</f>
        <v>44000</v>
      </c>
      <c r="V41" s="87">
        <f>1000*'figuring out UI'!W18</f>
        <v>44000</v>
      </c>
      <c r="W41" s="44"/>
      <c r="X41" s="3"/>
      <c r="Y41" s="3"/>
      <c r="Z41" s="3"/>
      <c r="AA41" s="3"/>
      <c r="AB41" s="3"/>
      <c r="AC41" s="3"/>
      <c r="AD41" s="45">
        <f>AVERAGE(J41:M41)/1000</f>
        <v>104.4</v>
      </c>
      <c r="AE41" s="45">
        <f t="shared" si="21"/>
        <v>57</v>
      </c>
      <c r="AF41" s="45">
        <f t="shared" si="22"/>
        <v>44</v>
      </c>
      <c r="AG41" s="3"/>
      <c r="AI41" s="3"/>
      <c r="AJ41" s="3"/>
      <c r="AK41" s="3"/>
      <c r="AL41" s="3"/>
      <c r="AM41" s="184"/>
    </row>
    <row r="42" spans="1:41" ht="29" x14ac:dyDescent="0.35">
      <c r="A42" s="86" t="s">
        <v>147</v>
      </c>
      <c r="F42" s="204"/>
      <c r="G42" s="204"/>
      <c r="H42" s="204"/>
      <c r="I42" s="204"/>
      <c r="J42" s="204">
        <v>0</v>
      </c>
      <c r="K42" s="204">
        <v>0</v>
      </c>
      <c r="L42" s="204">
        <f>SUM(L43:L44)</f>
        <v>179900</v>
      </c>
      <c r="M42" s="199">
        <f>SUM(M43:M44)</f>
        <v>85400</v>
      </c>
      <c r="N42" s="87">
        <f>SUM(N43:N44)</f>
        <v>51804.841653418123</v>
      </c>
      <c r="O42" s="87">
        <f t="shared" ref="O42:R42" si="25">SUM(O43:O44)</f>
        <v>43377.595548489669</v>
      </c>
      <c r="P42" s="87">
        <f t="shared" si="25"/>
        <v>43000</v>
      </c>
      <c r="Q42" s="87">
        <f t="shared" si="25"/>
        <v>43000</v>
      </c>
      <c r="R42" s="87">
        <f t="shared" si="25"/>
        <v>15000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>
        <f>AVERAGE(J42:M42)/1000</f>
        <v>66.325000000000003</v>
      </c>
      <c r="AE42" s="45">
        <f t="shared" si="21"/>
        <v>45.295609300476947</v>
      </c>
      <c r="AF42" s="45">
        <f t="shared" ref="AF42" si="26">AVERAGE(R42:U42)/1000</f>
        <v>15</v>
      </c>
      <c r="AG42" s="3"/>
      <c r="AI42" s="3">
        <f>'figuring out social benefits'!G48</f>
        <v>105</v>
      </c>
      <c r="AJ42" s="3"/>
      <c r="AK42" s="3"/>
      <c r="AL42" s="3"/>
      <c r="AM42" s="184"/>
    </row>
    <row r="43" spans="1:41" x14ac:dyDescent="0.35">
      <c r="A43" s="117" t="s">
        <v>206</v>
      </c>
      <c r="B43" t="s">
        <v>283</v>
      </c>
      <c r="C43" t="s">
        <v>308</v>
      </c>
      <c r="D43"/>
      <c r="F43" s="204"/>
      <c r="G43" s="204"/>
      <c r="H43" s="204"/>
      <c r="I43" s="204"/>
      <c r="J43" s="204"/>
      <c r="K43" s="204"/>
      <c r="L43" s="204">
        <v>19000</v>
      </c>
      <c r="M43" s="199">
        <f>VLOOKUP(C43,'Haver NA'!$A$1:$I$34,9,0)</f>
        <v>27000</v>
      </c>
      <c r="N43" s="87">
        <v>8804.8416534181251</v>
      </c>
      <c r="O43" s="87">
        <v>377.5955484896661</v>
      </c>
      <c r="P43" s="87">
        <v>0</v>
      </c>
      <c r="Q43" s="87">
        <v>0</v>
      </c>
      <c r="R43" s="87">
        <v>0</v>
      </c>
      <c r="S43" s="87"/>
      <c r="T43" s="87"/>
      <c r="U43" s="87"/>
      <c r="V43" s="87"/>
      <c r="W43" s="133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I43" s="3"/>
      <c r="AJ43" s="3"/>
      <c r="AK43" s="3"/>
      <c r="AL43" s="3"/>
      <c r="AM43" s="184"/>
    </row>
    <row r="44" spans="1:41" x14ac:dyDescent="0.35">
      <c r="A44" s="117" t="s">
        <v>207</v>
      </c>
      <c r="B44" t="s">
        <v>283</v>
      </c>
      <c r="C44" t="s">
        <v>309</v>
      </c>
      <c r="D44"/>
      <c r="F44" s="204"/>
      <c r="G44" s="204"/>
      <c r="H44" s="204"/>
      <c r="I44" s="204"/>
      <c r="J44" s="204"/>
      <c r="K44" s="204"/>
      <c r="L44" s="204">
        <v>160900</v>
      </c>
      <c r="M44" s="199">
        <f>VLOOKUP(C44,'Haver NA'!$A$1:$I$34,9,0)</f>
        <v>58400</v>
      </c>
      <c r="N44" s="87">
        <v>43000</v>
      </c>
      <c r="O44" s="87">
        <v>43000</v>
      </c>
      <c r="P44" s="87">
        <v>43000</v>
      </c>
      <c r="Q44" s="87">
        <v>43000</v>
      </c>
      <c r="R44" s="87">
        <v>15000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43.5" x14ac:dyDescent="0.35">
      <c r="A45" s="86" t="s">
        <v>149</v>
      </c>
      <c r="F45" s="199">
        <f>F30-F32-F35-F31</f>
        <v>1440187</v>
      </c>
      <c r="G45" s="199">
        <f>G30-G32-G35-G31</f>
        <v>1503410</v>
      </c>
      <c r="H45" s="203">
        <f>H30-H32-H35-H31</f>
        <v>1508652</v>
      </c>
      <c r="I45" s="199">
        <f>I30-I32-I35-I31</f>
        <v>1513957</v>
      </c>
      <c r="J45" s="203">
        <f>J30-J32-J35-J31-J42</f>
        <v>1521941</v>
      </c>
      <c r="K45" s="203">
        <f>K30-K32-K35-K31-K42</f>
        <v>1574462</v>
      </c>
      <c r="L45" s="203">
        <f>L30-L32-L35-L31-L42</f>
        <v>1620732</v>
      </c>
      <c r="M45" s="204">
        <f>M30-M32-M35-M31-M42</f>
        <v>1669514</v>
      </c>
      <c r="N45" s="88">
        <f>M45*(1+N47)</f>
        <v>1656992.645</v>
      </c>
      <c r="O45" s="88">
        <f t="shared" ref="O45:Q45" si="27">N45*(1+O47)</f>
        <v>1644565.2001625001</v>
      </c>
      <c r="P45" s="88">
        <f t="shared" si="27"/>
        <v>1632230.9611612814</v>
      </c>
      <c r="Q45" s="88">
        <f t="shared" si="27"/>
        <v>1619989.228952572</v>
      </c>
      <c r="R45" s="88">
        <f>Q45*(1+R47)</f>
        <v>1644289.0673868605</v>
      </c>
      <c r="S45" s="88">
        <f t="shared" ref="S45:U45" si="28">R45*(1+S47)</f>
        <v>1668953.4033976633</v>
      </c>
      <c r="T45" s="88">
        <f t="shared" si="28"/>
        <v>1693987.704448628</v>
      </c>
      <c r="U45" s="88">
        <f t="shared" si="28"/>
        <v>1719397.5200153573</v>
      </c>
      <c r="V45" s="88">
        <f>U45*(1+V47)</f>
        <v>1736591.4952155109</v>
      </c>
      <c r="W45" s="44"/>
      <c r="X45" s="3"/>
      <c r="Y45" s="3"/>
      <c r="Z45" s="3"/>
      <c r="AA45" s="3"/>
      <c r="AB45" s="3"/>
      <c r="AC45" s="3">
        <f>AD30-AD32-AD35-AD31-AD42</f>
        <v>-1671.75325</v>
      </c>
      <c r="AD45" s="45">
        <f>AVERAGE(J45:M45)/1000</f>
        <v>1596.6622500000001</v>
      </c>
      <c r="AE45" s="45">
        <f t="shared" si="21"/>
        <v>1638.4445088190882</v>
      </c>
      <c r="AF45" s="45">
        <f t="shared" si="22"/>
        <v>1681.6569238121272</v>
      </c>
      <c r="AG45" s="3"/>
      <c r="AI45" s="3">
        <f>AI30-AI32-AI35-AI31-AI42</f>
        <v>1571.7041322167745</v>
      </c>
      <c r="AJ45" s="3">
        <f>AJ30-AJ32-AJ35-AJ31</f>
        <v>1644.9470557811208</v>
      </c>
      <c r="AK45" s="3">
        <f>AK30-AK32-AK35-AK31</f>
        <v>1684.8968956203648</v>
      </c>
      <c r="AL45" s="3"/>
      <c r="AM45" s="184"/>
      <c r="AN45">
        <f>AJ45/AI45*AD45</f>
        <v>1671.0682458472502</v>
      </c>
      <c r="AO45">
        <f>AK45/AI45*AD45</f>
        <v>1711.6524753198171</v>
      </c>
    </row>
    <row r="46" spans="1:41" s="171" customFormat="1" x14ac:dyDescent="0.35">
      <c r="A46" s="170" t="s">
        <v>216</v>
      </c>
      <c r="C46" s="281"/>
      <c r="D46" s="281"/>
      <c r="F46" s="234"/>
      <c r="G46" s="236">
        <f>G45/F45-1</f>
        <v>4.3899160317375507E-2</v>
      </c>
      <c r="H46" s="236">
        <f t="shared" ref="H46:L46" si="29">H45/G45-1</f>
        <v>3.4867401440725754E-3</v>
      </c>
      <c r="I46" s="236">
        <f t="shared" si="29"/>
        <v>3.5163841628156334E-3</v>
      </c>
      <c r="J46" s="236">
        <f t="shared" si="29"/>
        <v>5.2735975988749129E-3</v>
      </c>
      <c r="K46" s="236">
        <f t="shared" si="29"/>
        <v>3.4509222105193249E-2</v>
      </c>
      <c r="L46" s="236">
        <f t="shared" si="29"/>
        <v>2.938781628264131E-2</v>
      </c>
      <c r="M46" s="199"/>
      <c r="N46" s="235"/>
      <c r="O46" s="235"/>
      <c r="P46" s="235"/>
      <c r="Q46" s="235"/>
      <c r="R46" s="235"/>
      <c r="S46" s="235"/>
      <c r="T46" s="235"/>
      <c r="U46" s="235"/>
      <c r="V46" s="235"/>
      <c r="W46" s="173"/>
      <c r="X46" s="175"/>
      <c r="Y46" s="175"/>
      <c r="Z46" s="175"/>
      <c r="AA46" s="175"/>
      <c r="AB46" s="175"/>
      <c r="AC46" s="175"/>
      <c r="AD46" s="174"/>
      <c r="AE46" s="174"/>
      <c r="AF46" s="174"/>
      <c r="AG46" s="175"/>
      <c r="AI46" s="175"/>
      <c r="AJ46" s="175"/>
      <c r="AK46" s="175"/>
      <c r="AL46" s="175"/>
      <c r="AM46" s="185"/>
    </row>
    <row r="47" spans="1:41" s="187" customFormat="1" x14ac:dyDescent="0.35">
      <c r="A47" s="170" t="s">
        <v>271</v>
      </c>
      <c r="F47" s="209"/>
      <c r="G47" s="209"/>
      <c r="H47" s="209"/>
      <c r="I47" s="209"/>
      <c r="J47" s="202"/>
      <c r="K47" s="202"/>
      <c r="L47" s="202"/>
      <c r="M47" s="199"/>
      <c r="N47" s="176">
        <v>-7.4999999999999997E-3</v>
      </c>
      <c r="O47" s="176">
        <v>-7.4999999999999997E-3</v>
      </c>
      <c r="P47" s="176">
        <v>-7.4999999999999997E-3</v>
      </c>
      <c r="Q47" s="176">
        <v>-7.4999999999999997E-3</v>
      </c>
      <c r="R47" s="176">
        <v>1.4999999999999999E-2</v>
      </c>
      <c r="S47" s="176">
        <v>1.4999999999999999E-2</v>
      </c>
      <c r="T47" s="176">
        <v>1.4999999999999999E-2</v>
      </c>
      <c r="U47" s="176">
        <v>1.4999999999999999E-2</v>
      </c>
      <c r="V47" s="176">
        <v>0.01</v>
      </c>
      <c r="W47" s="176"/>
      <c r="AD47" s="189">
        <f>AD31+AD32+AD35+AD42</f>
        <v>1671.7532500000002</v>
      </c>
      <c r="AI47" s="189">
        <f>AI31+AI32+AI35+AI42</f>
        <v>1749.068</v>
      </c>
      <c r="AM47" s="244"/>
      <c r="AN47" s="233">
        <v>-7.4999999999999997E-3</v>
      </c>
      <c r="AO47" s="233">
        <v>1.4999999999999999E-2</v>
      </c>
    </row>
    <row r="48" spans="1:41" s="35" customFormat="1" ht="14" customHeight="1" x14ac:dyDescent="0.35">
      <c r="A48"/>
      <c r="B48"/>
      <c r="E48"/>
      <c r="F48" s="199"/>
      <c r="G48" s="199"/>
      <c r="H48" s="199"/>
      <c r="I48" s="199"/>
      <c r="J48" s="199"/>
      <c r="K48" s="199"/>
      <c r="L48" s="199"/>
      <c r="M48" s="199"/>
      <c r="N48" s="3"/>
      <c r="O48" s="3"/>
      <c r="P48" s="3"/>
      <c r="Q48" s="3"/>
      <c r="R48" s="3"/>
      <c r="S48" s="3"/>
      <c r="T48" s="3"/>
      <c r="U48" s="3"/>
      <c r="V48" s="3"/>
      <c r="W48" s="44"/>
      <c r="X48" s="44"/>
      <c r="Y48" s="44"/>
      <c r="Z48" s="44"/>
      <c r="AA48" s="44"/>
      <c r="AB48" s="44"/>
      <c r="AC48" s="44"/>
      <c r="AD48" s="45"/>
      <c r="AE48" s="45"/>
      <c r="AF48" s="45"/>
      <c r="AG48" s="44"/>
      <c r="AI48" s="44"/>
      <c r="AJ48" s="44"/>
      <c r="AK48" s="44"/>
      <c r="AL48" s="44"/>
      <c r="AM48" s="245"/>
    </row>
    <row r="49" spans="1:39" s="35" customFormat="1" x14ac:dyDescent="0.35">
      <c r="A49" s="141" t="s">
        <v>4</v>
      </c>
      <c r="B49" s="141" t="s">
        <v>283</v>
      </c>
      <c r="C49" t="s">
        <v>310</v>
      </c>
      <c r="D49"/>
      <c r="E49" s="141"/>
      <c r="F49" s="199">
        <v>79458</v>
      </c>
      <c r="G49" s="199">
        <v>71318</v>
      </c>
      <c r="H49" s="199">
        <v>61083</v>
      </c>
      <c r="I49" s="204">
        <v>81998</v>
      </c>
      <c r="J49" s="204">
        <v>81147</v>
      </c>
      <c r="K49" s="204">
        <v>75093</v>
      </c>
      <c r="L49" s="204">
        <v>1086548</v>
      </c>
      <c r="M49" s="204">
        <f>VLOOKUP(C49,'Haver NA'!$A$1:$I$34,9,0)</f>
        <v>1213308</v>
      </c>
      <c r="N49" s="144">
        <f t="shared" ref="N49:Z49" si="30">N50+AVERAGE($H$49:$K$49)</f>
        <v>382932.00834658189</v>
      </c>
      <c r="O49" s="144">
        <f t="shared" si="30"/>
        <v>554916.25</v>
      </c>
      <c r="P49" s="144">
        <f t="shared" si="30"/>
        <v>554916.25</v>
      </c>
      <c r="Q49" s="144">
        <f t="shared" si="30"/>
        <v>554916.25</v>
      </c>
      <c r="R49" s="144">
        <f t="shared" si="30"/>
        <v>100250.25</v>
      </c>
      <c r="S49" s="144">
        <f t="shared" si="30"/>
        <v>74830.25</v>
      </c>
      <c r="T49" s="144">
        <f t="shared" si="30"/>
        <v>74830.25</v>
      </c>
      <c r="U49" s="144">
        <f t="shared" si="30"/>
        <v>74830.25</v>
      </c>
      <c r="V49" s="144">
        <f t="shared" si="30"/>
        <v>74830.25</v>
      </c>
      <c r="W49" s="144">
        <f t="shared" si="30"/>
        <v>74830.25</v>
      </c>
      <c r="X49" s="144">
        <f t="shared" si="30"/>
        <v>74830.25</v>
      </c>
      <c r="Y49" s="144">
        <f t="shared" si="30"/>
        <v>74830.25</v>
      </c>
      <c r="Z49" s="144">
        <f t="shared" si="30"/>
        <v>74830.25</v>
      </c>
      <c r="AA49" s="44"/>
      <c r="AB49" s="44"/>
      <c r="AC49" s="44">
        <f>AVERAGE(F49:I49)/1000</f>
        <v>73.464250000000007</v>
      </c>
      <c r="AD49" s="44"/>
      <c r="AE49" s="44"/>
      <c r="AF49" s="44"/>
      <c r="AM49" s="243"/>
    </row>
    <row r="50" spans="1:39" s="35" customFormat="1" x14ac:dyDescent="0.35">
      <c r="A50" s="134" t="s">
        <v>201</v>
      </c>
      <c r="F50" s="199"/>
      <c r="G50" s="199"/>
      <c r="H50" s="199"/>
      <c r="I50" s="204"/>
      <c r="J50" s="204"/>
      <c r="K50" s="204"/>
      <c r="L50" s="204"/>
      <c r="M50" s="116">
        <f t="shared" ref="M50:N50" si="31">M52+M53+M58</f>
        <v>1093900</v>
      </c>
      <c r="N50" s="116">
        <f t="shared" si="31"/>
        <v>308101.75834658189</v>
      </c>
      <c r="O50" s="116">
        <f>O52+O53+O58+O59</f>
        <v>480086</v>
      </c>
      <c r="P50" s="116">
        <f t="shared" ref="P50:V50" si="32">P52+P53+P58+P59</f>
        <v>480086</v>
      </c>
      <c r="Q50" s="116">
        <f t="shared" si="32"/>
        <v>480086</v>
      </c>
      <c r="R50" s="116">
        <f t="shared" si="32"/>
        <v>25420</v>
      </c>
      <c r="S50" s="116">
        <f t="shared" si="32"/>
        <v>0</v>
      </c>
      <c r="T50" s="116">
        <f t="shared" si="32"/>
        <v>0</v>
      </c>
      <c r="U50" s="116">
        <f t="shared" si="32"/>
        <v>0</v>
      </c>
      <c r="V50" s="116">
        <f t="shared" si="32"/>
        <v>0</v>
      </c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M50" s="243"/>
    </row>
    <row r="51" spans="1:39" s="35" customFormat="1" x14ac:dyDescent="0.35">
      <c r="A51" s="227" t="s">
        <v>340</v>
      </c>
      <c r="F51" s="199"/>
      <c r="G51" s="199"/>
      <c r="H51" s="199"/>
      <c r="I51" s="204"/>
      <c r="J51" s="204"/>
      <c r="K51" s="204"/>
      <c r="L51" s="204"/>
      <c r="M51" s="204"/>
      <c r="N51" s="116"/>
      <c r="O51" s="116"/>
      <c r="P51" s="116"/>
      <c r="Q51" s="116"/>
      <c r="R51" s="116"/>
      <c r="S51" s="116"/>
      <c r="T51" s="116"/>
      <c r="U51" s="116"/>
      <c r="V51" s="116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x14ac:dyDescent="0.35">
      <c r="A52" s="284" t="s">
        <v>338</v>
      </c>
      <c r="C52" t="s">
        <v>311</v>
      </c>
      <c r="D52"/>
      <c r="F52" s="199"/>
      <c r="G52" s="199"/>
      <c r="H52" s="199"/>
      <c r="I52" s="204"/>
      <c r="J52" s="204"/>
      <c r="K52" s="204"/>
      <c r="L52" s="204">
        <v>609300</v>
      </c>
      <c r="M52" s="199">
        <f>VLOOKUP(C52,'Haver NA'!$A$1:$I$34,9,0)</f>
        <v>865600</v>
      </c>
      <c r="N52" s="116">
        <f>'[1]Revised Add Factors'!D$13*1000</f>
        <v>282681.75834658189</v>
      </c>
      <c r="O52" s="116"/>
      <c r="P52" s="116">
        <f>'[1]Revised Add Factors'!F$13*1000</f>
        <v>0</v>
      </c>
      <c r="Q52" s="116">
        <f>'[1]Revised Add Factors'!G$13*1000</f>
        <v>0</v>
      </c>
      <c r="R52" s="116">
        <f>'[1]Revised Add Factors'!H$13*1000</f>
        <v>0</v>
      </c>
      <c r="S52" s="116"/>
      <c r="T52" s="116">
        <f>'[1]Revised Add Factors'!J$13*1000</f>
        <v>0</v>
      </c>
      <c r="U52" s="116">
        <f>'[1]Revised Add Factors'!K$13*1000</f>
        <v>0</v>
      </c>
      <c r="V52" s="116">
        <f>'[1]Revised Add Factors'!L$13*1000</f>
        <v>0</v>
      </c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27.5" customHeight="1" x14ac:dyDescent="0.35">
      <c r="A53" s="113" t="s">
        <v>274</v>
      </c>
      <c r="C53" t="s">
        <v>336</v>
      </c>
      <c r="D53"/>
      <c r="F53" s="199"/>
      <c r="G53" s="199"/>
      <c r="H53" s="199"/>
      <c r="I53" s="204"/>
      <c r="J53" s="204"/>
      <c r="K53" s="204"/>
      <c r="L53" s="204">
        <f>SUM(L54:L56)</f>
        <v>277100</v>
      </c>
      <c r="M53" s="199">
        <f>SUM(M54:M56)</f>
        <v>228300</v>
      </c>
      <c r="N53" s="116">
        <v>25420</v>
      </c>
      <c r="O53" s="116">
        <v>25420</v>
      </c>
      <c r="P53" s="116">
        <v>25420</v>
      </c>
      <c r="Q53" s="116">
        <v>25420</v>
      </c>
      <c r="R53" s="116">
        <v>25420</v>
      </c>
      <c r="S53" s="116"/>
      <c r="T53" s="116">
        <f>'[1]Revised Add Factors'!J$14*1000</f>
        <v>0</v>
      </c>
      <c r="U53" s="116">
        <f>'[1]Revised Add Factors'!K$14*1000</f>
        <v>0</v>
      </c>
      <c r="V53" s="116">
        <f>'[1]Revised Add Factors'!L$14*1000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187" customFormat="1" x14ac:dyDescent="0.35">
      <c r="A54" s="285" t="s">
        <v>284</v>
      </c>
      <c r="B54" s="187" t="s">
        <v>283</v>
      </c>
      <c r="C54" t="s">
        <v>312</v>
      </c>
      <c r="D54"/>
      <c r="F54" s="209"/>
      <c r="G54" s="209"/>
      <c r="H54" s="209"/>
      <c r="I54" s="263"/>
      <c r="J54" s="263"/>
      <c r="K54" s="263"/>
      <c r="L54" s="263">
        <v>63800</v>
      </c>
      <c r="M54" s="263">
        <f>VLOOKUP(C54,'Haver NA'!$A$1:$I$34,9,0)</f>
        <v>15000</v>
      </c>
      <c r="N54" s="264"/>
      <c r="O54" s="264"/>
      <c r="P54" s="264"/>
      <c r="Q54" s="264"/>
      <c r="R54" s="264"/>
      <c r="S54" s="264"/>
      <c r="T54" s="264"/>
      <c r="U54" s="264"/>
      <c r="V54" s="264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M54" s="244"/>
    </row>
    <row r="55" spans="1:39" s="187" customFormat="1" x14ac:dyDescent="0.35">
      <c r="A55" s="285" t="s">
        <v>285</v>
      </c>
      <c r="B55" s="187" t="s">
        <v>283</v>
      </c>
      <c r="C55" t="s">
        <v>313</v>
      </c>
      <c r="D55"/>
      <c r="F55" s="209"/>
      <c r="G55" s="209"/>
      <c r="H55" s="209"/>
      <c r="I55" s="263"/>
      <c r="J55" s="263"/>
      <c r="K55" s="263"/>
      <c r="L55" s="263">
        <v>73300</v>
      </c>
      <c r="M55" s="263">
        <f>VLOOKUP(C55,'Haver NA'!$A$1:$I$34,9,0)</f>
        <v>73300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35">
      <c r="A56" s="285" t="s">
        <v>286</v>
      </c>
      <c r="B56" s="187" t="s">
        <v>283</v>
      </c>
      <c r="C56" t="s">
        <v>314</v>
      </c>
      <c r="D56"/>
      <c r="F56" s="209"/>
      <c r="G56" s="209"/>
      <c r="H56" s="209"/>
      <c r="I56" s="263"/>
      <c r="J56" s="263"/>
      <c r="K56" s="263"/>
      <c r="L56" s="263">
        <v>140000</v>
      </c>
      <c r="M56" s="263">
        <f>VLOOKUP(C56,'Haver NA'!$A$1:$I$34,9,0)</f>
        <v>140000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35">
      <c r="A57" s="227" t="s">
        <v>341</v>
      </c>
      <c r="C57"/>
      <c r="D57"/>
      <c r="F57" s="209"/>
      <c r="G57" s="209"/>
      <c r="H57" s="209"/>
      <c r="I57" s="263"/>
      <c r="J57" s="263"/>
      <c r="K57" s="263"/>
      <c r="L57" s="263"/>
      <c r="M57" s="199"/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287" customFormat="1" x14ac:dyDescent="0.35">
      <c r="A58" s="286" t="s">
        <v>339</v>
      </c>
      <c r="F58" s="289"/>
      <c r="G58" s="289"/>
      <c r="H58" s="289"/>
      <c r="I58" s="288"/>
      <c r="J58" s="288"/>
      <c r="K58" s="288"/>
      <c r="L58" s="288"/>
      <c r="M58" s="289"/>
      <c r="N58" s="294"/>
      <c r="O58" s="294">
        <v>433333</v>
      </c>
      <c r="P58" s="294">
        <v>433333</v>
      </c>
      <c r="Q58" s="294">
        <v>433333</v>
      </c>
      <c r="R58" s="294"/>
      <c r="S58" s="294"/>
      <c r="T58" s="294"/>
      <c r="U58" s="294"/>
      <c r="V58" s="294"/>
      <c r="W58" s="291"/>
      <c r="X58" s="291"/>
      <c r="Y58" s="291"/>
      <c r="Z58" s="291"/>
      <c r="AA58" s="291"/>
      <c r="AB58" s="291"/>
      <c r="AC58" s="291"/>
      <c r="AD58" s="291"/>
      <c r="AE58" s="291"/>
      <c r="AF58" s="291"/>
      <c r="AG58" s="291"/>
      <c r="AM58" s="295"/>
    </row>
    <row r="59" spans="1:39" s="287" customFormat="1" x14ac:dyDescent="0.35">
      <c r="A59" s="286" t="s">
        <v>352</v>
      </c>
      <c r="F59" s="289"/>
      <c r="G59" s="289"/>
      <c r="H59" s="289"/>
      <c r="I59" s="288"/>
      <c r="J59" s="288"/>
      <c r="K59" s="288"/>
      <c r="L59" s="288"/>
      <c r="M59" s="289"/>
      <c r="N59" s="294"/>
      <c r="O59" s="294">
        <v>21333</v>
      </c>
      <c r="P59" s="294">
        <v>21333</v>
      </c>
      <c r="Q59" s="294">
        <v>21333</v>
      </c>
      <c r="R59" s="294"/>
      <c r="S59" s="294"/>
      <c r="T59" s="294"/>
      <c r="U59" s="294"/>
      <c r="V59" s="294"/>
      <c r="W59" s="291"/>
      <c r="X59" s="291"/>
      <c r="Y59" s="291"/>
      <c r="Z59" s="291"/>
      <c r="AA59" s="291"/>
      <c r="AB59" s="291"/>
      <c r="AC59" s="291"/>
      <c r="AD59" s="291"/>
      <c r="AE59" s="291"/>
      <c r="AF59" s="291"/>
      <c r="AG59" s="291"/>
      <c r="AM59" s="295"/>
    </row>
    <row r="60" spans="1:39" s="35" customFormat="1" x14ac:dyDescent="0.35">
      <c r="A60" s="134"/>
      <c r="F60" s="199"/>
      <c r="G60" s="199"/>
      <c r="H60" s="199"/>
      <c r="I60" s="204"/>
      <c r="J60" s="204"/>
      <c r="K60" s="204"/>
      <c r="L60" s="204"/>
      <c r="M60" s="199"/>
      <c r="N60" s="116"/>
      <c r="O60" s="116"/>
      <c r="P60" s="116"/>
      <c r="Q60" s="116"/>
      <c r="R60" s="116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M60" s="243"/>
    </row>
    <row r="61" spans="1:39" s="35" customFormat="1" x14ac:dyDescent="0.35">
      <c r="A61" s="35" t="s">
        <v>16</v>
      </c>
      <c r="B61" s="35" t="s">
        <v>283</v>
      </c>
      <c r="C61" t="s">
        <v>315</v>
      </c>
      <c r="D61"/>
      <c r="F61" s="199">
        <v>586475</v>
      </c>
      <c r="G61" s="199">
        <v>594213</v>
      </c>
      <c r="H61" s="199">
        <v>612547</v>
      </c>
      <c r="I61" s="204">
        <v>610331</v>
      </c>
      <c r="J61" s="204">
        <v>615406</v>
      </c>
      <c r="K61" s="204">
        <v>627805</v>
      </c>
      <c r="L61" s="204">
        <v>1396890</v>
      </c>
      <c r="M61" s="199">
        <f>VLOOKUP(C61,'Haver NA'!$A$1:$I$34,9,0)</f>
        <v>728172</v>
      </c>
      <c r="N61" s="116">
        <f>N63+(SUM($M$65:$R$65))/4/6*4</f>
        <v>320994.88477706735</v>
      </c>
      <c r="O61" s="116">
        <f>O63+(SUM($M$65:$R$65))/4/6*4</f>
        <v>321762.99544764287</v>
      </c>
      <c r="P61" s="116">
        <f>P63+(SUM($M$65:$R$65))/4/6*4</f>
        <v>322644.43392207247</v>
      </c>
      <c r="Q61" s="116">
        <f>Q63+(SUM($M$65:$R$65))/4/6*4</f>
        <v>323676.97613497748</v>
      </c>
      <c r="R61" s="116">
        <f>R63+(SUM($M$65:$R$65))/4/6*4</f>
        <v>325166.37969325099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>
        <f>AVERAGE(F61:I61)/1000</f>
        <v>600.89149999999995</v>
      </c>
      <c r="AD61" s="44"/>
      <c r="AE61" s="44"/>
      <c r="AF61" s="44"/>
      <c r="AM61" s="243"/>
    </row>
    <row r="62" spans="1:39" s="35" customFormat="1" x14ac:dyDescent="0.35">
      <c r="A62" s="35" t="s">
        <v>229</v>
      </c>
      <c r="F62" s="205">
        <f>F61-F80</f>
        <v>196851</v>
      </c>
      <c r="G62" s="205">
        <f t="shared" ref="G62:M62" si="33">G61-G80</f>
        <v>189684</v>
      </c>
      <c r="H62" s="205">
        <f t="shared" si="33"/>
        <v>192875</v>
      </c>
      <c r="I62" s="205">
        <f t="shared" si="33"/>
        <v>191507</v>
      </c>
      <c r="J62" s="205">
        <f t="shared" si="33"/>
        <v>203997</v>
      </c>
      <c r="K62" s="205">
        <f t="shared" si="33"/>
        <v>204376</v>
      </c>
      <c r="L62" s="205">
        <f t="shared" si="33"/>
        <v>884250</v>
      </c>
      <c r="M62" s="199">
        <f t="shared" si="33"/>
        <v>242100</v>
      </c>
      <c r="N62" s="116"/>
      <c r="O62" s="116"/>
      <c r="P62" s="116"/>
      <c r="Q62" s="116"/>
      <c r="R62" s="116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M62" s="243"/>
    </row>
    <row r="63" spans="1:39" s="35" customFormat="1" x14ac:dyDescent="0.35">
      <c r="A63" s="136" t="s">
        <v>230</v>
      </c>
      <c r="F63" s="199"/>
      <c r="G63" s="199"/>
      <c r="H63" s="199"/>
      <c r="I63" s="204"/>
      <c r="J63" s="204"/>
      <c r="K63" s="204"/>
      <c r="L63" s="204">
        <f>L62-L64</f>
        <v>192250</v>
      </c>
      <c r="M63" s="339">
        <f>L63*(1+M79)</f>
        <v>189950.61436735778</v>
      </c>
      <c r="N63" s="116">
        <f>M63*(1+N79)</f>
        <v>191372.88477706735</v>
      </c>
      <c r="O63" s="116">
        <f t="shared" ref="O63:R63" si="34">N63*(1+O79)</f>
        <v>192140.9954476429</v>
      </c>
      <c r="P63" s="116">
        <f t="shared" si="34"/>
        <v>193022.43392207247</v>
      </c>
      <c r="Q63" s="116">
        <f t="shared" si="34"/>
        <v>194054.97613497748</v>
      </c>
      <c r="R63" s="116">
        <f t="shared" si="34"/>
        <v>195544.37969325102</v>
      </c>
      <c r="S63" s="116">
        <f t="shared" ref="S63" si="35">R63*(1+S79)</f>
        <v>197240.80684971521</v>
      </c>
      <c r="T63" s="116">
        <f t="shared" ref="T63" si="36">S63*(1+T79)</f>
        <v>198958.57178194768</v>
      </c>
      <c r="U63" s="116">
        <f t="shared" ref="U63" si="37">T63*(1+U79)</f>
        <v>200866.80125051294</v>
      </c>
      <c r="V63" s="116">
        <f t="shared" ref="V63:X63" si="38">U63*(1+V79)</f>
        <v>202622.47677399646</v>
      </c>
      <c r="W63" s="116">
        <f t="shared" si="38"/>
        <v>204572.45802602731</v>
      </c>
      <c r="X63" s="116">
        <f t="shared" si="38"/>
        <v>206361.5615193437</v>
      </c>
      <c r="Y63" s="116">
        <f t="shared" ref="Y63" si="39">X63*(1+Y79)</f>
        <v>208346.79396445845</v>
      </c>
      <c r="Z63" s="116">
        <f t="shared" ref="Z63" si="40">Y63*(1+Z79)</f>
        <v>214810.11799163782</v>
      </c>
      <c r="AA63" s="44"/>
      <c r="AB63" s="44"/>
      <c r="AC63" s="44"/>
      <c r="AD63" s="44"/>
      <c r="AE63" s="44"/>
      <c r="AF63" s="44"/>
      <c r="AG63" s="44"/>
      <c r="AM63" s="243"/>
    </row>
    <row r="64" spans="1:39" s="138" customFormat="1" x14ac:dyDescent="0.35">
      <c r="A64" s="137" t="s">
        <v>210</v>
      </c>
      <c r="C64" t="s">
        <v>316</v>
      </c>
      <c r="D64"/>
      <c r="F64" s="206"/>
      <c r="G64" s="206"/>
      <c r="H64" s="206"/>
      <c r="I64" s="207"/>
      <c r="J64" s="207"/>
      <c r="K64" s="207"/>
      <c r="L64" s="207">
        <v>692000</v>
      </c>
      <c r="M64" s="199">
        <v>38500</v>
      </c>
      <c r="N64" s="139"/>
      <c r="O64" s="139"/>
      <c r="P64" s="139"/>
      <c r="Q64" s="139"/>
      <c r="R64" s="139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M64" s="246"/>
    </row>
    <row r="65" spans="1:39" s="35" customFormat="1" ht="29" x14ac:dyDescent="0.35">
      <c r="A65" s="134" t="s">
        <v>211</v>
      </c>
      <c r="F65" s="199"/>
      <c r="G65" s="199"/>
      <c r="H65" s="199"/>
      <c r="I65" s="204"/>
      <c r="J65" s="204"/>
      <c r="K65" s="204"/>
      <c r="L65" s="208">
        <f>SUM(L67:L69)</f>
        <v>87000</v>
      </c>
      <c r="M65" s="199">
        <f>SUM(M67:M69)</f>
        <v>97000</v>
      </c>
      <c r="N65" s="116">
        <f>SUM(N67:N69)+N70</f>
        <v>107000</v>
      </c>
      <c r="O65" s="116">
        <f>SUM(O67:O69)+O70</f>
        <v>165933</v>
      </c>
      <c r="P65" s="116">
        <f t="shared" ref="P65:Z65" si="41">SUM(P67:P69)+P70</f>
        <v>137933</v>
      </c>
      <c r="Q65" s="116">
        <f t="shared" si="41"/>
        <v>137933</v>
      </c>
      <c r="R65" s="116">
        <f t="shared" si="41"/>
        <v>131933</v>
      </c>
      <c r="S65" s="116">
        <f t="shared" si="41"/>
        <v>125933</v>
      </c>
      <c r="T65" s="116">
        <f t="shared" si="41"/>
        <v>125933</v>
      </c>
      <c r="U65" s="116">
        <f t="shared" si="41"/>
        <v>125933</v>
      </c>
      <c r="V65" s="116">
        <f t="shared" si="41"/>
        <v>125933</v>
      </c>
      <c r="W65" s="116">
        <f t="shared" si="41"/>
        <v>125933</v>
      </c>
      <c r="X65" s="116">
        <f t="shared" si="41"/>
        <v>75933</v>
      </c>
      <c r="Y65" s="116">
        <f t="shared" si="41"/>
        <v>75933</v>
      </c>
      <c r="Z65" s="116">
        <f t="shared" si="41"/>
        <v>75933</v>
      </c>
      <c r="AA65" s="116"/>
      <c r="AB65" s="116"/>
      <c r="AC65" s="44"/>
      <c r="AD65" s="44"/>
      <c r="AE65" s="44"/>
      <c r="AF65" s="44"/>
      <c r="AG65" s="44"/>
      <c r="AM65" s="243"/>
    </row>
    <row r="66" spans="1:39" s="35" customFormat="1" x14ac:dyDescent="0.35">
      <c r="A66" s="227" t="s">
        <v>344</v>
      </c>
      <c r="F66" s="199"/>
      <c r="G66" s="199"/>
      <c r="H66" s="199"/>
      <c r="I66" s="204"/>
      <c r="J66" s="204"/>
      <c r="K66" s="204"/>
      <c r="L66" s="208"/>
      <c r="M66" s="199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M66" s="243"/>
    </row>
    <row r="67" spans="1:39" s="35" customFormat="1" x14ac:dyDescent="0.35">
      <c r="A67" s="113" t="s">
        <v>198</v>
      </c>
      <c r="F67" s="199"/>
      <c r="G67" s="199"/>
      <c r="H67" s="199"/>
      <c r="I67" s="204"/>
      <c r="J67" s="204"/>
      <c r="K67" s="204"/>
      <c r="L67" s="208">
        <v>35000</v>
      </c>
      <c r="M67" s="199">
        <v>45000</v>
      </c>
      <c r="N67" s="116">
        <v>60000</v>
      </c>
      <c r="O67" s="116">
        <v>60000</v>
      </c>
      <c r="P67" s="116">
        <v>50000</v>
      </c>
      <c r="Q67" s="116">
        <v>50000</v>
      </c>
      <c r="R67" s="116">
        <v>50000</v>
      </c>
      <c r="S67" s="116">
        <v>50000</v>
      </c>
      <c r="T67" s="116">
        <v>50000</v>
      </c>
      <c r="U67" s="116">
        <v>50000</v>
      </c>
      <c r="V67" s="116">
        <v>50000</v>
      </c>
      <c r="W67" s="116">
        <v>50000</v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43"/>
    </row>
    <row r="68" spans="1:39" s="35" customFormat="1" x14ac:dyDescent="0.35">
      <c r="A68" s="113" t="s">
        <v>202</v>
      </c>
      <c r="F68" s="199"/>
      <c r="G68" s="199"/>
      <c r="H68" s="199"/>
      <c r="I68" s="204"/>
      <c r="J68" s="204"/>
      <c r="K68" s="204"/>
      <c r="L68" s="204">
        <v>27000</v>
      </c>
      <c r="M68" s="199">
        <v>27000</v>
      </c>
      <c r="N68" s="116">
        <v>12000</v>
      </c>
      <c r="O68" s="116">
        <v>12000</v>
      </c>
      <c r="P68" s="116">
        <v>12000</v>
      </c>
      <c r="Q68" s="116">
        <v>12000</v>
      </c>
      <c r="R68" s="116">
        <v>6000</v>
      </c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43"/>
    </row>
    <row r="69" spans="1:39" s="35" customFormat="1" x14ac:dyDescent="0.35">
      <c r="A69" s="113" t="s">
        <v>199</v>
      </c>
      <c r="F69" s="199"/>
      <c r="G69" s="199"/>
      <c r="H69" s="199"/>
      <c r="I69" s="204"/>
      <c r="J69" s="204"/>
      <c r="K69" s="204"/>
      <c r="L69" s="204">
        <v>25000</v>
      </c>
      <c r="M69" s="199">
        <v>25000</v>
      </c>
      <c r="N69" s="116">
        <v>35000</v>
      </c>
      <c r="O69" s="116">
        <v>18000</v>
      </c>
      <c r="P69" s="116">
        <v>0</v>
      </c>
      <c r="Q69" s="116">
        <v>0</v>
      </c>
      <c r="R69" s="116">
        <v>0</v>
      </c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35">
      <c r="A70" s="228" t="s">
        <v>345</v>
      </c>
      <c r="F70" s="199"/>
      <c r="G70" s="199"/>
      <c r="H70" s="199"/>
      <c r="I70" s="204"/>
      <c r="J70" s="204"/>
      <c r="K70" s="204"/>
      <c r="L70" s="204"/>
      <c r="M70" s="199"/>
      <c r="N70" s="116"/>
      <c r="O70" s="116">
        <f>SUM(O71:O74)</f>
        <v>75933</v>
      </c>
      <c r="P70" s="116">
        <f t="shared" ref="P70:Z70" si="42">SUM(P71:P74)</f>
        <v>75933</v>
      </c>
      <c r="Q70" s="116">
        <f t="shared" si="42"/>
        <v>75933</v>
      </c>
      <c r="R70" s="116">
        <f t="shared" si="42"/>
        <v>75933</v>
      </c>
      <c r="S70" s="116">
        <f t="shared" si="42"/>
        <v>75933</v>
      </c>
      <c r="T70" s="116">
        <f t="shared" si="42"/>
        <v>75933</v>
      </c>
      <c r="U70" s="116">
        <f t="shared" si="42"/>
        <v>75933</v>
      </c>
      <c r="V70" s="116">
        <f t="shared" si="42"/>
        <v>75933</v>
      </c>
      <c r="W70" s="116">
        <f t="shared" si="42"/>
        <v>75933</v>
      </c>
      <c r="X70" s="116">
        <f t="shared" si="42"/>
        <v>75933</v>
      </c>
      <c r="Y70" s="116">
        <f t="shared" si="42"/>
        <v>75933</v>
      </c>
      <c r="Z70" s="116">
        <f t="shared" si="42"/>
        <v>75933</v>
      </c>
      <c r="AA70" s="116"/>
      <c r="AB70" s="44"/>
      <c r="AC70" s="44"/>
      <c r="AD70" s="44"/>
      <c r="AE70" s="44"/>
      <c r="AF70" s="44"/>
      <c r="AG70" s="44"/>
      <c r="AM70" s="243"/>
    </row>
    <row r="71" spans="1:39" s="287" customFormat="1" x14ac:dyDescent="0.35">
      <c r="A71" s="297" t="s">
        <v>346</v>
      </c>
      <c r="F71" s="289"/>
      <c r="G71" s="289"/>
      <c r="H71" s="289"/>
      <c r="I71" s="288"/>
      <c r="J71" s="288"/>
      <c r="K71" s="288"/>
      <c r="L71" s="288"/>
      <c r="M71" s="289"/>
      <c r="N71" s="294"/>
      <c r="O71" s="294">
        <v>9600</v>
      </c>
      <c r="P71" s="294">
        <v>9600</v>
      </c>
      <c r="Q71" s="294">
        <v>9600</v>
      </c>
      <c r="R71" s="294">
        <v>9600</v>
      </c>
      <c r="S71" s="291">
        <v>9600</v>
      </c>
      <c r="T71" s="291">
        <v>9600</v>
      </c>
      <c r="U71" s="291">
        <v>9600</v>
      </c>
      <c r="V71" s="291">
        <v>9600</v>
      </c>
      <c r="W71" s="291">
        <v>9600</v>
      </c>
      <c r="X71" s="291">
        <v>9600</v>
      </c>
      <c r="Y71" s="291">
        <v>9600</v>
      </c>
      <c r="Z71" s="291">
        <v>9600</v>
      </c>
      <c r="AA71" s="291"/>
      <c r="AB71" s="291"/>
      <c r="AC71" s="291"/>
      <c r="AD71" s="291"/>
      <c r="AE71" s="291"/>
      <c r="AF71" s="291"/>
      <c r="AG71" s="291"/>
      <c r="AM71" s="295"/>
    </row>
    <row r="72" spans="1:39" s="287" customFormat="1" x14ac:dyDescent="0.35">
      <c r="A72" s="297" t="s">
        <v>347</v>
      </c>
      <c r="F72" s="289"/>
      <c r="G72" s="289"/>
      <c r="H72" s="289"/>
      <c r="I72" s="288"/>
      <c r="J72" s="288"/>
      <c r="K72" s="288"/>
      <c r="L72" s="288"/>
      <c r="M72" s="289"/>
      <c r="N72" s="294"/>
      <c r="O72" s="294">
        <v>27333</v>
      </c>
      <c r="P72" s="294">
        <v>27333</v>
      </c>
      <c r="Q72" s="294">
        <v>27333</v>
      </c>
      <c r="R72" s="294">
        <v>27333</v>
      </c>
      <c r="S72" s="291">
        <v>27333</v>
      </c>
      <c r="T72" s="291">
        <v>27333</v>
      </c>
      <c r="U72" s="291">
        <v>27333</v>
      </c>
      <c r="V72" s="291">
        <v>27333</v>
      </c>
      <c r="W72" s="291">
        <v>27333</v>
      </c>
      <c r="X72" s="291">
        <v>27333</v>
      </c>
      <c r="Y72" s="291">
        <v>27333</v>
      </c>
      <c r="Z72" s="291">
        <v>27333</v>
      </c>
      <c r="AA72" s="291"/>
      <c r="AB72" s="291"/>
      <c r="AC72" s="291"/>
      <c r="AD72" s="291"/>
      <c r="AE72" s="291"/>
      <c r="AF72" s="291"/>
      <c r="AG72" s="291"/>
      <c r="AM72" s="295"/>
    </row>
    <row r="73" spans="1:39" s="287" customFormat="1" x14ac:dyDescent="0.35">
      <c r="A73" s="297" t="s">
        <v>351</v>
      </c>
      <c r="F73" s="289"/>
      <c r="G73" s="289"/>
      <c r="H73" s="289"/>
      <c r="I73" s="288"/>
      <c r="J73" s="288"/>
      <c r="K73" s="288"/>
      <c r="L73" s="288"/>
      <c r="M73" s="289"/>
      <c r="N73" s="294"/>
      <c r="O73" s="294">
        <v>21000</v>
      </c>
      <c r="P73" s="294">
        <v>21000</v>
      </c>
      <c r="Q73" s="294">
        <v>21000</v>
      </c>
      <c r="R73" s="294">
        <v>21000</v>
      </c>
      <c r="S73" s="291">
        <v>21000</v>
      </c>
      <c r="T73" s="291">
        <v>21000</v>
      </c>
      <c r="U73" s="291">
        <v>21000</v>
      </c>
      <c r="V73" s="291">
        <v>21000</v>
      </c>
      <c r="W73" s="291">
        <v>21000</v>
      </c>
      <c r="X73" s="291">
        <v>21000</v>
      </c>
      <c r="Y73" s="291">
        <v>21000</v>
      </c>
      <c r="Z73" s="291">
        <v>21000</v>
      </c>
      <c r="AA73" s="291"/>
      <c r="AB73" s="291"/>
      <c r="AC73" s="291"/>
      <c r="AD73" s="291"/>
      <c r="AE73" s="291"/>
      <c r="AF73" s="291"/>
      <c r="AG73" s="291"/>
      <c r="AM73" s="295"/>
    </row>
    <row r="74" spans="1:39" s="287" customFormat="1" x14ac:dyDescent="0.35">
      <c r="A74" s="297" t="s">
        <v>353</v>
      </c>
      <c r="F74" s="289"/>
      <c r="G74" s="289"/>
      <c r="H74" s="289"/>
      <c r="I74" s="288"/>
      <c r="J74" s="288"/>
      <c r="K74" s="288"/>
      <c r="L74" s="288"/>
      <c r="M74" s="289"/>
      <c r="N74" s="294"/>
      <c r="O74" s="294">
        <v>18000</v>
      </c>
      <c r="P74" s="294">
        <v>18000</v>
      </c>
      <c r="Q74" s="294">
        <v>18000</v>
      </c>
      <c r="R74" s="294">
        <v>18000</v>
      </c>
      <c r="S74" s="291">
        <v>18000</v>
      </c>
      <c r="T74" s="291">
        <v>18000</v>
      </c>
      <c r="U74" s="291">
        <v>18000</v>
      </c>
      <c r="V74" s="291">
        <v>18000</v>
      </c>
      <c r="W74" s="291">
        <v>18000</v>
      </c>
      <c r="X74" s="291">
        <v>18000</v>
      </c>
      <c r="Y74" s="291">
        <v>18000</v>
      </c>
      <c r="Z74" s="291">
        <v>18000</v>
      </c>
      <c r="AA74" s="291"/>
      <c r="AB74" s="291"/>
      <c r="AC74" s="291"/>
      <c r="AD74" s="291"/>
      <c r="AE74" s="291"/>
      <c r="AF74" s="291"/>
      <c r="AG74" s="291"/>
      <c r="AM74" s="295"/>
    </row>
    <row r="75" spans="1:39" s="35" customFormat="1" x14ac:dyDescent="0.35">
      <c r="A75" s="145" t="s">
        <v>218</v>
      </c>
      <c r="B75" s="141"/>
      <c r="E75" s="141"/>
      <c r="F75" s="199"/>
      <c r="G75" s="199"/>
      <c r="H75" s="199"/>
      <c r="I75" s="204"/>
      <c r="J75" s="204"/>
      <c r="K75" s="204">
        <f>K61-K80</f>
        <v>204376</v>
      </c>
      <c r="L75" s="208">
        <f>L63+L65</f>
        <v>279250</v>
      </c>
      <c r="M75" s="199">
        <f t="shared" ref="M75:Z75" si="43">M63+M65</f>
        <v>286950.6143673578</v>
      </c>
      <c r="N75" s="144">
        <f t="shared" si="43"/>
        <v>298372.88477706735</v>
      </c>
      <c r="O75" s="144">
        <f t="shared" si="43"/>
        <v>358073.99544764287</v>
      </c>
      <c r="P75" s="144">
        <f t="shared" si="43"/>
        <v>330955.43392207247</v>
      </c>
      <c r="Q75" s="144">
        <f t="shared" si="43"/>
        <v>331987.97613497748</v>
      </c>
      <c r="R75" s="144">
        <f t="shared" si="43"/>
        <v>327477.37969325099</v>
      </c>
      <c r="S75" s="144">
        <f t="shared" si="43"/>
        <v>323173.80684971518</v>
      </c>
      <c r="T75" s="144">
        <f t="shared" si="43"/>
        <v>324891.57178194768</v>
      </c>
      <c r="U75" s="144">
        <f t="shared" si="43"/>
        <v>326799.80125051294</v>
      </c>
      <c r="V75" s="144">
        <f t="shared" si="43"/>
        <v>328555.47677399649</v>
      </c>
      <c r="W75" s="144">
        <f t="shared" si="43"/>
        <v>330505.45802602731</v>
      </c>
      <c r="X75" s="144">
        <f t="shared" si="43"/>
        <v>282294.5615193437</v>
      </c>
      <c r="Y75" s="144">
        <f t="shared" si="43"/>
        <v>284279.79396445845</v>
      </c>
      <c r="Z75" s="144">
        <f t="shared" si="43"/>
        <v>290743.11799163779</v>
      </c>
      <c r="AA75" s="44"/>
      <c r="AB75" s="44"/>
      <c r="AC75" s="44"/>
      <c r="AD75" s="44"/>
      <c r="AE75" s="44"/>
      <c r="AF75" s="44"/>
      <c r="AG75" s="44"/>
      <c r="AM75" s="243"/>
    </row>
    <row r="76" spans="1:39" s="35" customFormat="1" x14ac:dyDescent="0.35">
      <c r="F76" s="199"/>
      <c r="G76" s="199"/>
      <c r="H76" s="199"/>
      <c r="I76" s="199"/>
      <c r="J76" s="199"/>
      <c r="K76" s="199"/>
      <c r="L76" s="205"/>
      <c r="M76" s="199"/>
      <c r="N76" s="135"/>
      <c r="O76" s="135"/>
      <c r="P76" s="135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43"/>
    </row>
    <row r="77" spans="1:39" s="35" customFormat="1" x14ac:dyDescent="0.35">
      <c r="A77" s="35" t="s">
        <v>17</v>
      </c>
      <c r="B77" s="35" t="s">
        <v>283</v>
      </c>
      <c r="C77" t="s">
        <v>317</v>
      </c>
      <c r="D77"/>
      <c r="F77" s="208">
        <v>1241.5999999999999</v>
      </c>
      <c r="G77" s="208">
        <v>1245.8</v>
      </c>
      <c r="H77" s="208">
        <v>1473.6</v>
      </c>
      <c r="I77" s="208">
        <v>1288.5</v>
      </c>
      <c r="J77" s="208">
        <v>1301.0999999999999</v>
      </c>
      <c r="K77" s="208">
        <v>1306.0999999999999</v>
      </c>
      <c r="L77" s="208">
        <v>1360.1</v>
      </c>
      <c r="M77" s="199">
        <f>VLOOKUP(C77,'Haver NA'!$A$1:$I$34,9,0)/1000</f>
        <v>1335.3219999999999</v>
      </c>
      <c r="N77" s="116"/>
      <c r="O77" s="116"/>
      <c r="P77" s="116"/>
      <c r="Q77" s="116"/>
      <c r="R77" s="116"/>
      <c r="S77" s="116"/>
      <c r="T77" s="116"/>
      <c r="U77" s="116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I77" s="44"/>
      <c r="AJ77" s="44"/>
      <c r="AK77" s="44"/>
      <c r="AL77" s="44"/>
      <c r="AM77" s="245"/>
    </row>
    <row r="78" spans="1:39" s="35" customFormat="1" x14ac:dyDescent="0.35">
      <c r="A78" s="114" t="s">
        <v>204</v>
      </c>
      <c r="B78" s="35" t="s">
        <v>283</v>
      </c>
      <c r="C78" t="s">
        <v>318</v>
      </c>
      <c r="D78"/>
      <c r="F78" s="199"/>
      <c r="G78" s="199"/>
      <c r="H78" s="199"/>
      <c r="I78" s="199"/>
      <c r="J78" s="199">
        <v>1447.9</v>
      </c>
      <c r="K78" s="199">
        <v>1452.6</v>
      </c>
      <c r="L78" s="199">
        <v>1504.8</v>
      </c>
      <c r="M78" s="199">
        <f>VLOOKUP(C78,'Haver NA'!$A$1:$I$34,9,0)/1000</f>
        <v>1486.8019999999999</v>
      </c>
      <c r="N78">
        <v>1497.93454882981</v>
      </c>
      <c r="O78">
        <v>1503.94678777432</v>
      </c>
      <c r="P78">
        <v>1510.84607836637</v>
      </c>
      <c r="Q78">
        <v>1518.9281044884999</v>
      </c>
      <c r="R78">
        <v>1530.5861251620499</v>
      </c>
      <c r="S78">
        <v>1543.8645833417499</v>
      </c>
      <c r="T78">
        <v>1557.3100588685299</v>
      </c>
      <c r="U78">
        <v>1572.24635902092</v>
      </c>
      <c r="V78">
        <v>1585.9885724291801</v>
      </c>
      <c r="W78">
        <v>1601.2516766583401</v>
      </c>
      <c r="X78">
        <v>1615.2555410887301</v>
      </c>
      <c r="Y78">
        <v>1630.7945672703099</v>
      </c>
      <c r="Z78">
        <v>1681.38499637876</v>
      </c>
      <c r="AA78"/>
      <c r="AB78"/>
      <c r="AE78" s="44"/>
      <c r="AF78" s="44"/>
      <c r="AG78" s="44"/>
      <c r="AI78" s="44"/>
      <c r="AJ78" s="44"/>
      <c r="AK78" s="44"/>
      <c r="AL78" s="44"/>
      <c r="AM78" s="245"/>
    </row>
    <row r="79" spans="1:39" s="187" customFormat="1" ht="12" x14ac:dyDescent="0.3">
      <c r="A79" s="170" t="s">
        <v>203</v>
      </c>
      <c r="F79" s="209"/>
      <c r="G79" s="209"/>
      <c r="H79" s="209"/>
      <c r="I79" s="209"/>
      <c r="J79" s="209"/>
      <c r="K79" s="209"/>
      <c r="L79" s="209"/>
      <c r="M79" s="202">
        <f>M78/L78-1</f>
        <v>-1.1960393407761893E-2</v>
      </c>
      <c r="N79" s="188">
        <f>N78/M78-1</f>
        <v>7.4875799399045651E-3</v>
      </c>
      <c r="O79" s="188">
        <f t="shared" ref="O79:V79" si="44">O78/N78-1</f>
        <v>4.0136860113193507E-3</v>
      </c>
      <c r="P79" s="188">
        <f t="shared" si="44"/>
        <v>4.5874565829953085E-3</v>
      </c>
      <c r="Q79" s="188">
        <f t="shared" si="44"/>
        <v>5.3493378563544969E-3</v>
      </c>
      <c r="R79" s="188">
        <f t="shared" si="44"/>
        <v>7.6751629251576858E-3</v>
      </c>
      <c r="S79" s="188">
        <f t="shared" si="44"/>
        <v>8.675407388979206E-3</v>
      </c>
      <c r="T79" s="188">
        <f t="shared" si="44"/>
        <v>8.7089733593581631E-3</v>
      </c>
      <c r="U79" s="188">
        <f t="shared" si="44"/>
        <v>9.5910894990571816E-3</v>
      </c>
      <c r="V79" s="188">
        <f t="shared" si="44"/>
        <v>8.7404962520107876E-3</v>
      </c>
      <c r="W79" s="188">
        <f t="shared" ref="W79" si="45">W78/V78-1</f>
        <v>9.6237163965073869E-3</v>
      </c>
      <c r="X79" s="188">
        <f t="shared" ref="X79" si="46">X78/W78-1</f>
        <v>8.7455736250123817E-3</v>
      </c>
      <c r="Y79" s="188">
        <f>Y78/X78-1</f>
        <v>9.6201658414407643E-3</v>
      </c>
      <c r="Z79" s="188">
        <f t="shared" ref="Z79" si="47">Z78/Y78-1</f>
        <v>3.1021950970274714E-2</v>
      </c>
      <c r="AA79" s="188"/>
      <c r="AB79" s="188"/>
      <c r="AE79" s="189"/>
      <c r="AF79" s="189"/>
      <c r="AG79" s="189"/>
      <c r="AI79" s="189"/>
      <c r="AJ79" s="189"/>
      <c r="AK79" s="189"/>
      <c r="AL79" s="189"/>
      <c r="AM79" s="247"/>
    </row>
    <row r="80" spans="1:39" s="35" customFormat="1" x14ac:dyDescent="0.35">
      <c r="A80" s="35" t="s">
        <v>205</v>
      </c>
      <c r="B80" s="35" t="s">
        <v>283</v>
      </c>
      <c r="C80" t="s">
        <v>319</v>
      </c>
      <c r="D80"/>
      <c r="F80" s="208">
        <v>389624</v>
      </c>
      <c r="G80" s="208">
        <v>404529</v>
      </c>
      <c r="H80" s="208">
        <v>419672</v>
      </c>
      <c r="I80" s="208">
        <v>418824</v>
      </c>
      <c r="J80" s="208">
        <v>411409</v>
      </c>
      <c r="K80" s="208">
        <v>423429</v>
      </c>
      <c r="L80" s="208">
        <v>512640</v>
      </c>
      <c r="M80" s="199">
        <f>VLOOKUP(C80,'Haver NA'!$A$1:$I$34,9,0)</f>
        <v>486072</v>
      </c>
      <c r="N80" s="116">
        <f t="shared" ref="N80:S80" si="48">N87*0.74</f>
        <v>520762.48586017155</v>
      </c>
      <c r="O80" s="116">
        <f t="shared" si="48"/>
        <v>530153.75073570432</v>
      </c>
      <c r="P80" s="116">
        <f t="shared" si="48"/>
        <v>535444.10571143136</v>
      </c>
      <c r="Q80" s="116">
        <f t="shared" si="48"/>
        <v>535444.10571143136</v>
      </c>
      <c r="R80" s="116">
        <f t="shared" si="48"/>
        <v>535444.10571143136</v>
      </c>
      <c r="S80" s="116">
        <f t="shared" si="48"/>
        <v>535444.10571143136</v>
      </c>
      <c r="T80" s="116">
        <f>T87*0.68</f>
        <v>492029.71876185591</v>
      </c>
      <c r="U80" s="116">
        <f>U87*0.68</f>
        <v>492029.71876185591</v>
      </c>
      <c r="V80" s="116">
        <f>V87*0.68</f>
        <v>492029.71876185591</v>
      </c>
      <c r="W80" s="116"/>
      <c r="X80" s="116"/>
      <c r="Y80" s="116"/>
      <c r="Z80" s="116"/>
      <c r="AA80" s="116"/>
      <c r="AB80" s="116"/>
      <c r="AC80" s="44">
        <f>AVERAGE(F80:I80)/1000</f>
        <v>408.16224999999997</v>
      </c>
      <c r="AD80" s="45">
        <f>AVERAGE(J80:M80)</f>
        <v>458387.5</v>
      </c>
      <c r="AE80" s="45">
        <f>AVERAGE(N80:Q80)</f>
        <v>530451.11200468463</v>
      </c>
      <c r="AF80" s="45">
        <f>AVERAGE(R80:U80)</f>
        <v>513736.91223664366</v>
      </c>
      <c r="AH80" s="35">
        <v>409.42</v>
      </c>
      <c r="AI80" s="84">
        <f>'figuring out Medicaid'!G11</f>
        <v>466.24400000000003</v>
      </c>
      <c r="AJ80" s="84">
        <f>'figuring out Medicaid'!H11</f>
        <v>537.41499999999996</v>
      </c>
      <c r="AK80" s="84">
        <f>'figuring out Medicaid'!I11</f>
        <v>516.01800000000003</v>
      </c>
      <c r="AL80" s="84"/>
      <c r="AM80" s="243"/>
    </row>
    <row r="81" spans="1:39" s="35" customFormat="1" x14ac:dyDescent="0.35">
      <c r="A81" s="141" t="s">
        <v>161</v>
      </c>
      <c r="B81" s="141"/>
      <c r="E81" s="141"/>
      <c r="F81" s="203">
        <f t="shared" ref="F81:M81" si="49">F45+F42+F32+F37</f>
        <v>1440187</v>
      </c>
      <c r="G81" s="203">
        <f t="shared" si="49"/>
        <v>1503410</v>
      </c>
      <c r="H81" s="203">
        <f t="shared" si="49"/>
        <v>1508652</v>
      </c>
      <c r="I81" s="203">
        <f t="shared" si="49"/>
        <v>1513957</v>
      </c>
      <c r="J81" s="203">
        <f t="shared" si="49"/>
        <v>1521941</v>
      </c>
      <c r="K81" s="203">
        <f t="shared" si="49"/>
        <v>1574462</v>
      </c>
      <c r="L81" s="203">
        <f t="shared" si="49"/>
        <v>3713565.333333333</v>
      </c>
      <c r="M81" s="199">
        <f t="shared" si="49"/>
        <v>2508714</v>
      </c>
      <c r="N81" s="142">
        <f>N45+N42+N32+N37+N33+N34</f>
        <v>1966597.486653418</v>
      </c>
      <c r="O81" s="142">
        <f>O45+O42+O32+O37+O33+O34</f>
        <v>3083942.7957109897</v>
      </c>
      <c r="P81" s="142">
        <f t="shared" ref="P81:V81" si="50">P45+P42+P32+P37+P33+P34</f>
        <v>1851230.9611612814</v>
      </c>
      <c r="Q81" s="142">
        <f t="shared" si="50"/>
        <v>1662989.228952572</v>
      </c>
      <c r="R81" s="142">
        <f t="shared" si="50"/>
        <v>1659289.0673868605</v>
      </c>
      <c r="S81" s="142">
        <f t="shared" si="50"/>
        <v>1668953.4033976633</v>
      </c>
      <c r="T81" s="142">
        <f t="shared" si="50"/>
        <v>1693987.704448628</v>
      </c>
      <c r="U81" s="142">
        <f t="shared" si="50"/>
        <v>1719397.5200153573</v>
      </c>
      <c r="V81" s="142">
        <f t="shared" si="50"/>
        <v>1736591.4952155109</v>
      </c>
      <c r="W81" s="142">
        <f t="shared" ref="W81:Z81" si="51">W45+W42+W32+W37+W33+W34</f>
        <v>0</v>
      </c>
      <c r="X81" s="142">
        <f t="shared" si="51"/>
        <v>0</v>
      </c>
      <c r="Y81" s="142">
        <f t="shared" si="51"/>
        <v>0</v>
      </c>
      <c r="Z81" s="142">
        <f t="shared" si="51"/>
        <v>0</v>
      </c>
      <c r="AM81" s="243"/>
    </row>
    <row r="82" spans="1:39" s="35" customFormat="1" x14ac:dyDescent="0.35">
      <c r="A82" s="141" t="s">
        <v>215</v>
      </c>
      <c r="B82" s="141"/>
      <c r="E82" s="141"/>
      <c r="F82" s="199"/>
      <c r="G82" s="199"/>
      <c r="H82" s="199"/>
      <c r="I82" s="199"/>
      <c r="J82" s="199"/>
      <c r="K82" s="199"/>
      <c r="L82" s="205">
        <f t="shared" ref="L82:V82" si="52">L80+L31</f>
        <v>1336698</v>
      </c>
      <c r="M82" s="199">
        <f t="shared" si="52"/>
        <v>1328805</v>
      </c>
      <c r="N82" s="143">
        <f t="shared" si="52"/>
        <v>1373815.6728590003</v>
      </c>
      <c r="O82" s="143">
        <f t="shared" si="52"/>
        <v>1393653.5067068823</v>
      </c>
      <c r="P82" s="143">
        <f t="shared" si="52"/>
        <v>1409518.3603139264</v>
      </c>
      <c r="Q82" s="143">
        <f t="shared" si="52"/>
        <v>1420222.3552427585</v>
      </c>
      <c r="R82" s="143">
        <f t="shared" si="52"/>
        <v>1449154.204832383</v>
      </c>
      <c r="S82" s="143">
        <f t="shared" si="52"/>
        <v>1479032.1128509077</v>
      </c>
      <c r="T82" s="143">
        <f t="shared" si="52"/>
        <v>1466472.6280325653</v>
      </c>
      <c r="U82" s="143">
        <f t="shared" si="52"/>
        <v>1498336.4715432189</v>
      </c>
      <c r="V82" s="143">
        <f t="shared" si="52"/>
        <v>1508477.1168994233</v>
      </c>
      <c r="W82" s="143">
        <f t="shared" ref="W82:Z82" si="53">W80+W31</f>
        <v>1026690.2317062188</v>
      </c>
      <c r="X82" s="143">
        <f t="shared" si="53"/>
        <v>1037036.2832472979</v>
      </c>
      <c r="Y82" s="143">
        <f t="shared" si="53"/>
        <v>1047486.5928977706</v>
      </c>
      <c r="Z82" s="143">
        <f t="shared" si="53"/>
        <v>0</v>
      </c>
      <c r="AM82" s="243"/>
    </row>
    <row r="83" spans="1:39" s="35" customFormat="1" x14ac:dyDescent="0.35">
      <c r="F83" s="199"/>
      <c r="G83" s="199"/>
      <c r="H83" s="199"/>
      <c r="I83" s="199"/>
      <c r="J83" s="199"/>
      <c r="K83" s="199"/>
      <c r="L83" s="199"/>
      <c r="M83" s="199"/>
      <c r="AM83" s="243"/>
    </row>
    <row r="84" spans="1:39" s="35" customFormat="1" x14ac:dyDescent="0.35">
      <c r="A84" s="35" t="s">
        <v>15</v>
      </c>
      <c r="B84" s="35" t="s">
        <v>283</v>
      </c>
      <c r="C84" t="s">
        <v>320</v>
      </c>
      <c r="D84"/>
      <c r="F84" s="199">
        <v>728844</v>
      </c>
      <c r="G84" s="199">
        <v>738714</v>
      </c>
      <c r="H84" s="199">
        <v>755204</v>
      </c>
      <c r="I84" s="199">
        <v>763370</v>
      </c>
      <c r="J84" s="199">
        <v>760967</v>
      </c>
      <c r="K84" s="199">
        <v>767087</v>
      </c>
      <c r="L84" s="199">
        <v>812158</v>
      </c>
      <c r="M84" s="199">
        <f>VLOOKUP(C84,'Haver NA'!$A$1:$I$34,9,0)</f>
        <v>835999</v>
      </c>
      <c r="N84" s="133">
        <f t="shared" ref="N84:U84" si="54">N85+N87</f>
        <v>846655.9390002318</v>
      </c>
      <c r="O84" s="133">
        <f t="shared" si="54"/>
        <v>859704.14460568153</v>
      </c>
      <c r="P84" s="133">
        <f t="shared" si="54"/>
        <v>867211.47334407107</v>
      </c>
      <c r="Q84" s="133">
        <f t="shared" si="54"/>
        <v>867929.66513166018</v>
      </c>
      <c r="R84" s="133">
        <f t="shared" si="54"/>
        <v>869012.33925145073</v>
      </c>
      <c r="S84" s="133">
        <f t="shared" si="54"/>
        <v>870466.73148570256</v>
      </c>
      <c r="T84" s="133">
        <f t="shared" si="54"/>
        <v>872014.07451017783</v>
      </c>
      <c r="U84" s="133">
        <f t="shared" si="54"/>
        <v>873408.51802630571</v>
      </c>
      <c r="V84" s="133">
        <f t="shared" ref="V84" si="55">V85+V87</f>
        <v>874637.8300734181</v>
      </c>
      <c r="AM84" s="243"/>
    </row>
    <row r="85" spans="1:39" s="35" customFormat="1" x14ac:dyDescent="0.35">
      <c r="A85" s="35" t="s">
        <v>231</v>
      </c>
      <c r="F85" s="205">
        <f t="shared" ref="F85:K85" si="56">F84-F87</f>
        <v>139025</v>
      </c>
      <c r="G85" s="205">
        <f t="shared" si="56"/>
        <v>139342</v>
      </c>
      <c r="H85" s="205">
        <f t="shared" si="56"/>
        <v>140228</v>
      </c>
      <c r="I85" s="205">
        <f t="shared" si="56"/>
        <v>141105</v>
      </c>
      <c r="J85" s="205">
        <f t="shared" si="56"/>
        <v>141335</v>
      </c>
      <c r="K85" s="205">
        <f t="shared" si="56"/>
        <v>142991</v>
      </c>
      <c r="L85" s="205">
        <f>L84-L87</f>
        <v>143335</v>
      </c>
      <c r="M85" s="199">
        <f>M84-M87</f>
        <v>144732</v>
      </c>
      <c r="N85" s="133">
        <f>M85*(1+N96-0.015)</f>
        <v>142922.84999999998</v>
      </c>
      <c r="O85" s="133">
        <f t="shared" ref="O85:V85" si="57">N85*(1+O96)</f>
        <v>143280.15712499997</v>
      </c>
      <c r="P85" s="133">
        <f t="shared" si="57"/>
        <v>143638.35751781246</v>
      </c>
      <c r="Q85" s="133">
        <f t="shared" si="57"/>
        <v>144356.54930540151</v>
      </c>
      <c r="R85" s="133">
        <f t="shared" si="57"/>
        <v>145439.22342519203</v>
      </c>
      <c r="S85" s="133">
        <f t="shared" si="57"/>
        <v>146893.61565944395</v>
      </c>
      <c r="T85" s="133">
        <f t="shared" si="57"/>
        <v>148440.9586839191</v>
      </c>
      <c r="U85" s="133">
        <f t="shared" si="57"/>
        <v>149835.40220004701</v>
      </c>
      <c r="V85" s="133">
        <f t="shared" si="57"/>
        <v>151064.71424715937</v>
      </c>
      <c r="AM85" s="243"/>
    </row>
    <row r="86" spans="1:39" s="35" customFormat="1" x14ac:dyDescent="0.35">
      <c r="F86" s="205"/>
      <c r="G86" s="199"/>
      <c r="H86" s="199"/>
      <c r="I86" s="199"/>
      <c r="J86" s="199"/>
      <c r="K86" s="199"/>
      <c r="L86" s="199"/>
      <c r="M86" s="199"/>
      <c r="AM86" s="243"/>
    </row>
    <row r="87" spans="1:39" s="35" customFormat="1" x14ac:dyDescent="0.35">
      <c r="A87" s="35" t="s">
        <v>228</v>
      </c>
      <c r="B87" s="35" t="s">
        <v>283</v>
      </c>
      <c r="C87" t="s">
        <v>321</v>
      </c>
      <c r="D87"/>
      <c r="F87" s="199">
        <v>589819</v>
      </c>
      <c r="G87" s="199">
        <v>599372</v>
      </c>
      <c r="H87" s="199">
        <v>614976</v>
      </c>
      <c r="I87" s="199">
        <v>622265</v>
      </c>
      <c r="J87" s="199">
        <v>619632</v>
      </c>
      <c r="K87" s="199">
        <v>624096</v>
      </c>
      <c r="L87" s="199">
        <v>668823</v>
      </c>
      <c r="M87" s="199">
        <f>VLOOKUP(C87,'Haver NA'!$A$1:$I$34,9,0)</f>
        <v>691267</v>
      </c>
      <c r="N87" s="135">
        <f>M87*(($AJ$87/$AI$87)^0.18)</f>
        <v>703733.08900023182</v>
      </c>
      <c r="O87" s="135">
        <f>N87*(($AJ$87/$AI$87)^0.18)</f>
        <v>716423.98748068151</v>
      </c>
      <c r="P87" s="135">
        <f>O87*(($AJ$87/$AI$87)^0.1)</f>
        <v>723573.11582625867</v>
      </c>
      <c r="Q87" s="135">
        <f>P87*(1+Q88)</f>
        <v>723573.11582625867</v>
      </c>
      <c r="R87" s="135">
        <f t="shared" ref="R87:V87" si="58">Q87*(1+R88)</f>
        <v>723573.11582625867</v>
      </c>
      <c r="S87" s="135">
        <f t="shared" si="58"/>
        <v>723573.11582625867</v>
      </c>
      <c r="T87" s="135">
        <f t="shared" si="58"/>
        <v>723573.11582625867</v>
      </c>
      <c r="U87" s="135">
        <f t="shared" si="58"/>
        <v>723573.11582625867</v>
      </c>
      <c r="V87" s="135">
        <f t="shared" si="58"/>
        <v>723573.11582625867</v>
      </c>
      <c r="AD87" s="45">
        <f>AVERAGE(J87:M87)/1000</f>
        <v>650.95450000000005</v>
      </c>
      <c r="AE87" s="45">
        <f>AVERAGE(N87:Q87)/1000</f>
        <v>716.82582703335765</v>
      </c>
      <c r="AF87" s="45">
        <f>AVERAGE(R87:U87)/1000</f>
        <v>723.57311582625869</v>
      </c>
      <c r="AH87" s="84"/>
      <c r="AI87" s="84">
        <f>'figuring out Medicaid'!G13</f>
        <v>657.17435271149407</v>
      </c>
      <c r="AJ87" s="84">
        <f>'figuring out Medicaid'!H13</f>
        <v>725.7777402928042</v>
      </c>
      <c r="AK87" s="84">
        <f>'figuring out Medicaid'!I13</f>
        <v>727.33117238501666</v>
      </c>
      <c r="AL87" s="84"/>
      <c r="AM87" s="243"/>
    </row>
    <row r="88" spans="1:39" s="187" customFormat="1" x14ac:dyDescent="0.35">
      <c r="A88" s="170" t="s">
        <v>271</v>
      </c>
      <c r="F88" s="209"/>
      <c r="G88" s="209"/>
      <c r="H88" s="209"/>
      <c r="I88" s="209"/>
      <c r="J88" s="202"/>
      <c r="K88" s="202"/>
      <c r="L88" s="202"/>
      <c r="M88" s="199"/>
      <c r="N88" s="176"/>
      <c r="O88" s="176"/>
      <c r="P88" s="176"/>
      <c r="Q88" s="176">
        <v>0</v>
      </c>
      <c r="R88" s="176">
        <v>0</v>
      </c>
      <c r="S88" s="176">
        <v>0</v>
      </c>
      <c r="T88" s="176">
        <v>0</v>
      </c>
      <c r="U88" s="176">
        <v>0</v>
      </c>
      <c r="V88" s="176">
        <v>0</v>
      </c>
      <c r="W88" s="176"/>
      <c r="AM88" s="244"/>
    </row>
    <row r="89" spans="1:39" s="153" customFormat="1" x14ac:dyDescent="0.35">
      <c r="A89" s="153" t="s">
        <v>223</v>
      </c>
      <c r="F89" s="210">
        <f>F80/F87</f>
        <v>0.66058231423538405</v>
      </c>
      <c r="G89" s="210">
        <f t="shared" ref="G89:I89" si="59">G80/G87</f>
        <v>0.6749214177505789</v>
      </c>
      <c r="H89" s="210">
        <f t="shared" si="59"/>
        <v>0.68242012696430432</v>
      </c>
      <c r="I89" s="210">
        <f t="shared" si="59"/>
        <v>0.6730637268687778</v>
      </c>
      <c r="J89" s="210">
        <f t="shared" ref="J89" si="60">J80/J87</f>
        <v>0.66395699382859508</v>
      </c>
      <c r="K89" s="210">
        <f t="shared" ref="K89" si="61">K80/K87</f>
        <v>0.67846773573296415</v>
      </c>
      <c r="L89" s="211"/>
      <c r="M89" s="199"/>
      <c r="AD89" s="154"/>
      <c r="AE89" s="154"/>
      <c r="AF89" s="154"/>
      <c r="AH89" s="155"/>
      <c r="AI89" s="155"/>
      <c r="AJ89" s="155"/>
      <c r="AM89" s="248"/>
    </row>
    <row r="90" spans="1:39" s="35" customFormat="1" x14ac:dyDescent="0.35">
      <c r="A90" s="35" t="s">
        <v>18</v>
      </c>
      <c r="B90" s="35" t="s">
        <v>283</v>
      </c>
      <c r="C90" t="s">
        <v>322</v>
      </c>
      <c r="D90"/>
      <c r="F90" s="199">
        <v>1997.1</v>
      </c>
      <c r="G90" s="199">
        <v>2012.7</v>
      </c>
      <c r="H90" s="199">
        <v>2025.5</v>
      </c>
      <c r="I90" s="199">
        <v>2028.3</v>
      </c>
      <c r="J90" s="199">
        <v>2035.6</v>
      </c>
      <c r="K90" s="199">
        <v>2041</v>
      </c>
      <c r="L90" s="199">
        <v>2013.1</v>
      </c>
      <c r="M90" s="199">
        <f>VLOOKUP(C90,'Haver NA'!$A$1:$I$34,9,0)/1000</f>
        <v>1992.6769999999999</v>
      </c>
      <c r="N90" s="35">
        <f>M90*(1+N92)</f>
        <v>2031.6535672371635</v>
      </c>
      <c r="O90" s="35">
        <f t="shared" ref="O90:V90" si="62">N90*(1+O92)</f>
        <v>2057.2848967789942</v>
      </c>
      <c r="P90" s="35">
        <f t="shared" si="62"/>
        <v>2079.7387887743166</v>
      </c>
      <c r="Q90" s="35">
        <f t="shared" si="62"/>
        <v>2094.5668306580201</v>
      </c>
      <c r="R90" s="35">
        <f t="shared" si="62"/>
        <v>2104.8405453917289</v>
      </c>
      <c r="S90" s="35">
        <f t="shared" si="62"/>
        <v>2115.0083455405543</v>
      </c>
      <c r="T90" s="35">
        <f t="shared" si="62"/>
        <v>2122.4223664824062</v>
      </c>
      <c r="U90" s="35">
        <f t="shared" si="62"/>
        <v>2126.9766936324008</v>
      </c>
      <c r="V90" s="35">
        <f t="shared" si="62"/>
        <v>2128.6713269905381</v>
      </c>
      <c r="AM90" s="243"/>
    </row>
    <row r="91" spans="1:39" s="187" customFormat="1" x14ac:dyDescent="0.35">
      <c r="A91" s="170" t="s">
        <v>287</v>
      </c>
      <c r="B91" s="35"/>
      <c r="C91" s="35"/>
      <c r="D91" s="35"/>
      <c r="F91" s="202"/>
      <c r="G91" s="202">
        <f t="shared" ref="G91:L91" si="63">(G90/F90)-1</f>
        <v>7.8113264233139468E-3</v>
      </c>
      <c r="H91" s="202">
        <f t="shared" si="63"/>
        <v>6.3596164356336526E-3</v>
      </c>
      <c r="I91" s="202">
        <f t="shared" si="63"/>
        <v>1.3823747222907468E-3</v>
      </c>
      <c r="J91" s="202">
        <f t="shared" si="63"/>
        <v>3.5990731154167399E-3</v>
      </c>
      <c r="K91" s="202">
        <f t="shared" si="63"/>
        <v>2.6527805069758159E-3</v>
      </c>
      <c r="L91" s="202">
        <f t="shared" si="63"/>
        <v>-1.36697697207252E-2</v>
      </c>
      <c r="M91" s="199">
        <f>(M90/L90)-1</f>
        <v>-1.0145049923004357E-2</v>
      </c>
      <c r="N91" s="262"/>
      <c r="O91" s="262"/>
      <c r="P91" s="262"/>
      <c r="Q91" s="262"/>
      <c r="R91" s="262"/>
      <c r="S91" s="262"/>
      <c r="T91" s="262"/>
      <c r="U91" s="262"/>
      <c r="V91" s="262"/>
      <c r="W91" s="262"/>
      <c r="X91" s="262"/>
      <c r="Y91" s="262"/>
      <c r="AM91" s="244"/>
    </row>
    <row r="92" spans="1:39" s="187" customFormat="1" x14ac:dyDescent="0.35">
      <c r="A92" s="170" t="s">
        <v>288</v>
      </c>
      <c r="B92" s="35" t="s">
        <v>283</v>
      </c>
      <c r="C92" s="35"/>
      <c r="D92" s="35"/>
      <c r="F92" s="209"/>
      <c r="G92" s="209"/>
      <c r="H92" s="209"/>
      <c r="I92" s="209"/>
      <c r="J92" s="202"/>
      <c r="K92" s="202"/>
      <c r="L92" s="202"/>
      <c r="M92" s="199"/>
      <c r="N92" s="198">
        <v>1.95599022004889E-2</v>
      </c>
      <c r="O92" s="198">
        <v>1.26159941611927E-2</v>
      </c>
      <c r="P92" s="198">
        <v>1.0914332784184499E-2</v>
      </c>
      <c r="Q92" s="198">
        <v>7.1297616622529904E-3</v>
      </c>
      <c r="R92" s="198">
        <v>4.9049352750809598E-3</v>
      </c>
      <c r="S92" s="198">
        <v>4.8306747848840797E-3</v>
      </c>
      <c r="T92" s="198">
        <v>3.5054334218038701E-3</v>
      </c>
      <c r="U92" s="198">
        <v>2.14581565946403E-3</v>
      </c>
      <c r="V92" s="198">
        <v>7.9673339308827796E-4</v>
      </c>
      <c r="W92" s="198">
        <v>3.9804955716982198E-4</v>
      </c>
      <c r="X92" s="198">
        <v>1.1439371331942701E-3</v>
      </c>
      <c r="Y92" s="198">
        <v>8.9423220229512001E-4</v>
      </c>
      <c r="AM92" s="244"/>
    </row>
    <row r="93" spans="1:39" s="35" customFormat="1" x14ac:dyDescent="0.35">
      <c r="A93" s="35" t="s">
        <v>217</v>
      </c>
      <c r="B93" s="35" t="s">
        <v>283</v>
      </c>
      <c r="C93" t="s">
        <v>323</v>
      </c>
      <c r="D93"/>
      <c r="F93" s="199"/>
      <c r="G93" s="199"/>
      <c r="H93" s="199"/>
      <c r="I93" s="199"/>
      <c r="J93" s="199">
        <v>2357.4</v>
      </c>
      <c r="K93" s="199">
        <v>2381.6</v>
      </c>
      <c r="L93" s="199">
        <v>2334.5</v>
      </c>
      <c r="M93" s="199">
        <f>VLOOKUP(C93,'Haver NA'!$A$1:$I$34,9,0)/1000</f>
        <v>2329.6770000000001</v>
      </c>
      <c r="N93">
        <v>2431.4160000000002</v>
      </c>
      <c r="O93">
        <v>2469.9411956560398</v>
      </c>
      <c r="P93">
        <v>2511.3882460388099</v>
      </c>
      <c r="Q93">
        <v>2543.4204311910298</v>
      </c>
      <c r="R93">
        <v>2569.93355741499</v>
      </c>
      <c r="S93">
        <v>2599.1521046822099</v>
      </c>
      <c r="T93">
        <v>2626.53096564002</v>
      </c>
      <c r="U93">
        <v>2651.2044055545698</v>
      </c>
      <c r="V93">
        <v>2672.95599074239</v>
      </c>
      <c r="W93">
        <v>2693.9500580381</v>
      </c>
      <c r="X93">
        <v>2717.3248958518798</v>
      </c>
      <c r="Y93">
        <v>2740.4832999822002</v>
      </c>
      <c r="AM93" s="243"/>
    </row>
    <row r="94" spans="1:39" s="35" customFormat="1" x14ac:dyDescent="0.35">
      <c r="F94" s="199"/>
      <c r="G94" s="199"/>
      <c r="H94" s="199"/>
      <c r="I94" s="199"/>
      <c r="J94" s="199"/>
      <c r="K94" s="199"/>
      <c r="L94" s="199"/>
      <c r="M94" s="199"/>
      <c r="N94">
        <f>M93*(1+N96)</f>
        <v>2335.5011924999999</v>
      </c>
      <c r="O94">
        <f>N94*(1+O96)</f>
        <v>2341.3399454812497</v>
      </c>
      <c r="P94">
        <f t="shared" ref="P94:V94" si="64">O94*(1+P96)</f>
        <v>2347.1932953449527</v>
      </c>
      <c r="Q94">
        <f t="shared" si="64"/>
        <v>2358.9292618216773</v>
      </c>
      <c r="R94">
        <f t="shared" si="64"/>
        <v>2376.6212312853399</v>
      </c>
      <c r="S94">
        <f t="shared" si="64"/>
        <v>2400.3874435981934</v>
      </c>
      <c r="T94">
        <f t="shared" si="64"/>
        <v>2425.6725640591153</v>
      </c>
      <c r="U94">
        <f t="shared" si="64"/>
        <v>2448.4591548302242</v>
      </c>
      <c r="V94">
        <f t="shared" si="64"/>
        <v>2468.5473335363272</v>
      </c>
      <c r="W94"/>
      <c r="X94"/>
      <c r="Y94"/>
      <c r="AM94" s="243"/>
    </row>
    <row r="95" spans="1:39" s="187" customFormat="1" x14ac:dyDescent="0.35">
      <c r="A95" s="170" t="s">
        <v>287</v>
      </c>
      <c r="B95" s="35"/>
      <c r="C95" s="35"/>
      <c r="D95" s="35"/>
      <c r="F95" s="202"/>
      <c r="G95" s="202"/>
      <c r="H95" s="202"/>
      <c r="I95" s="202"/>
      <c r="J95" s="202"/>
      <c r="K95" s="202">
        <f t="shared" ref="K95" si="65">(K93/J93)-1</f>
        <v>1.0265546788835067E-2</v>
      </c>
      <c r="L95" s="202">
        <f t="shared" ref="L95" si="66">(L93/K93)-1</f>
        <v>-1.9776620759153429E-2</v>
      </c>
      <c r="M95" s="202">
        <f>(((M93/L93))^4)-1</f>
        <v>-8.2382940014741335E-3</v>
      </c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262"/>
      <c r="AM95" s="244"/>
    </row>
    <row r="96" spans="1:39" s="187" customFormat="1" x14ac:dyDescent="0.35">
      <c r="A96" s="170" t="s">
        <v>288</v>
      </c>
      <c r="F96" s="209"/>
      <c r="G96" s="209"/>
      <c r="H96" s="209"/>
      <c r="I96" s="209"/>
      <c r="J96" s="209"/>
      <c r="K96" s="202"/>
      <c r="L96" s="202"/>
      <c r="M96" s="199"/>
      <c r="N96" s="176">
        <v>2.5000000000000001E-3</v>
      </c>
      <c r="O96" s="176">
        <v>2.5000000000000001E-3</v>
      </c>
      <c r="P96" s="176">
        <v>2.5000000000000001E-3</v>
      </c>
      <c r="Q96" s="176">
        <v>5.0000000000000001E-3</v>
      </c>
      <c r="R96" s="176">
        <v>7.4999999999999997E-3</v>
      </c>
      <c r="S96" s="176">
        <v>0.01</v>
      </c>
      <c r="T96" s="176">
        <f>T93/S93-1</f>
        <v>1.053376634191161E-2</v>
      </c>
      <c r="U96" s="176">
        <f>U93/T93-1</f>
        <v>9.3939269086582566E-3</v>
      </c>
      <c r="V96" s="176">
        <f>V93/U93-1</f>
        <v>8.2044165067951536E-3</v>
      </c>
      <c r="AM96" s="244"/>
    </row>
    <row r="97" spans="1:39" s="187" customFormat="1" x14ac:dyDescent="0.35">
      <c r="A97" s="265" t="s">
        <v>263</v>
      </c>
      <c r="F97" s="209"/>
      <c r="G97" s="209"/>
      <c r="H97" s="209"/>
      <c r="I97" s="209"/>
      <c r="J97" s="209"/>
      <c r="K97" s="202"/>
      <c r="L97" s="202"/>
      <c r="M97" s="199"/>
      <c r="N97" s="176"/>
      <c r="O97" s="176"/>
      <c r="P97" s="176"/>
      <c r="Q97" s="176"/>
      <c r="R97" s="176"/>
      <c r="S97" s="176"/>
      <c r="T97" s="176"/>
      <c r="U97" s="176"/>
      <c r="V97" s="176"/>
      <c r="AM97" s="244"/>
    </row>
    <row r="98" spans="1:39" s="35" customFormat="1" x14ac:dyDescent="0.35">
      <c r="A98" s="35" t="s">
        <v>164</v>
      </c>
      <c r="F98" s="203">
        <f t="shared" ref="F98:Y98" si="67">F84+F41-F80</f>
        <v>339220</v>
      </c>
      <c r="G98" s="203">
        <f t="shared" si="67"/>
        <v>334185</v>
      </c>
      <c r="H98" s="203">
        <f t="shared" si="67"/>
        <v>335532</v>
      </c>
      <c r="I98" s="203">
        <f t="shared" si="67"/>
        <v>344546</v>
      </c>
      <c r="J98" s="203">
        <f t="shared" si="67"/>
        <v>349558</v>
      </c>
      <c r="K98" s="203">
        <f t="shared" si="67"/>
        <v>343658</v>
      </c>
      <c r="L98" s="203">
        <f t="shared" si="67"/>
        <v>577118</v>
      </c>
      <c r="M98" s="199">
        <f t="shared" si="67"/>
        <v>489927</v>
      </c>
      <c r="N98" s="223">
        <f t="shared" si="67"/>
        <v>405893.45314006024</v>
      </c>
      <c r="O98" s="223">
        <f t="shared" si="67"/>
        <v>389550.39386997721</v>
      </c>
      <c r="P98" s="223">
        <f t="shared" si="67"/>
        <v>375767.36763263971</v>
      </c>
      <c r="Q98" s="223">
        <f t="shared" si="67"/>
        <v>376485.55942022882</v>
      </c>
      <c r="R98" s="223">
        <f t="shared" si="67"/>
        <v>377568.23354001937</v>
      </c>
      <c r="S98" s="223">
        <f t="shared" si="67"/>
        <v>379022.6257742712</v>
      </c>
      <c r="T98" s="223">
        <f t="shared" si="67"/>
        <v>423984.35574832192</v>
      </c>
      <c r="U98" s="223">
        <f t="shared" si="67"/>
        <v>425378.7992644498</v>
      </c>
      <c r="V98" s="223">
        <f t="shared" si="67"/>
        <v>426608.11131156218</v>
      </c>
      <c r="W98" s="223">
        <f t="shared" si="67"/>
        <v>0</v>
      </c>
      <c r="X98" s="223">
        <f t="shared" si="67"/>
        <v>0</v>
      </c>
      <c r="Y98" s="223">
        <f t="shared" si="67"/>
        <v>0</v>
      </c>
      <c r="AM98" s="243"/>
    </row>
    <row r="99" spans="1:39" s="35" customFormat="1" x14ac:dyDescent="0.35">
      <c r="A99" s="141" t="s">
        <v>214</v>
      </c>
      <c r="B99" s="141"/>
      <c r="E99" s="141"/>
      <c r="F99" s="203"/>
      <c r="G99" s="203"/>
      <c r="H99" s="203"/>
      <c r="I99" s="203"/>
      <c r="J99" s="203"/>
      <c r="K99" s="203"/>
      <c r="L99" s="203">
        <f>L87-L80</f>
        <v>156183</v>
      </c>
      <c r="M99" s="199">
        <f t="shared" ref="M99:U99" si="68">M87-M80</f>
        <v>205195</v>
      </c>
      <c r="N99" s="142">
        <f t="shared" si="68"/>
        <v>182970.60314006027</v>
      </c>
      <c r="O99" s="142">
        <f t="shared" si="68"/>
        <v>186270.23674497718</v>
      </c>
      <c r="P99" s="142">
        <f t="shared" si="68"/>
        <v>188129.01011482731</v>
      </c>
      <c r="Q99" s="142">
        <f t="shared" si="68"/>
        <v>188129.01011482731</v>
      </c>
      <c r="R99" s="142">
        <f t="shared" si="68"/>
        <v>188129.01011482731</v>
      </c>
      <c r="S99" s="142">
        <f t="shared" si="68"/>
        <v>188129.01011482731</v>
      </c>
      <c r="T99" s="142">
        <f t="shared" si="68"/>
        <v>231543.39706440276</v>
      </c>
      <c r="U99" s="142">
        <f t="shared" si="68"/>
        <v>231543.39706440276</v>
      </c>
      <c r="V99" s="142">
        <f t="shared" ref="V99:Y99" si="69">V87-V80</f>
        <v>231543.39706440276</v>
      </c>
      <c r="W99" s="142">
        <f t="shared" si="69"/>
        <v>0</v>
      </c>
      <c r="X99" s="142">
        <f t="shared" si="69"/>
        <v>0</v>
      </c>
      <c r="Y99" s="142">
        <f t="shared" si="69"/>
        <v>0</v>
      </c>
      <c r="AM99" s="243"/>
    </row>
    <row r="100" spans="1:39" s="141" customFormat="1" x14ac:dyDescent="0.35">
      <c r="A100" s="141" t="s">
        <v>232</v>
      </c>
      <c r="C100" s="35"/>
      <c r="D100" s="35"/>
      <c r="F100" s="203">
        <f>F98-(F87-F80)</f>
        <v>139025</v>
      </c>
      <c r="G100" s="203">
        <f t="shared" ref="G100:V100" si="70">G98-(G87-G80)</f>
        <v>139342</v>
      </c>
      <c r="H100" s="203">
        <f t="shared" si="70"/>
        <v>140228</v>
      </c>
      <c r="I100" s="203">
        <f t="shared" si="70"/>
        <v>141105</v>
      </c>
      <c r="J100" s="203">
        <f t="shared" si="70"/>
        <v>141335</v>
      </c>
      <c r="K100" s="203">
        <f t="shared" si="70"/>
        <v>142991</v>
      </c>
      <c r="L100" s="203">
        <f t="shared" si="70"/>
        <v>420935</v>
      </c>
      <c r="M100" s="199">
        <f>M98-(M87-M80)</f>
        <v>284732</v>
      </c>
      <c r="N100" s="143">
        <f t="shared" si="70"/>
        <v>222922.84999999998</v>
      </c>
      <c r="O100" s="143">
        <f t="shared" si="70"/>
        <v>203280.15712500003</v>
      </c>
      <c r="P100" s="143">
        <f t="shared" si="70"/>
        <v>187638.3575178124</v>
      </c>
      <c r="Q100" s="143">
        <f t="shared" si="70"/>
        <v>188356.54930540151</v>
      </c>
      <c r="R100" s="143">
        <f t="shared" si="70"/>
        <v>189439.22342519206</v>
      </c>
      <c r="S100" s="143">
        <f t="shared" si="70"/>
        <v>190893.61565944389</v>
      </c>
      <c r="T100" s="143">
        <f t="shared" si="70"/>
        <v>192440.95868391916</v>
      </c>
      <c r="U100" s="143">
        <f t="shared" si="70"/>
        <v>193835.40220004704</v>
      </c>
      <c r="V100" s="143">
        <f t="shared" si="70"/>
        <v>195064.71424715943</v>
      </c>
      <c r="W100" s="143">
        <f t="shared" ref="W100:Y100" si="71">W98-(W87-W80)</f>
        <v>0</v>
      </c>
      <c r="X100" s="143">
        <f t="shared" si="71"/>
        <v>0</v>
      </c>
      <c r="Y100" s="143">
        <f t="shared" si="71"/>
        <v>0</v>
      </c>
      <c r="AM100" s="267"/>
    </row>
    <row r="101" spans="1:39" s="35" customFormat="1" x14ac:dyDescent="0.35">
      <c r="A101"/>
      <c r="F101" s="220"/>
      <c r="G101" s="220"/>
      <c r="H101" s="220"/>
      <c r="I101" s="220"/>
      <c r="J101" s="220"/>
      <c r="K101" s="220"/>
      <c r="L101" s="220"/>
      <c r="M101" s="135"/>
      <c r="N101" s="94"/>
      <c r="O101" s="94"/>
      <c r="P101" s="94"/>
      <c r="Q101" s="94"/>
      <c r="R101" s="94"/>
      <c r="S101" s="94"/>
      <c r="T101" s="94"/>
      <c r="U101" s="94"/>
      <c r="V101"/>
      <c r="AM101" s="243"/>
    </row>
    <row r="102" spans="1:39" s="187" customFormat="1" x14ac:dyDescent="0.35">
      <c r="A102" s="170"/>
      <c r="F102" s="195"/>
      <c r="G102" s="195"/>
      <c r="H102" s="195"/>
      <c r="I102" s="195"/>
      <c r="J102" s="195"/>
      <c r="K102" s="195"/>
      <c r="L102" s="195"/>
      <c r="M102" s="221"/>
      <c r="N102" s="195"/>
      <c r="O102" s="195"/>
      <c r="P102" s="195"/>
      <c r="Q102" s="195"/>
      <c r="R102" s="195"/>
      <c r="S102" s="195"/>
      <c r="T102" s="195"/>
      <c r="U102" s="195"/>
      <c r="AM102" s="244"/>
    </row>
    <row r="103" spans="1:39" x14ac:dyDescent="0.35">
      <c r="A103" t="s">
        <v>158</v>
      </c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</row>
    <row r="104" spans="1:39" x14ac:dyDescent="0.35"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</row>
    <row r="105" spans="1:39" x14ac:dyDescent="0.35"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</row>
    <row r="106" spans="1:39" x14ac:dyDescent="0.35"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</row>
    <row r="107" spans="1:39" x14ac:dyDescent="0.35"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</row>
    <row r="108" spans="1:39" x14ac:dyDescent="0.35"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I55" activePane="bottomRight" state="frozen"/>
      <selection pane="topRight" activeCell="C1" sqref="C1"/>
      <selection pane="bottomLeft" activeCell="A9" sqref="A9"/>
      <selection pane="bottomRight" activeCell="S64" sqref="S64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05" t="s">
        <v>208</v>
      </c>
      <c r="B1" s="306"/>
      <c r="C1" s="35"/>
      <c r="H1"/>
      <c r="I1" s="250"/>
      <c r="J1" s="313" t="s">
        <v>282</v>
      </c>
      <c r="V1" s="300"/>
      <c r="W1" s="300"/>
      <c r="X1" s="300"/>
      <c r="Y1" s="300"/>
    </row>
    <row r="2" spans="1:27" x14ac:dyDescent="0.35">
      <c r="A2" s="307" t="s">
        <v>192</v>
      </c>
      <c r="B2" s="126"/>
      <c r="C2" t="s">
        <v>193</v>
      </c>
      <c r="I2" s="251"/>
      <c r="J2" s="313"/>
    </row>
    <row r="3" spans="1:27" x14ac:dyDescent="0.35">
      <c r="A3" s="308"/>
      <c r="B3" s="127"/>
      <c r="C3" t="s">
        <v>194</v>
      </c>
      <c r="I3" s="251"/>
      <c r="J3" s="313"/>
    </row>
    <row r="4" spans="1:27" x14ac:dyDescent="0.35">
      <c r="A4" s="308"/>
      <c r="B4" s="128"/>
      <c r="C4" t="s">
        <v>195</v>
      </c>
    </row>
    <row r="5" spans="1:27" x14ac:dyDescent="0.35">
      <c r="A5" s="309"/>
      <c r="B5" s="129"/>
      <c r="C5" t="s">
        <v>182</v>
      </c>
    </row>
    <row r="7" spans="1:27" x14ac:dyDescent="0.35">
      <c r="C7" s="310" t="s">
        <v>160</v>
      </c>
      <c r="D7" s="311"/>
      <c r="E7" s="311"/>
      <c r="F7" s="312"/>
      <c r="G7" s="310" t="s">
        <v>166</v>
      </c>
      <c r="H7" s="311"/>
      <c r="I7" s="311"/>
      <c r="J7" s="312"/>
      <c r="K7" s="310" t="s">
        <v>177</v>
      </c>
      <c r="L7" s="311"/>
      <c r="M7" s="311"/>
      <c r="N7" s="311"/>
      <c r="O7" s="310" t="s">
        <v>272</v>
      </c>
      <c r="P7" s="311"/>
      <c r="Q7" s="311"/>
      <c r="R7" s="311"/>
      <c r="S7" s="310" t="s">
        <v>276</v>
      </c>
      <c r="T7" s="311"/>
      <c r="U7" s="311"/>
      <c r="V7" s="311"/>
      <c r="W7" s="310" t="s">
        <v>277</v>
      </c>
      <c r="X7" s="311"/>
      <c r="Y7" s="311"/>
      <c r="Z7" s="311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x14ac:dyDescent="0.35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x14ac:dyDescent="0.35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x14ac:dyDescent="0.35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x14ac:dyDescent="0.35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35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main!L99/1000</f>
        <v>156.18299999999999</v>
      </c>
      <c r="E24" s="104">
        <f>main!M99/1000</f>
        <v>205.19499999999999</v>
      </c>
      <c r="F24" s="104">
        <f>main!N99/1000</f>
        <v>182.97060314006026</v>
      </c>
      <c r="G24" s="149">
        <f>main!O99/1000</f>
        <v>186.27023674497718</v>
      </c>
      <c r="H24" s="104">
        <f>main!P99/1000</f>
        <v>188.12901011482731</v>
      </c>
      <c r="I24" s="104">
        <f>main!Q99/1000</f>
        <v>188.12901011482731</v>
      </c>
      <c r="J24" s="104">
        <f>main!R99/1000</f>
        <v>188.12901011482731</v>
      </c>
      <c r="K24" s="149">
        <f>main!S99/1000</f>
        <v>188.12901011482731</v>
      </c>
      <c r="L24" s="104">
        <f>main!T99/1000</f>
        <v>231.54339706440277</v>
      </c>
      <c r="M24" s="232">
        <f>main!U99/1000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35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-22.257396859939746</v>
      </c>
      <c r="G27" s="150">
        <f t="shared" ref="G27" si="17">G24-G25</f>
        <v>-26.789650629444708</v>
      </c>
      <c r="H27" s="225">
        <f t="shared" ref="H27" si="18">H24-H25</f>
        <v>-32.762764634016577</v>
      </c>
      <c r="I27" s="225">
        <f t="shared" ref="I27" si="19">I24-I25</f>
        <v>-40.594652008438686</v>
      </c>
      <c r="J27" s="225">
        <f t="shared" ref="J27" si="20">J24-J25</f>
        <v>-48.426539382860597</v>
      </c>
      <c r="K27" s="150">
        <f t="shared" ref="K27:AA27" si="21">K24-K25</f>
        <v>-46.071944194504397</v>
      </c>
      <c r="L27" s="225">
        <f t="shared" si="21"/>
        <v>-0.30296205657262476</v>
      </c>
      <c r="M27" s="249">
        <f t="shared" si="21"/>
        <v>2.0516331317836602</v>
      </c>
      <c r="N27" s="225">
        <f t="shared" si="21"/>
        <v>2.0305832892202886</v>
      </c>
      <c r="O27" s="150">
        <f t="shared" si="21"/>
        <v>2.0097400394941758</v>
      </c>
      <c r="P27" s="225">
        <f t="shared" si="21"/>
        <v>1.9888967897680345</v>
      </c>
      <c r="Q27" s="225">
        <f t="shared" si="21"/>
        <v>1.9680535400418933</v>
      </c>
      <c r="R27" s="225">
        <f t="shared" si="21"/>
        <v>1.9472102903157804</v>
      </c>
      <c r="S27" s="150">
        <f t="shared" si="21"/>
        <v>1.9691524171809078</v>
      </c>
      <c r="T27" s="225">
        <f t="shared" si="21"/>
        <v>1.9910945440460637</v>
      </c>
      <c r="U27" s="225">
        <f t="shared" si="21"/>
        <v>2.0130366709111911</v>
      </c>
      <c r="V27" s="225">
        <f t="shared" si="21"/>
        <v>2.0349787977763469</v>
      </c>
      <c r="W27" s="150">
        <f t="shared" si="21"/>
        <v>2.0627743883631524</v>
      </c>
      <c r="X27" s="225">
        <f t="shared" si="21"/>
        <v>2.0905699789499579</v>
      </c>
      <c r="Y27" s="225">
        <f t="shared" si="21"/>
        <v>2.1183655695367065</v>
      </c>
      <c r="Z27" s="225">
        <f t="shared" si="21"/>
        <v>2.1461611601234836</v>
      </c>
      <c r="AA27" s="150">
        <f t="shared" si="21"/>
        <v>2.1750851411117083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main!L100/1000</f>
        <v>420.935</v>
      </c>
      <c r="F31" s="104">
        <f>main!M100/1000</f>
        <v>284.73200000000003</v>
      </c>
      <c r="G31" s="104">
        <f>main!N100/1000</f>
        <v>222.92284999999998</v>
      </c>
      <c r="H31" s="104">
        <f>main!O100/1000</f>
        <v>203.28015712500002</v>
      </c>
      <c r="I31" s="104">
        <f>main!P100/1000</f>
        <v>187.63835751781241</v>
      </c>
      <c r="J31" s="104">
        <f>main!Q100/1000</f>
        <v>188.3565493054015</v>
      </c>
      <c r="K31" s="104">
        <f>main!R100/1000</f>
        <v>189.43922342519207</v>
      </c>
      <c r="L31" s="104">
        <f>main!S100/1000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-591.10500000000002</v>
      </c>
      <c r="G34" s="150">
        <f t="shared" ref="G34" si="40">G31-G32</f>
        <v>-630.45068126596811</v>
      </c>
      <c r="H34" s="225">
        <f t="shared" ref="H34" si="41">H31-H32</f>
        <v>-627.6397000131858</v>
      </c>
      <c r="I34" s="225">
        <f t="shared" ref="I34" si="42">I31-I32</f>
        <v>-620.837644585357</v>
      </c>
      <c r="J34" s="225">
        <f t="shared" ref="J34" si="43">J31-J32</f>
        <v>-601.63274124276234</v>
      </c>
      <c r="K34" s="150">
        <f t="shared" ref="K34:N34" si="44">K31-K32</f>
        <v>-620.38250935733299</v>
      </c>
      <c r="L34" s="249">
        <f t="shared" si="44"/>
        <v>-642.84660678631462</v>
      </c>
      <c r="M34" s="225">
        <f t="shared" si="44"/>
        <v>-662.07651217129251</v>
      </c>
      <c r="N34" s="225">
        <f t="shared" si="44"/>
        <v>-680.01051493350417</v>
      </c>
      <c r="O34" s="150">
        <f t="shared" ref="O34:AA34" si="45">O31-O32</f>
        <v>-696.48492380078505</v>
      </c>
      <c r="P34" s="150">
        <f t="shared" si="45"/>
        <v>-817.67623215503761</v>
      </c>
      <c r="Q34" s="150">
        <f t="shared" si="45"/>
        <v>-835.96322772532972</v>
      </c>
      <c r="R34" s="150">
        <f t="shared" si="45"/>
        <v>-854.1375918451696</v>
      </c>
      <c r="S34" s="150">
        <f t="shared" si="45"/>
        <v>-859.85618944066186</v>
      </c>
      <c r="T34" s="150">
        <f t="shared" si="45"/>
        <v>-866.25057573887523</v>
      </c>
      <c r="U34" s="150">
        <f t="shared" si="45"/>
        <v>-873.2644350145722</v>
      </c>
      <c r="V34" s="150">
        <f t="shared" si="45"/>
        <v>-881.17934589388699</v>
      </c>
      <c r="W34" s="150">
        <f t="shared" si="45"/>
        <v>-887.54372249410221</v>
      </c>
      <c r="X34" s="150">
        <f t="shared" si="45"/>
        <v>-893.79546764386509</v>
      </c>
      <c r="Y34" s="150">
        <f t="shared" si="45"/>
        <v>-900.49773859542927</v>
      </c>
      <c r="Z34" s="150">
        <f t="shared" si="45"/>
        <v>-907.70685107403244</v>
      </c>
      <c r="AA34" s="150">
        <f t="shared" si="45"/>
        <v>-915.03501956812443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7">G38-G39</f>
        <v>9.1220108456809612E-2</v>
      </c>
      <c r="H40" s="225">
        <f t="shared" si="47"/>
        <v>9.2732986063538192E-2</v>
      </c>
      <c r="I40" s="225">
        <f t="shared" si="47"/>
        <v>9.4207574237998415E-2</v>
      </c>
      <c r="J40" s="225">
        <f t="shared" si="47"/>
        <v>9.5783673922369417E-2</v>
      </c>
      <c r="K40" s="150">
        <f t="shared" si="47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1.9071502101439819E-3</v>
      </c>
      <c r="H46" s="225">
        <f t="shared" si="49"/>
        <v>1.9387801313541786E-3</v>
      </c>
      <c r="I46" s="225">
        <f t="shared" si="49"/>
        <v>1.969609530561911E-3</v>
      </c>
      <c r="J46" s="225">
        <f t="shared" si="49"/>
        <v>2.0025612436285201E-3</v>
      </c>
      <c r="K46" s="150">
        <f t="shared" si="49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main!L82/1000</f>
        <v>1336.6980000000001</v>
      </c>
      <c r="F50" s="104">
        <f>main!M82/1000</f>
        <v>1328.8050000000001</v>
      </c>
      <c r="G50" s="149">
        <f>main!N82/1000</f>
        <v>1373.8156728590002</v>
      </c>
      <c r="H50" s="104">
        <f>main!O82/1000</f>
        <v>1393.6535067068824</v>
      </c>
      <c r="I50" s="104">
        <f>main!P82/1000</f>
        <v>1409.5183603139265</v>
      </c>
      <c r="J50" s="232">
        <f>main!Q82/1000</f>
        <v>1420.2223552427586</v>
      </c>
      <c r="K50" s="149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9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9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9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9">
        <f t="shared" si="50"/>
        <v>1815.5043883220089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39.284047628965254</v>
      </c>
      <c r="H53" s="225">
        <f t="shared" ref="H53" si="71">H50-H51</f>
        <v>53.362256246811285</v>
      </c>
      <c r="I53" s="225">
        <f t="shared" ref="I53" si="72">I50-I51</f>
        <v>63.467484623819473</v>
      </c>
      <c r="J53" s="249">
        <f t="shared" ref="J53" si="73">J50-J51</f>
        <v>68.411854322616591</v>
      </c>
      <c r="K53" s="150">
        <f t="shared" ref="K53:AA53" si="74">K50-K51</f>
        <v>70.152221482738696</v>
      </c>
      <c r="L53" s="225">
        <f t="shared" si="74"/>
        <v>71.892588642860801</v>
      </c>
      <c r="M53" s="225">
        <f t="shared" si="74"/>
        <v>73.632955802982906</v>
      </c>
      <c r="N53" s="225">
        <f t="shared" si="74"/>
        <v>75.373322963105011</v>
      </c>
      <c r="O53" s="150">
        <f t="shared" si="74"/>
        <v>75.586446231400942</v>
      </c>
      <c r="P53" s="225">
        <f t="shared" si="74"/>
        <v>75.799569499696645</v>
      </c>
      <c r="Q53" s="225">
        <f t="shared" si="74"/>
        <v>76.012692767992348</v>
      </c>
      <c r="R53" s="225">
        <f t="shared" si="74"/>
        <v>76.225816036288279</v>
      </c>
      <c r="S53" s="150">
        <f t="shared" si="74"/>
        <v>76.806290770357236</v>
      </c>
      <c r="T53" s="225">
        <f t="shared" si="74"/>
        <v>77.386765504425966</v>
      </c>
      <c r="U53" s="225">
        <f t="shared" si="74"/>
        <v>77.967240238494924</v>
      </c>
      <c r="V53" s="225">
        <f t="shared" si="74"/>
        <v>78.547714972563881</v>
      </c>
      <c r="W53" s="150">
        <f t="shared" si="74"/>
        <v>80.42363380420511</v>
      </c>
      <c r="X53" s="225">
        <f t="shared" si="74"/>
        <v>82.299552635846567</v>
      </c>
      <c r="Y53" s="225">
        <f t="shared" si="74"/>
        <v>84.175471467487796</v>
      </c>
      <c r="Z53" s="225">
        <f t="shared" si="74"/>
        <v>86.051390299129253</v>
      </c>
      <c r="AA53" s="150">
        <f t="shared" si="74"/>
        <v>87.452518457736005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main!K81/1000</f>
        <v>1574.462</v>
      </c>
      <c r="E57" s="104">
        <f>main!L81/1000</f>
        <v>3713.565333333333</v>
      </c>
      <c r="F57" s="104">
        <f>main!M81/1000</f>
        <v>2508.7139999999999</v>
      </c>
      <c r="G57" s="149">
        <f>main!N81/1000</f>
        <v>1966.5974866534179</v>
      </c>
      <c r="H57" s="104">
        <f>main!O81/1000</f>
        <v>3083.9427957109897</v>
      </c>
      <c r="I57" s="104">
        <f>main!P81/1000</f>
        <v>1851.2309611612814</v>
      </c>
      <c r="J57" s="104">
        <f>main!Q81/1000</f>
        <v>1662.9892289525719</v>
      </c>
      <c r="K57" s="274">
        <f>main!R81/1000</f>
        <v>1659.2890673868606</v>
      </c>
      <c r="L57" s="104">
        <f>K57*(1+L59)</f>
        <v>1666.6590205531852</v>
      </c>
      <c r="M57" s="104">
        <f t="shared" ref="M57:AA57" si="75">L57*(1+M59)</f>
        <v>1654.1233225320043</v>
      </c>
      <c r="N57" s="104">
        <f t="shared" si="75"/>
        <v>1614.0246827555854</v>
      </c>
      <c r="O57" s="104">
        <f t="shared" si="75"/>
        <v>1613.2462308130598</v>
      </c>
      <c r="P57" s="104">
        <f t="shared" si="75"/>
        <v>1613.2462308130598</v>
      </c>
      <c r="Q57" s="104">
        <f t="shared" si="75"/>
        <v>1613.2462308130598</v>
      </c>
      <c r="R57" s="104">
        <f t="shared" si="75"/>
        <v>1613.2462308130598</v>
      </c>
      <c r="S57" s="104">
        <f t="shared" si="75"/>
        <v>1613.2462308130598</v>
      </c>
      <c r="T57" s="104">
        <f t="shared" si="75"/>
        <v>1613.2462308130598</v>
      </c>
      <c r="U57" s="104">
        <f t="shared" si="75"/>
        <v>1613.2462308130598</v>
      </c>
      <c r="V57" s="104">
        <f t="shared" si="75"/>
        <v>1613.2462308130598</v>
      </c>
      <c r="W57" s="104">
        <f t="shared" si="75"/>
        <v>1613.2462308130598</v>
      </c>
      <c r="X57" s="104">
        <f t="shared" si="75"/>
        <v>1613.2462308130598</v>
      </c>
      <c r="Y57" s="104">
        <f t="shared" si="75"/>
        <v>1613.2462308130598</v>
      </c>
      <c r="Z57" s="104">
        <f t="shared" si="75"/>
        <v>1613.2462308130598</v>
      </c>
      <c r="AA57" s="104">
        <f t="shared" si="75"/>
        <v>1613.2462308130598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4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594.45100000000002</v>
      </c>
      <c r="G60" s="150">
        <f t="shared" ref="G60" si="94">G57-G58</f>
        <v>314.07836196786297</v>
      </c>
      <c r="H60" s="225">
        <f t="shared" ref="H60" si="95">H57-H58</f>
        <v>1636.9267533528007</v>
      </c>
      <c r="I60" s="225">
        <f t="shared" ref="I60" si="96">I57-I58</f>
        <v>569.2278108710334</v>
      </c>
      <c r="J60" s="225">
        <f t="shared" ref="J60" si="97">J57-J58</f>
        <v>495.34254097599887</v>
      </c>
      <c r="K60" s="275">
        <f t="shared" ref="K60" si="98">K57-K58</f>
        <v>463.78244356721166</v>
      </c>
      <c r="L60" s="225">
        <f t="shared" ref="L60:AA60" si="99">L57-L58</f>
        <v>465.84239499799924</v>
      </c>
      <c r="M60" s="225">
        <f t="shared" si="99"/>
        <v>462.33858317017825</v>
      </c>
      <c r="N60" s="225">
        <f t="shared" si="99"/>
        <v>451.1307439185664</v>
      </c>
      <c r="O60" s="150">
        <f t="shared" si="99"/>
        <v>450.91316136999171</v>
      </c>
      <c r="P60" s="225">
        <f t="shared" si="99"/>
        <v>450.91316136999171</v>
      </c>
      <c r="Q60" s="225">
        <f t="shared" si="99"/>
        <v>450.91316136999171</v>
      </c>
      <c r="R60" s="225">
        <f t="shared" si="99"/>
        <v>450.91316136999171</v>
      </c>
      <c r="S60" s="150">
        <f t="shared" si="99"/>
        <v>450.91316136999171</v>
      </c>
      <c r="T60" s="225">
        <f t="shared" si="99"/>
        <v>450.91316136999171</v>
      </c>
      <c r="U60" s="225">
        <f t="shared" si="99"/>
        <v>450.91316136999171</v>
      </c>
      <c r="V60" s="225">
        <f t="shared" si="99"/>
        <v>450.91316136999171</v>
      </c>
      <c r="W60" s="150">
        <f t="shared" si="99"/>
        <v>450.91316136999171</v>
      </c>
      <c r="X60" s="225">
        <f t="shared" si="99"/>
        <v>450.91316136999171</v>
      </c>
      <c r="Y60" s="225">
        <f t="shared" si="99"/>
        <v>450.91316136999171</v>
      </c>
      <c r="Z60" s="225">
        <f t="shared" si="99"/>
        <v>450.91316136999171</v>
      </c>
      <c r="AA60" s="150">
        <f t="shared" si="99"/>
        <v>450.91316136999171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main!L49/1000</f>
        <v>1086.548</v>
      </c>
      <c r="F64" s="104">
        <f>main!M49/1000</f>
        <v>1213.308</v>
      </c>
      <c r="G64" s="149">
        <f>main!N49/1000</f>
        <v>382.93200834658188</v>
      </c>
      <c r="H64" s="104">
        <f>main!O49/1000</f>
        <v>554.91624999999999</v>
      </c>
      <c r="I64" s="104">
        <f>main!P49/1000</f>
        <v>554.91624999999999</v>
      </c>
      <c r="J64" s="104">
        <f>main!Q49/1000</f>
        <v>554.91624999999999</v>
      </c>
      <c r="K64" s="149">
        <f>main!R49/1000</f>
        <v>100.25024999999999</v>
      </c>
      <c r="L64" s="232">
        <f>main!S49/1000</f>
        <v>74.830250000000007</v>
      </c>
      <c r="M64" s="240">
        <f>L64*(1+M66)</f>
        <v>75.157160582543469</v>
      </c>
      <c r="N64" s="240">
        <f>M64*(1+N66)</f>
        <v>75.488247723052112</v>
      </c>
      <c r="O64" s="257">
        <f>N64*(1+O66)</f>
        <v>75.823511421525808</v>
      </c>
      <c r="P64" s="240">
        <f>O64*(1+P66)</f>
        <v>76.163711052140215</v>
      </c>
      <c r="Q64" s="240">
        <f t="shared" ref="Q64:AA64" si="100">P64*(1+Q66)</f>
        <v>76.505429431105526</v>
      </c>
      <c r="R64" s="240">
        <f t="shared" si="100"/>
        <v>76.852083742211434</v>
      </c>
      <c r="S64" s="257">
        <f t="shared" si="100"/>
        <v>77.203673985457925</v>
      </c>
      <c r="T64" s="240">
        <f t="shared" si="100"/>
        <v>77.559061099581882</v>
      </c>
      <c r="U64" s="240">
        <f t="shared" si="100"/>
        <v>77.91520758788127</v>
      </c>
      <c r="V64" s="240">
        <f t="shared" si="100"/>
        <v>78.27325251161939</v>
      </c>
      <c r="W64" s="257">
        <f t="shared" si="100"/>
        <v>78.633195870796172</v>
      </c>
      <c r="X64" s="240">
        <f t="shared" si="100"/>
        <v>78.993898604148441</v>
      </c>
      <c r="Y64" s="240">
        <f t="shared" si="100"/>
        <v>79.35270290206202</v>
      </c>
      <c r="Z64" s="240">
        <f t="shared" si="100"/>
        <v>79.711886887063343</v>
      </c>
      <c r="AA64" s="257">
        <f t="shared" si="100"/>
        <v>80.071070872064709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103">G64-G65</f>
        <v>-833.73947605477315</v>
      </c>
      <c r="H67" s="225">
        <f t="shared" si="103"/>
        <v>-665.87777367693093</v>
      </c>
      <c r="I67" s="225">
        <f t="shared" si="103"/>
        <v>-670.28983479476005</v>
      </c>
      <c r="J67" s="225">
        <f t="shared" si="103"/>
        <v>-675.05435728576799</v>
      </c>
      <c r="K67" s="150">
        <f t="shared" si="103"/>
        <v>-1134.856223009233</v>
      </c>
      <c r="L67" s="225">
        <f t="shared" si="103"/>
        <v>-1165.6072012785651</v>
      </c>
      <c r="M67" s="225">
        <f t="shared" si="103"/>
        <v>-1170.6993843086477</v>
      </c>
      <c r="N67" s="225">
        <f t="shared" si="103"/>
        <v>-1175.8566242647828</v>
      </c>
      <c r="O67" s="150">
        <f t="shared" si="103"/>
        <v>-1181.0789211469692</v>
      </c>
      <c r="P67" s="225">
        <f t="shared" si="103"/>
        <v>-1186.3781034872188</v>
      </c>
      <c r="Q67" s="225">
        <f t="shared" si="103"/>
        <v>-1191.7009428914864</v>
      </c>
      <c r="R67" s="225">
        <f t="shared" si="103"/>
        <v>-1197.1006677538157</v>
      </c>
      <c r="S67" s="150">
        <f t="shared" si="103"/>
        <v>-1202.5772780742061</v>
      </c>
      <c r="T67" s="225">
        <f t="shared" si="103"/>
        <v>-1208.113031054645</v>
      </c>
      <c r="U67" s="225">
        <f t="shared" si="103"/>
        <v>-1213.6606125670928</v>
      </c>
      <c r="V67" s="225">
        <f t="shared" si="103"/>
        <v>-1219.2377654095646</v>
      </c>
      <c r="W67" s="150">
        <f t="shared" si="103"/>
        <v>-1224.8444895820596</v>
      </c>
      <c r="X67" s="225">
        <f t="shared" si="103"/>
        <v>-1230.4630422865646</v>
      </c>
      <c r="Y67" s="225">
        <f t="shared" si="103"/>
        <v>-1236.052023661046</v>
      </c>
      <c r="Z67" s="225">
        <f t="shared" si="103"/>
        <v>-1241.6469193015316</v>
      </c>
      <c r="AA67" s="150">
        <f t="shared" si="103"/>
        <v>-1247.2418149420184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main!L75/1000</f>
        <v>279.25</v>
      </c>
      <c r="F71" s="226">
        <f>main!M75/1000</f>
        <v>286.95061436735779</v>
      </c>
      <c r="G71" s="151">
        <f>main!N75/1000</f>
        <v>298.37288477706733</v>
      </c>
      <c r="H71" s="226">
        <f>main!O75/1000</f>
        <v>358.07399544764286</v>
      </c>
      <c r="I71" s="226">
        <f>main!P75/1000</f>
        <v>330.95543392207247</v>
      </c>
      <c r="J71" s="226">
        <f>main!Q75/1000</f>
        <v>331.98797613497749</v>
      </c>
      <c r="K71" s="151">
        <f>main!R75/1000</f>
        <v>327.47737969325101</v>
      </c>
      <c r="L71" s="226">
        <f>main!S75/1000</f>
        <v>323.17380684971516</v>
      </c>
      <c r="M71" s="226">
        <f>main!T75/1000</f>
        <v>324.89157178194768</v>
      </c>
      <c r="N71" s="226">
        <f>main!U75/1000</f>
        <v>326.79980125051293</v>
      </c>
      <c r="O71" s="151">
        <f>main!V75/1000</f>
        <v>328.55547677399647</v>
      </c>
      <c r="P71" s="258">
        <f>main!W75/1000</f>
        <v>330.50545802602733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R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40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8">G71-G72</f>
        <v>69.242163837897039</v>
      </c>
      <c r="H74" s="225">
        <f t="shared" si="118"/>
        <v>144.54764764872965</v>
      </c>
      <c r="I74" s="225">
        <f t="shared" si="118"/>
        <v>132.59894358351178</v>
      </c>
      <c r="J74" s="225">
        <f t="shared" si="118"/>
        <v>148.22198901689669</v>
      </c>
      <c r="K74" s="150">
        <f t="shared" si="118"/>
        <v>132.42405945954121</v>
      </c>
      <c r="L74" s="225">
        <f t="shared" ref="L74:N74" si="119">L71-L72</f>
        <v>116.03939418921647</v>
      </c>
      <c r="M74" s="225">
        <f t="shared" si="119"/>
        <v>105.59425448414999</v>
      </c>
      <c r="N74" s="225">
        <f t="shared" si="119"/>
        <v>94.609309913851035</v>
      </c>
      <c r="O74" s="150">
        <f t="shared" ref="O74:AA74" si="120">O71-O72</f>
        <v>84.111458618642871</v>
      </c>
      <c r="P74" s="260">
        <f t="shared" si="120"/>
        <v>73.0629159473242</v>
      </c>
      <c r="Q74" s="260">
        <f t="shared" si="120"/>
        <v>60.68122131327442</v>
      </c>
      <c r="R74" s="260">
        <f t="shared" si="120"/>
        <v>47.547539065059425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N24"/>
  <sheetViews>
    <sheetView zoomScale="120" zoomScaleNormal="120" workbookViewId="0">
      <pane xSplit="1" topLeftCell="M1" activePane="topRight" state="frozen"/>
      <selection pane="topRight" activeCell="N6" sqref="N6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4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349</v>
      </c>
    </row>
    <row r="2" spans="1:14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TRANSPOSE(main!L37:P37)/1000</f>
        <v>834.93333333333328</v>
      </c>
      <c r="M2" cm="1">
        <f t="array" ref="M2:M12">TRANSPOSE(main!L41:V41)/1000</f>
        <v>277.60000000000002</v>
      </c>
      <c r="N2">
        <f t="array" ref="N2:N16">TRANSPOSE(main!L70:Z70/1000)</f>
        <v>0</v>
      </c>
    </row>
    <row r="3" spans="1:14" x14ac:dyDescent="0.35">
      <c r="A3" s="190">
        <v>44104</v>
      </c>
      <c r="B3" s="102">
        <f t="array" ref="B3:B24">TRANSPOSE('add-ons calculations'!F27:AA27)</f>
        <v>-22.257396859939746</v>
      </c>
      <c r="C3">
        <f t="array" ref="C3:C24">TRANSPOSE('add-ons calculations'!F34:AA34)</f>
        <v>-591.10500000000002</v>
      </c>
      <c r="D3">
        <f t="array" ref="D3:D24">TRANSPOSE('add-ons calculations'!F40:AA40)</f>
        <v>4.5999999999821739E-2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594.45100000000002</v>
      </c>
      <c r="H3">
        <f t="array" ref="H3:H24">TRANSPOSE('add-ons calculations'!F67:AA67)</f>
        <v>0.60799999999994725</v>
      </c>
      <c r="I3">
        <f t="array" ref="I3:I24">TRANSPOSE('add-ons calculations'!F74:AA74)</f>
        <v>44.822614367357801</v>
      </c>
      <c r="J3" s="102">
        <f>'add-ons calculations'!F71</f>
        <v>286.95061436735779</v>
      </c>
      <c r="K3" s="102" cm="1">
        <f t="array" ref="K3:K12">TRANSPOSE(main!M35:V35)/1000</f>
        <v>874.87800000000004</v>
      </c>
      <c r="L3">
        <v>738.2</v>
      </c>
      <c r="M3">
        <v>140</v>
      </c>
      <c r="N3">
        <v>0</v>
      </c>
    </row>
    <row r="4" spans="1:14" x14ac:dyDescent="0.35">
      <c r="A4" s="190">
        <v>44196</v>
      </c>
      <c r="B4">
        <v>-26.789650629444708</v>
      </c>
      <c r="C4">
        <v>-630.45068126596811</v>
      </c>
      <c r="D4">
        <v>9.1220108456809612E-2</v>
      </c>
      <c r="E4">
        <v>1.9071502101439819E-3</v>
      </c>
      <c r="F4">
        <v>39.284047628965254</v>
      </c>
      <c r="G4">
        <v>314.07836196786297</v>
      </c>
      <c r="H4">
        <v>-833.73947605477315</v>
      </c>
      <c r="I4">
        <v>69.242163837897039</v>
      </c>
      <c r="J4" s="102"/>
      <c r="K4" s="102">
        <v>337.8</v>
      </c>
      <c r="L4">
        <v>257.8</v>
      </c>
      <c r="M4">
        <v>80</v>
      </c>
      <c r="N4">
        <v>0</v>
      </c>
    </row>
    <row r="5" spans="1:14" x14ac:dyDescent="0.35">
      <c r="A5" s="190">
        <v>44286</v>
      </c>
      <c r="B5">
        <v>-32.762764634016577</v>
      </c>
      <c r="C5">
        <v>-627.6397000131858</v>
      </c>
      <c r="D5">
        <v>9.2732986063538192E-2</v>
      </c>
      <c r="E5">
        <v>1.9387801313541786E-3</v>
      </c>
      <c r="F5">
        <v>53.362256246811285</v>
      </c>
      <c r="G5">
        <v>1636.9267533528007</v>
      </c>
      <c r="H5">
        <v>-665.87777367693093</v>
      </c>
      <c r="I5">
        <v>144.54764764872965</v>
      </c>
      <c r="K5">
        <v>724</v>
      </c>
      <c r="L5">
        <v>664</v>
      </c>
      <c r="M5">
        <v>60</v>
      </c>
      <c r="N5">
        <v>75.933000000000007</v>
      </c>
    </row>
    <row r="6" spans="1:14" x14ac:dyDescent="0.35">
      <c r="A6" s="190">
        <v>44377</v>
      </c>
      <c r="B6">
        <v>-40.594652008438686</v>
      </c>
      <c r="C6">
        <v>-620.837644585357</v>
      </c>
      <c r="D6">
        <v>9.4207574237998415E-2</v>
      </c>
      <c r="E6">
        <v>1.969609530561911E-3</v>
      </c>
      <c r="F6">
        <v>63.467484623819473</v>
      </c>
      <c r="G6">
        <v>569.2278108710334</v>
      </c>
      <c r="H6">
        <v>-670.28983479476005</v>
      </c>
      <c r="I6">
        <v>132.59894358351178</v>
      </c>
      <c r="K6">
        <v>152</v>
      </c>
      <c r="L6">
        <v>108</v>
      </c>
      <c r="M6">
        <v>44</v>
      </c>
      <c r="N6">
        <v>75.933000000000007</v>
      </c>
    </row>
    <row r="7" spans="1:14" x14ac:dyDescent="0.35">
      <c r="A7" s="190">
        <v>44469</v>
      </c>
      <c r="B7">
        <v>-48.426539382860597</v>
      </c>
      <c r="C7">
        <v>-601.63274124276234</v>
      </c>
      <c r="D7">
        <v>9.5783673922369417E-2</v>
      </c>
      <c r="E7">
        <v>2.0025612436285201E-3</v>
      </c>
      <c r="F7">
        <v>68.411854322616591</v>
      </c>
      <c r="G7">
        <v>495.34254097599887</v>
      </c>
      <c r="H7">
        <v>-675.05435728576799</v>
      </c>
      <c r="I7">
        <v>148.22198901689669</v>
      </c>
      <c r="K7">
        <v>44</v>
      </c>
      <c r="L7">
        <v>0</v>
      </c>
      <c r="M7">
        <v>44</v>
      </c>
      <c r="N7">
        <v>75.933000000000007</v>
      </c>
    </row>
    <row r="8" spans="1:14" x14ac:dyDescent="0.35">
      <c r="A8" s="190">
        <v>44561</v>
      </c>
      <c r="B8">
        <v>-46.071944194504397</v>
      </c>
      <c r="C8">
        <v>-620.38250935733299</v>
      </c>
      <c r="D8">
        <v>9.6839304535023984E-2</v>
      </c>
      <c r="E8">
        <v>2.024631444953684E-3</v>
      </c>
      <c r="F8">
        <v>70.152221482738696</v>
      </c>
      <c r="G8">
        <v>463.78244356721166</v>
      </c>
      <c r="H8">
        <v>-1134.856223009233</v>
      </c>
      <c r="I8">
        <v>132.42405945954121</v>
      </c>
      <c r="K8">
        <v>44</v>
      </c>
      <c r="L8">
        <v>0</v>
      </c>
      <c r="M8">
        <v>44</v>
      </c>
      <c r="N8">
        <v>75.933000000000007</v>
      </c>
    </row>
    <row r="9" spans="1:14" x14ac:dyDescent="0.35">
      <c r="A9" s="190">
        <v>44651</v>
      </c>
      <c r="B9">
        <v>-0.30296205657262476</v>
      </c>
      <c r="C9">
        <v>-642.84660678631462</v>
      </c>
      <c r="D9">
        <v>0</v>
      </c>
      <c r="E9">
        <v>0</v>
      </c>
      <c r="F9">
        <v>71.892588642860801</v>
      </c>
      <c r="G9">
        <v>465.84239499799924</v>
      </c>
      <c r="H9">
        <v>-1165.6072012785651</v>
      </c>
      <c r="I9">
        <v>116.03939418921647</v>
      </c>
      <c r="K9">
        <v>44</v>
      </c>
      <c r="L9">
        <v>0</v>
      </c>
      <c r="M9">
        <v>44</v>
      </c>
      <c r="N9">
        <v>75.933000000000007</v>
      </c>
    </row>
    <row r="10" spans="1:14" x14ac:dyDescent="0.35">
      <c r="A10" s="190">
        <v>44742</v>
      </c>
      <c r="B10">
        <v>2.0516331317836602</v>
      </c>
      <c r="C10">
        <v>-662.07651217129251</v>
      </c>
      <c r="D10">
        <v>0</v>
      </c>
      <c r="E10">
        <v>0</v>
      </c>
      <c r="F10">
        <v>73.632955802982906</v>
      </c>
      <c r="G10">
        <v>462.33858317017825</v>
      </c>
      <c r="H10">
        <v>-1170.6993843086477</v>
      </c>
      <c r="I10">
        <v>105.59425448414999</v>
      </c>
      <c r="K10">
        <v>44</v>
      </c>
      <c r="L10">
        <v>0</v>
      </c>
      <c r="M10">
        <v>44</v>
      </c>
      <c r="N10">
        <v>75.933000000000007</v>
      </c>
    </row>
    <row r="11" spans="1:14" x14ac:dyDescent="0.35">
      <c r="A11" s="190">
        <v>44834</v>
      </c>
      <c r="B11">
        <v>2.0305832892202886</v>
      </c>
      <c r="C11">
        <v>-680.01051493350417</v>
      </c>
      <c r="D11">
        <v>0</v>
      </c>
      <c r="E11">
        <v>0</v>
      </c>
      <c r="F11">
        <v>75.373322963105011</v>
      </c>
      <c r="G11">
        <v>451.1307439185664</v>
      </c>
      <c r="H11">
        <v>-1175.8566242647828</v>
      </c>
      <c r="I11">
        <v>94.609309913851035</v>
      </c>
      <c r="K11">
        <v>44</v>
      </c>
      <c r="L11">
        <v>0</v>
      </c>
      <c r="M11">
        <v>44</v>
      </c>
      <c r="N11">
        <v>75.933000000000007</v>
      </c>
    </row>
    <row r="12" spans="1:14" x14ac:dyDescent="0.35">
      <c r="A12" s="190">
        <v>44926</v>
      </c>
      <c r="B12">
        <v>2.0097400394941758</v>
      </c>
      <c r="C12">
        <v>-696.48492380078505</v>
      </c>
      <c r="D12">
        <v>0</v>
      </c>
      <c r="E12">
        <v>0</v>
      </c>
      <c r="F12">
        <v>75.586446231400942</v>
      </c>
      <c r="G12">
        <v>450.91316136999171</v>
      </c>
      <c r="H12">
        <v>-1181.0789211469692</v>
      </c>
      <c r="I12">
        <v>84.111458618642871</v>
      </c>
      <c r="K12">
        <v>44</v>
      </c>
      <c r="M12">
        <v>44</v>
      </c>
      <c r="N12">
        <v>75.933000000000007</v>
      </c>
    </row>
    <row r="13" spans="1:14" x14ac:dyDescent="0.35">
      <c r="A13" s="190">
        <v>45016</v>
      </c>
      <c r="B13">
        <v>1.9888967897680345</v>
      </c>
      <c r="C13">
        <v>-817.67623215503761</v>
      </c>
      <c r="D13">
        <v>0</v>
      </c>
      <c r="E13">
        <v>0</v>
      </c>
      <c r="F13">
        <v>75.799569499696645</v>
      </c>
      <c r="G13">
        <v>450.91316136999171</v>
      </c>
      <c r="H13">
        <v>-1186.3781034872188</v>
      </c>
      <c r="I13">
        <v>73.0629159473242</v>
      </c>
      <c r="N13">
        <v>75.933000000000007</v>
      </c>
    </row>
    <row r="14" spans="1:14" x14ac:dyDescent="0.35">
      <c r="A14" s="190">
        <v>45107</v>
      </c>
      <c r="B14">
        <v>1.9680535400418933</v>
      </c>
      <c r="C14">
        <v>-835.96322772532972</v>
      </c>
      <c r="D14">
        <v>0</v>
      </c>
      <c r="E14">
        <v>0</v>
      </c>
      <c r="F14">
        <v>76.012692767992348</v>
      </c>
      <c r="G14">
        <v>450.91316136999171</v>
      </c>
      <c r="H14">
        <v>-1191.7009428914864</v>
      </c>
      <c r="I14">
        <v>60.68122131327442</v>
      </c>
      <c r="N14">
        <v>75.933000000000007</v>
      </c>
    </row>
    <row r="15" spans="1:14" x14ac:dyDescent="0.35">
      <c r="A15" s="190">
        <v>45199</v>
      </c>
      <c r="B15">
        <v>1.9472102903157804</v>
      </c>
      <c r="C15">
        <v>-854.1375918451696</v>
      </c>
      <c r="D15">
        <v>0</v>
      </c>
      <c r="E15">
        <v>0</v>
      </c>
      <c r="F15">
        <v>76.225816036288279</v>
      </c>
      <c r="G15">
        <v>450.91316136999171</v>
      </c>
      <c r="H15">
        <v>-1197.1006677538157</v>
      </c>
      <c r="I15">
        <v>47.547539065059425</v>
      </c>
      <c r="N15">
        <v>75.933000000000007</v>
      </c>
    </row>
    <row r="16" spans="1:14" x14ac:dyDescent="0.35">
      <c r="A16" s="190">
        <v>45291</v>
      </c>
      <c r="B16">
        <v>1.9691524171809078</v>
      </c>
      <c r="C16">
        <v>-859.85618944066186</v>
      </c>
      <c r="D16">
        <v>0</v>
      </c>
      <c r="E16">
        <v>0</v>
      </c>
      <c r="F16">
        <v>76.806290770357236</v>
      </c>
      <c r="G16">
        <v>450.91316136999171</v>
      </c>
      <c r="H16">
        <v>-1202.5772780742061</v>
      </c>
      <c r="I16">
        <v>45.661372118098029</v>
      </c>
      <c r="N16">
        <v>75.933000000000007</v>
      </c>
    </row>
    <row r="17" spans="1:9" x14ac:dyDescent="0.35">
      <c r="A17" s="190">
        <v>45382</v>
      </c>
      <c r="B17">
        <v>1.9910945440460637</v>
      </c>
      <c r="C17">
        <v>-866.25057573887523</v>
      </c>
      <c r="D17">
        <v>0</v>
      </c>
      <c r="E17">
        <v>0</v>
      </c>
      <c r="F17">
        <v>77.386765504425966</v>
      </c>
      <c r="G17">
        <v>450.91316136999171</v>
      </c>
      <c r="H17">
        <v>-1208.113031054645</v>
      </c>
      <c r="I17">
        <v>45.975992958117956</v>
      </c>
    </row>
    <row r="18" spans="1:9" x14ac:dyDescent="0.35">
      <c r="A18" s="190">
        <v>45473</v>
      </c>
      <c r="B18">
        <v>2.0130366709111911</v>
      </c>
      <c r="C18">
        <v>-873.2644350145722</v>
      </c>
      <c r="D18">
        <v>0</v>
      </c>
      <c r="E18">
        <v>0</v>
      </c>
      <c r="F18">
        <v>77.967240238494924</v>
      </c>
      <c r="G18">
        <v>450.91316136999171</v>
      </c>
      <c r="H18">
        <v>-1213.6606125670928</v>
      </c>
      <c r="I18">
        <v>46.297859579612521</v>
      </c>
    </row>
    <row r="19" spans="1:9" x14ac:dyDescent="0.35">
      <c r="A19" s="190">
        <v>45565</v>
      </c>
      <c r="B19">
        <v>2.0349787977763469</v>
      </c>
      <c r="C19">
        <v>-881.17934589388699</v>
      </c>
      <c r="D19">
        <v>0</v>
      </c>
      <c r="E19">
        <v>0</v>
      </c>
      <c r="F19">
        <v>78.547714972563881</v>
      </c>
      <c r="G19">
        <v>450.91316136999171</v>
      </c>
      <c r="H19">
        <v>-1219.2377654095646</v>
      </c>
      <c r="I19">
        <v>46.628917748543074</v>
      </c>
    </row>
    <row r="20" spans="1:9" x14ac:dyDescent="0.35">
      <c r="A20" s="190">
        <v>45657</v>
      </c>
      <c r="B20">
        <v>2.0627743883631524</v>
      </c>
      <c r="C20">
        <v>-887.54372249410221</v>
      </c>
      <c r="D20">
        <v>0</v>
      </c>
      <c r="E20">
        <v>0</v>
      </c>
      <c r="F20">
        <v>80.42363380420511</v>
      </c>
      <c r="G20">
        <v>450.91316136999171</v>
      </c>
      <c r="H20">
        <v>-1224.8444895820596</v>
      </c>
      <c r="I20">
        <v>46.720623828499299</v>
      </c>
    </row>
    <row r="21" spans="1:9" x14ac:dyDescent="0.35">
      <c r="A21" s="190">
        <v>45747</v>
      </c>
      <c r="B21">
        <v>2.0905699789499579</v>
      </c>
      <c r="C21">
        <v>-893.79546764386509</v>
      </c>
      <c r="D21">
        <v>0</v>
      </c>
      <c r="E21">
        <v>0</v>
      </c>
      <c r="F21">
        <v>82.299552635846567</v>
      </c>
      <c r="G21">
        <v>450.91316136999171</v>
      </c>
      <c r="H21">
        <v>-1230.4630422865646</v>
      </c>
      <c r="I21">
        <v>46.930226557055903</v>
      </c>
    </row>
    <row r="22" spans="1:9" x14ac:dyDescent="0.35">
      <c r="A22" s="190">
        <v>45838</v>
      </c>
      <c r="B22">
        <v>2.1183655695367065</v>
      </c>
      <c r="C22">
        <v>-900.49773859542927</v>
      </c>
      <c r="D22">
        <v>0</v>
      </c>
      <c r="E22">
        <v>0</v>
      </c>
      <c r="F22">
        <v>84.175471467487796</v>
      </c>
      <c r="G22">
        <v>450.91316136999171</v>
      </c>
      <c r="H22">
        <v>-1236.052023661046</v>
      </c>
      <c r="I22">
        <v>47.032571404843281</v>
      </c>
    </row>
    <row r="23" spans="1:9" x14ac:dyDescent="0.35">
      <c r="A23" s="190">
        <v>45930</v>
      </c>
      <c r="B23">
        <v>2.1461611601234836</v>
      </c>
      <c r="C23">
        <v>-907.70685107403244</v>
      </c>
      <c r="D23">
        <v>0</v>
      </c>
      <c r="E23">
        <v>0</v>
      </c>
      <c r="F23">
        <v>86.051390299129253</v>
      </c>
      <c r="G23">
        <v>450.91316136999171</v>
      </c>
      <c r="H23">
        <v>-1241.6469193015316</v>
      </c>
      <c r="I23">
        <v>47.141596715840137</v>
      </c>
    </row>
    <row r="24" spans="1:9" x14ac:dyDescent="0.35">
      <c r="A24" s="190">
        <v>46022</v>
      </c>
      <c r="B24">
        <v>2.1750851411117083</v>
      </c>
      <c r="C24">
        <v>-915.03501956812443</v>
      </c>
      <c r="D24">
        <v>0</v>
      </c>
      <c r="E24">
        <v>0</v>
      </c>
      <c r="F24">
        <v>87.452518457736005</v>
      </c>
      <c r="G24">
        <v>450.91316136999171</v>
      </c>
      <c r="H24">
        <v>-1247.2418149420184</v>
      </c>
      <c r="I24">
        <v>47.208731610573466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00" t="s">
        <v>21</v>
      </c>
      <c r="E1" s="300"/>
      <c r="F1" s="300"/>
      <c r="G1" s="300"/>
      <c r="H1" s="300" t="s">
        <v>9</v>
      </c>
      <c r="I1" s="300"/>
      <c r="J1" s="300"/>
      <c r="K1" s="300"/>
      <c r="L1" s="300" t="s">
        <v>10</v>
      </c>
      <c r="M1" s="300"/>
      <c r="N1" s="300"/>
      <c r="O1" s="300"/>
      <c r="P1" s="300" t="s">
        <v>11</v>
      </c>
      <c r="Q1" s="300"/>
      <c r="R1" s="300"/>
      <c r="S1" s="300"/>
      <c r="T1" s="300" t="s">
        <v>268</v>
      </c>
      <c r="U1" s="300"/>
      <c r="V1" s="300"/>
      <c r="W1" s="300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3488125</v>
      </c>
      <c r="L3" s="266">
        <f>main!N30</f>
        <v>2847845.8319988288</v>
      </c>
      <c r="M3" s="266">
        <f>main!O30</f>
        <v>3232064.9561336781</v>
      </c>
      <c r="N3" s="266">
        <f>main!P30</f>
        <v>2658305.2157637766</v>
      </c>
      <c r="O3" s="266">
        <f>main!Q30</f>
        <v>2548767.4784838995</v>
      </c>
      <c r="P3" s="266">
        <f>main!R30</f>
        <v>2601999.1665078122</v>
      </c>
      <c r="Q3" s="266">
        <f>main!S30</f>
        <v>2656541.4105371395</v>
      </c>
      <c r="R3" s="266">
        <f>main!T30</f>
        <v>2712430.6137193376</v>
      </c>
      <c r="S3" s="266">
        <f>main!U30</f>
        <v>2769704.2727967203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main!F84</f>
        <v>728844</v>
      </c>
      <c r="E5" s="199">
        <f>main!G84</f>
        <v>738714</v>
      </c>
      <c r="F5" s="199">
        <f>main!H84</f>
        <v>755204</v>
      </c>
      <c r="G5" s="199">
        <f>main!I84</f>
        <v>763370</v>
      </c>
      <c r="H5" s="199">
        <f>main!J84</f>
        <v>760967</v>
      </c>
      <c r="I5" s="199">
        <f>main!K84</f>
        <v>767087</v>
      </c>
      <c r="J5" s="199">
        <f>main!L84</f>
        <v>812158</v>
      </c>
      <c r="K5" s="199">
        <f>main!M84</f>
        <v>835999</v>
      </c>
      <c r="L5" s="273">
        <f>main!N84</f>
        <v>846655.9390002318</v>
      </c>
      <c r="M5" s="273">
        <f>main!O84</f>
        <v>859704.14460568153</v>
      </c>
      <c r="N5" s="273">
        <f>main!P84</f>
        <v>867211.47334407107</v>
      </c>
      <c r="O5" s="273">
        <f>main!Q84</f>
        <v>867929.66513166018</v>
      </c>
      <c r="P5" s="273">
        <f>main!R84</f>
        <v>869012.33925145073</v>
      </c>
      <c r="Q5" s="273">
        <f>main!S84</f>
        <v>870466.73148570256</v>
      </c>
      <c r="R5" s="273">
        <f>main!T84</f>
        <v>872014.07451017783</v>
      </c>
      <c r="S5" s="273">
        <f>main!U84</f>
        <v>873408.51802630571</v>
      </c>
      <c r="T5" s="273">
        <f>main!V84</f>
        <v>874637.8300734181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main!F87</f>
        <v>589819</v>
      </c>
      <c r="E6" s="199">
        <f>main!G87</f>
        <v>599372</v>
      </c>
      <c r="F6" s="199">
        <f>main!H87</f>
        <v>614976</v>
      </c>
      <c r="G6" s="199">
        <f>main!I87</f>
        <v>622265</v>
      </c>
      <c r="H6" s="199">
        <f>main!J87</f>
        <v>619632</v>
      </c>
      <c r="I6" s="199">
        <f>main!K87</f>
        <v>624096</v>
      </c>
      <c r="J6" s="199">
        <f>main!L87</f>
        <v>668823</v>
      </c>
      <c r="K6" s="199">
        <f>main!M87</f>
        <v>691267</v>
      </c>
      <c r="L6" s="35">
        <f>main!N87</f>
        <v>703733.08900023182</v>
      </c>
      <c r="M6" s="35">
        <f>main!O87</f>
        <v>716423.98748068151</v>
      </c>
      <c r="N6" s="35">
        <f>main!P87</f>
        <v>723573.11582625867</v>
      </c>
      <c r="O6" s="35">
        <f>main!Q87</f>
        <v>723573.11582625867</v>
      </c>
      <c r="P6" s="35">
        <f>main!R87</f>
        <v>723573.11582625867</v>
      </c>
      <c r="Q6" s="35">
        <f>main!S87</f>
        <v>723573.11582625867</v>
      </c>
      <c r="R6" s="35">
        <f>main!T87</f>
        <v>723573.11582625867</v>
      </c>
      <c r="S6" s="35">
        <f>main!U87</f>
        <v>723573.11582625867</v>
      </c>
      <c r="T6" s="35">
        <f>main!V87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05" t="s">
        <v>208</v>
      </c>
      <c r="B1" s="306"/>
      <c r="C1" s="35"/>
      <c r="I1" s="250"/>
      <c r="J1" s="313" t="s">
        <v>282</v>
      </c>
      <c r="V1" s="300"/>
      <c r="W1" s="300"/>
      <c r="X1" s="300"/>
      <c r="Y1" s="300"/>
    </row>
    <row r="2" spans="1:27" x14ac:dyDescent="0.35">
      <c r="A2" s="307" t="s">
        <v>192</v>
      </c>
      <c r="B2" s="126"/>
      <c r="C2" t="s">
        <v>193</v>
      </c>
      <c r="H2" s="95"/>
      <c r="I2" s="251"/>
      <c r="J2" s="313"/>
    </row>
    <row r="3" spans="1:27" x14ac:dyDescent="0.35">
      <c r="A3" s="308"/>
      <c r="B3" s="127"/>
      <c r="C3" t="s">
        <v>194</v>
      </c>
      <c r="H3" s="95"/>
      <c r="I3" s="251"/>
      <c r="J3" s="313"/>
    </row>
    <row r="4" spans="1:27" x14ac:dyDescent="0.35">
      <c r="A4" s="308"/>
      <c r="B4" s="128"/>
      <c r="C4" t="s">
        <v>195</v>
      </c>
      <c r="H4" s="95"/>
      <c r="I4" s="95"/>
      <c r="J4" s="95"/>
    </row>
    <row r="5" spans="1:27" x14ac:dyDescent="0.35">
      <c r="A5" s="309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10" t="s">
        <v>160</v>
      </c>
      <c r="D7" s="311"/>
      <c r="E7" s="311"/>
      <c r="F7" s="312"/>
      <c r="G7" s="310" t="s">
        <v>166</v>
      </c>
      <c r="H7" s="311"/>
      <c r="I7" s="311"/>
      <c r="J7" s="312"/>
      <c r="K7" s="310" t="s">
        <v>177</v>
      </c>
      <c r="L7" s="311"/>
      <c r="M7" s="311"/>
      <c r="N7" s="311"/>
      <c r="O7" s="310" t="s">
        <v>272</v>
      </c>
      <c r="P7" s="311"/>
      <c r="Q7" s="311"/>
      <c r="R7" s="311"/>
      <c r="S7" s="310" t="s">
        <v>276</v>
      </c>
      <c r="T7" s="311"/>
      <c r="U7" s="311"/>
      <c r="V7" s="311"/>
      <c r="W7" s="310" t="s">
        <v>277</v>
      </c>
      <c r="X7" s="311"/>
      <c r="Y7" s="311"/>
      <c r="Z7" s="311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3232.0649561336782</v>
      </c>
      <c r="I45" s="102">
        <f>main_nipas!N3/1000</f>
        <v>2658.3052157637767</v>
      </c>
      <c r="J45" s="102">
        <f>main_nipas!O3/1000</f>
        <v>2548.7674784838996</v>
      </c>
      <c r="K45" s="274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1163.501858301976</v>
      </c>
      <c r="I48" s="225">
        <f t="shared" si="30"/>
        <v>803.5651155471096</v>
      </c>
      <c r="J48" s="225">
        <f t="shared" si="30"/>
        <v>843.28782539808162</v>
      </c>
      <c r="K48" s="275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-7.7329999999999472</v>
      </c>
      <c r="C2" s="270">
        <f t="array" ref="C2:C23">TRANSPOSE('add-ons calculations nipas'!F34:AA34)</f>
        <v>691.399</v>
      </c>
      <c r="D2" s="270">
        <f t="array" ref="D2:D23">TRANSPOSE('add-ons calculations'!F40:AA40)</f>
        <v>4.5999999999821739E-2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817.02500000000009</v>
      </c>
      <c r="H2" s="270">
        <f t="array" ref="H2:H23">TRANSPOSE('add-ons calculations'!F67:AA67)</f>
        <v>0.60799999999994725</v>
      </c>
      <c r="I2" s="270">
        <f t="array" ref="I2:I23">TRANSPOSE('add-ons calculations'!F74:AA74)</f>
        <v>44.822614367357801</v>
      </c>
    </row>
    <row r="3" spans="1:9" x14ac:dyDescent="0.35">
      <c r="A3" s="271">
        <v>44196</v>
      </c>
      <c r="B3" s="270">
        <v>-21.942068749787381</v>
      </c>
      <c r="C3" s="270">
        <v>726.6220967502511</v>
      </c>
      <c r="D3" s="270">
        <v>9.1220108456809612E-2</v>
      </c>
      <c r="E3" s="270">
        <v>1.9071502101439819E-3</v>
      </c>
      <c r="F3" s="270">
        <v>23.142985628403267</v>
      </c>
      <c r="G3" s="270">
        <v>513.85424509879022</v>
      </c>
      <c r="H3" s="270">
        <v>-833.73947605477315</v>
      </c>
      <c r="I3" s="270">
        <v>69.242163837897039</v>
      </c>
    </row>
    <row r="4" spans="1:9" x14ac:dyDescent="0.35">
      <c r="A4" s="271">
        <v>44286</v>
      </c>
      <c r="B4" s="270">
        <v>-35.926328019357129</v>
      </c>
      <c r="C4" s="270">
        <v>764.23118760572027</v>
      </c>
      <c r="D4" s="270">
        <v>9.2732986063538192E-2</v>
      </c>
      <c r="E4" s="270">
        <v>1.9387801313541786E-3</v>
      </c>
      <c r="F4" s="270">
        <v>46.379353230327069</v>
      </c>
      <c r="G4" s="270">
        <v>1163.501858301976</v>
      </c>
      <c r="H4" s="270">
        <v>-665.87777367693093</v>
      </c>
      <c r="I4" s="270">
        <v>144.54764764872965</v>
      </c>
    </row>
    <row r="5" spans="1:9" x14ac:dyDescent="0.35">
      <c r="A5" s="271">
        <v>44377</v>
      </c>
      <c r="B5" s="270">
        <v>-55.452357423799299</v>
      </c>
      <c r="C5" s="270">
        <v>796.29411591287919</v>
      </c>
      <c r="D5" s="270">
        <v>9.4207574237998415E-2</v>
      </c>
      <c r="E5" s="270">
        <v>1.969609530561911E-3</v>
      </c>
      <c r="F5" s="270">
        <v>69.743650491218432</v>
      </c>
      <c r="G5" s="270">
        <v>803.5651155471096</v>
      </c>
      <c r="H5" s="270">
        <v>-670.28983479476005</v>
      </c>
      <c r="I5" s="270">
        <v>132.59894358351178</v>
      </c>
    </row>
    <row r="6" spans="1:9" x14ac:dyDescent="0.35">
      <c r="A6" s="271">
        <v>44469</v>
      </c>
      <c r="B6" s="270">
        <v>-82.127515173818438</v>
      </c>
      <c r="C6" s="270">
        <v>819.43775129708126</v>
      </c>
      <c r="D6" s="270">
        <v>9.5783673922369417E-2</v>
      </c>
      <c r="E6" s="270">
        <v>2.0025612436285201E-3</v>
      </c>
      <c r="F6" s="270">
        <v>93.23744404962531</v>
      </c>
      <c r="G6" s="270">
        <v>843.28782539808162</v>
      </c>
      <c r="H6" s="270">
        <v>-675.05435728576799</v>
      </c>
      <c r="I6" s="270">
        <v>148.22198901689669</v>
      </c>
    </row>
    <row r="7" spans="1:9" x14ac:dyDescent="0.35">
      <c r="A7" s="271">
        <v>44561</v>
      </c>
      <c r="B7" s="270">
        <v>-74.107839317399907</v>
      </c>
      <c r="C7" s="270">
        <v>806.09430547419333</v>
      </c>
      <c r="D7" s="270">
        <v>9.6839304535023984E-2</v>
      </c>
      <c r="E7" s="270">
        <v>2.024631444953684E-3</v>
      </c>
      <c r="F7" s="270">
        <v>97.945155839323775</v>
      </c>
      <c r="G7" s="270">
        <v>850.04005809445835</v>
      </c>
      <c r="H7" s="270">
        <v>-1134.856223009233</v>
      </c>
      <c r="I7" s="270">
        <v>132.42405945954121</v>
      </c>
    </row>
    <row r="8" spans="1:9" x14ac:dyDescent="0.35">
      <c r="A8" s="271">
        <v>44651</v>
      </c>
      <c r="B8" s="270">
        <v>-66.088163460981491</v>
      </c>
      <c r="C8" s="270">
        <v>790.92303196281762</v>
      </c>
      <c r="D8" s="270">
        <v>0</v>
      </c>
      <c r="E8" s="270">
        <v>0</v>
      </c>
      <c r="F8" s="270">
        <v>102.65286762902224</v>
      </c>
      <c r="G8" s="270">
        <v>858.64698733295586</v>
      </c>
      <c r="H8" s="270">
        <v>-1165.6072012785651</v>
      </c>
      <c r="I8" s="270">
        <v>116.03939418921647</v>
      </c>
    </row>
    <row r="9" spans="1:9" x14ac:dyDescent="0.35">
      <c r="A9" s="271">
        <v>44742</v>
      </c>
      <c r="B9" s="270">
        <v>-58.068487604563074</v>
      </c>
      <c r="C9" s="270">
        <v>961.70512289327155</v>
      </c>
      <c r="D9" s="270">
        <v>0</v>
      </c>
      <c r="E9" s="270">
        <v>0</v>
      </c>
      <c r="F9" s="270">
        <v>107.3605794187207</v>
      </c>
      <c r="G9" s="270">
        <v>858.38505548999569</v>
      </c>
      <c r="H9" s="270">
        <v>-1170.6993843086477</v>
      </c>
      <c r="I9" s="270">
        <v>105.59425448414999</v>
      </c>
    </row>
    <row r="10" spans="1:9" x14ac:dyDescent="0.35">
      <c r="A10" s="271">
        <v>44834</v>
      </c>
      <c r="B10" s="270">
        <v>-57.472702469768592</v>
      </c>
      <c r="C10" s="270">
        <v>1123.4911234396754</v>
      </c>
      <c r="D10" s="270">
        <v>0</v>
      </c>
      <c r="E10" s="270">
        <v>0</v>
      </c>
      <c r="F10" s="270">
        <v>112.06829120841905</v>
      </c>
      <c r="G10" s="270">
        <v>845.84259591544492</v>
      </c>
      <c r="H10" s="270">
        <v>-1175.8566242647828</v>
      </c>
      <c r="I10" s="270">
        <v>94.609309913851035</v>
      </c>
    </row>
    <row r="11" spans="1:9" x14ac:dyDescent="0.35">
      <c r="A11" s="271">
        <v>44926</v>
      </c>
      <c r="B11" s="270">
        <v>-56.882764644330791</v>
      </c>
      <c r="C11" s="270">
        <v>1274.778725078075</v>
      </c>
      <c r="D11" s="270">
        <v>0</v>
      </c>
      <c r="E11" s="270">
        <v>0</v>
      </c>
      <c r="F11" s="270">
        <v>113.21479904544935</v>
      </c>
      <c r="G11" s="270">
        <v>846.79218391518066</v>
      </c>
      <c r="H11" s="270">
        <v>-1181.0789211469692</v>
      </c>
      <c r="I11" s="270">
        <v>84.111458618642871</v>
      </c>
    </row>
    <row r="12" spans="1:9" x14ac:dyDescent="0.35">
      <c r="A12" s="271">
        <v>45016</v>
      </c>
      <c r="B12" s="270">
        <v>-56.292826818892991</v>
      </c>
      <c r="C12" s="270">
        <v>1423.5474214089395</v>
      </c>
      <c r="D12" s="270">
        <v>0</v>
      </c>
      <c r="E12" s="270">
        <v>0</v>
      </c>
      <c r="F12" s="270">
        <v>114.36130688247965</v>
      </c>
      <c r="G12" s="270">
        <v>848.25444289166103</v>
      </c>
      <c r="H12" s="270">
        <v>-1186.3781034872188</v>
      </c>
      <c r="I12" s="270">
        <v>73.0629159473242</v>
      </c>
    </row>
    <row r="13" spans="1:9" x14ac:dyDescent="0.35">
      <c r="A13" s="271">
        <v>45107</v>
      </c>
      <c r="B13" s="270">
        <v>-55.70288899345519</v>
      </c>
      <c r="C13" s="270">
        <v>1580.2326772777706</v>
      </c>
      <c r="D13" s="270">
        <v>0</v>
      </c>
      <c r="E13" s="270">
        <v>0</v>
      </c>
      <c r="F13" s="270">
        <v>115.50781471950995</v>
      </c>
      <c r="G13" s="270">
        <v>850.06731710176859</v>
      </c>
      <c r="H13" s="270">
        <v>-1191.7009428914864</v>
      </c>
      <c r="I13" s="270">
        <v>60.68122131327442</v>
      </c>
    </row>
    <row r="14" spans="1:9" x14ac:dyDescent="0.35">
      <c r="A14" s="271">
        <v>45199</v>
      </c>
      <c r="B14" s="270">
        <v>-55.112951168017389</v>
      </c>
      <c r="C14" s="270">
        <v>1736.1982459158774</v>
      </c>
      <c r="D14" s="270">
        <v>0</v>
      </c>
      <c r="E14" s="270">
        <v>0</v>
      </c>
      <c r="F14" s="270">
        <v>116.65432255654025</v>
      </c>
      <c r="G14" s="270">
        <v>852.88477510766552</v>
      </c>
      <c r="H14" s="270">
        <v>-1197.1006677538157</v>
      </c>
      <c r="I14" s="270">
        <v>47.547539065059425</v>
      </c>
    </row>
    <row r="15" spans="1:9" x14ac:dyDescent="0.35">
      <c r="A15" s="271">
        <v>45291</v>
      </c>
      <c r="B15" s="270">
        <v>-55.733991110367128</v>
      </c>
      <c r="C15" s="270">
        <v>1730.8026319571122</v>
      </c>
      <c r="D15" s="270">
        <v>0</v>
      </c>
      <c r="E15" s="270">
        <v>0</v>
      </c>
      <c r="F15" s="270">
        <v>117.32067194419665</v>
      </c>
      <c r="G15" s="270">
        <v>861.50572629627095</v>
      </c>
      <c r="H15" s="270">
        <v>-1202.5772780742061</v>
      </c>
      <c r="I15" s="270">
        <v>45.661372118098029</v>
      </c>
    </row>
    <row r="16" spans="1:9" x14ac:dyDescent="0.35">
      <c r="A16" s="271">
        <v>45382</v>
      </c>
      <c r="B16" s="270">
        <v>-56.355031052716868</v>
      </c>
      <c r="C16" s="270">
        <v>1729.7251413826953</v>
      </c>
      <c r="D16" s="270">
        <v>0</v>
      </c>
      <c r="E16" s="270">
        <v>0</v>
      </c>
      <c r="F16" s="270">
        <v>117.98702133185293</v>
      </c>
      <c r="G16" s="270">
        <v>869.78940994020809</v>
      </c>
      <c r="H16" s="270">
        <v>-1208.113031054645</v>
      </c>
      <c r="I16" s="270">
        <v>45.975992958117956</v>
      </c>
    </row>
    <row r="17" spans="1:9" x14ac:dyDescent="0.35">
      <c r="A17" s="271">
        <v>45473</v>
      </c>
      <c r="B17" s="270">
        <v>-56.976070995066607</v>
      </c>
      <c r="C17" s="270">
        <v>1732.6059305772574</v>
      </c>
      <c r="D17" s="270">
        <v>0</v>
      </c>
      <c r="E17" s="270">
        <v>0</v>
      </c>
      <c r="F17" s="270">
        <v>118.65337071950921</v>
      </c>
      <c r="G17" s="270">
        <v>876.50054554939038</v>
      </c>
      <c r="H17" s="270">
        <v>-1213.6606125670928</v>
      </c>
      <c r="I17" s="270">
        <v>46.297859579612521</v>
      </c>
    </row>
    <row r="18" spans="1:9" x14ac:dyDescent="0.35">
      <c r="A18" s="271">
        <v>45565</v>
      </c>
      <c r="B18" s="270">
        <v>-57.597110937416346</v>
      </c>
      <c r="C18" s="270">
        <v>1741.244217617616</v>
      </c>
      <c r="D18" s="270">
        <v>0</v>
      </c>
      <c r="E18" s="270">
        <v>0</v>
      </c>
      <c r="F18" s="270">
        <v>119.31972010716561</v>
      </c>
      <c r="G18" s="270">
        <v>882.24775744790236</v>
      </c>
      <c r="H18" s="270">
        <v>-1219.2377654095646</v>
      </c>
      <c r="I18" s="270">
        <v>46.628917748543074</v>
      </c>
    </row>
    <row r="19" spans="1:9" x14ac:dyDescent="0.35">
      <c r="A19" s="271">
        <v>45657</v>
      </c>
      <c r="B19" s="270">
        <v>-58.383824644874608</v>
      </c>
      <c r="C19" s="270">
        <v>1728.7877655292568</v>
      </c>
      <c r="D19" s="270">
        <v>0</v>
      </c>
      <c r="E19" s="270">
        <v>0</v>
      </c>
      <c r="F19" s="270">
        <v>122.81863012191729</v>
      </c>
      <c r="G19" s="270">
        <v>902.60982095533109</v>
      </c>
      <c r="H19" s="270">
        <v>-1224.8444895820596</v>
      </c>
      <c r="I19" s="270">
        <v>46.720623828499299</v>
      </c>
    </row>
    <row r="20" spans="1:9" x14ac:dyDescent="0.35">
      <c r="A20" s="271">
        <v>45747</v>
      </c>
      <c r="B20" s="270">
        <v>-59.170538352332983</v>
      </c>
      <c r="C20" s="270">
        <v>1715.6116262101732</v>
      </c>
      <c r="D20" s="270">
        <v>0</v>
      </c>
      <c r="E20" s="270">
        <v>0</v>
      </c>
      <c r="F20" s="270">
        <v>126.31754013666887</v>
      </c>
      <c r="G20" s="270">
        <v>919.79903559883928</v>
      </c>
      <c r="H20" s="270">
        <v>-1230.4630422865646</v>
      </c>
      <c r="I20" s="270">
        <v>46.930226557055903</v>
      </c>
    </row>
    <row r="21" spans="1:9" x14ac:dyDescent="0.35">
      <c r="A21" s="271">
        <v>45838</v>
      </c>
      <c r="B21" s="270">
        <v>-59.957252059791244</v>
      </c>
      <c r="C21" s="270">
        <v>1705.3142358139858</v>
      </c>
      <c r="D21" s="270">
        <v>0</v>
      </c>
      <c r="E21" s="270">
        <v>0</v>
      </c>
      <c r="F21" s="270">
        <v>129.81645015142067</v>
      </c>
      <c r="G21" s="270">
        <v>934.17753410578689</v>
      </c>
      <c r="H21" s="270">
        <v>-1236.052023661046</v>
      </c>
      <c r="I21" s="270">
        <v>47.032571404843281</v>
      </c>
    </row>
    <row r="22" spans="1:9" x14ac:dyDescent="0.35">
      <c r="A22" s="271">
        <v>45930</v>
      </c>
      <c r="B22" s="270">
        <v>-60.74396576724962</v>
      </c>
      <c r="C22" s="270">
        <v>1698.2554379560565</v>
      </c>
      <c r="D22" s="270">
        <v>0</v>
      </c>
      <c r="E22" s="270">
        <v>0</v>
      </c>
      <c r="F22" s="270">
        <v>133.31536016617247</v>
      </c>
      <c r="G22" s="270">
        <v>945.44284276820849</v>
      </c>
      <c r="H22" s="270">
        <v>-1241.6469193015316</v>
      </c>
      <c r="I22" s="270">
        <v>47.141596715840137</v>
      </c>
    </row>
    <row r="23" spans="1:9" x14ac:dyDescent="0.35">
      <c r="A23" s="271">
        <v>46022</v>
      </c>
      <c r="B23" s="270">
        <v>-61.562616921527933</v>
      </c>
      <c r="C23" s="270">
        <v>1689.8007860527734</v>
      </c>
      <c r="D23" s="270">
        <v>0</v>
      </c>
      <c r="E23" s="270">
        <v>0</v>
      </c>
      <c r="F23" s="270">
        <v>135.67395143661656</v>
      </c>
      <c r="G23" s="270">
        <v>951.51196828767593</v>
      </c>
      <c r="H23" s="270">
        <v>-1247.2418149420184</v>
      </c>
      <c r="I23" s="270">
        <v>47.208731610573466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I16" sqref="I16"/>
    </sheetView>
  </sheetViews>
  <sheetFormatPr defaultColWidth="8.81640625" defaultRowHeight="14.5" x14ac:dyDescent="0.35"/>
  <cols>
    <col min="1" max="1" width="7.36328125" bestFit="1" customWidth="1"/>
    <col min="2" max="9" width="10.1796875" bestFit="1" customWidth="1"/>
  </cols>
  <sheetData>
    <row r="1" spans="1:9" s="279" customFormat="1" x14ac:dyDescent="0.35">
      <c r="A1" s="279" t="s">
        <v>324</v>
      </c>
      <c r="B1" s="279" t="s">
        <v>325</v>
      </c>
      <c r="C1" s="279" t="s">
        <v>326</v>
      </c>
      <c r="D1" s="279" t="s">
        <v>327</v>
      </c>
      <c r="E1" s="279" t="s">
        <v>328</v>
      </c>
      <c r="F1" s="279" t="s">
        <v>329</v>
      </c>
      <c r="G1" s="279" t="s">
        <v>330</v>
      </c>
      <c r="H1" s="279" t="s">
        <v>331</v>
      </c>
      <c r="I1" s="279" t="s">
        <v>332</v>
      </c>
    </row>
    <row r="2" spans="1:9" x14ac:dyDescent="0.35">
      <c r="A2" t="s">
        <v>294</v>
      </c>
      <c r="B2" s="283">
        <v>20909.900000000001</v>
      </c>
      <c r="C2" s="283">
        <v>21115.3</v>
      </c>
      <c r="D2" s="283">
        <v>21329.9</v>
      </c>
      <c r="E2" s="283">
        <v>21540.3</v>
      </c>
      <c r="F2" s="283">
        <v>21747.4</v>
      </c>
      <c r="G2" s="283">
        <v>21561.1</v>
      </c>
      <c r="H2" s="283">
        <v>19520.099999999999</v>
      </c>
      <c r="I2" s="283">
        <v>21157.1</v>
      </c>
    </row>
    <row r="3" spans="1:9" x14ac:dyDescent="0.35">
      <c r="A3" t="s">
        <v>295</v>
      </c>
      <c r="B3" s="283">
        <v>18813.900000000001</v>
      </c>
      <c r="C3" s="283">
        <v>18950.3</v>
      </c>
      <c r="D3" s="283">
        <v>19020.599999999999</v>
      </c>
      <c r="E3" s="283">
        <v>19141.7</v>
      </c>
      <c r="F3" s="283">
        <v>19254</v>
      </c>
      <c r="G3" s="283">
        <v>19010.8</v>
      </c>
      <c r="H3" s="283">
        <v>17302.5</v>
      </c>
      <c r="I3" s="283">
        <v>18583.5</v>
      </c>
    </row>
    <row r="4" spans="1:9" x14ac:dyDescent="0.35">
      <c r="A4" t="s">
        <v>296</v>
      </c>
      <c r="B4" s="283">
        <v>1634.2</v>
      </c>
      <c r="C4" s="283">
        <v>1695.5</v>
      </c>
      <c r="D4" s="283">
        <v>1703.1</v>
      </c>
      <c r="E4" s="283">
        <v>1713.2</v>
      </c>
      <c r="F4" s="283">
        <v>1740.2</v>
      </c>
      <c r="G4" s="283">
        <v>1756.6</v>
      </c>
      <c r="H4" s="283">
        <v>1600.1</v>
      </c>
      <c r="I4" s="283">
        <v>1687.2</v>
      </c>
    </row>
    <row r="5" spans="1:9" x14ac:dyDescent="0.35">
      <c r="A5" t="s">
        <v>297</v>
      </c>
      <c r="B5" s="283">
        <v>183.5</v>
      </c>
      <c r="C5" s="283">
        <v>172.1</v>
      </c>
      <c r="D5" s="283">
        <v>168.3</v>
      </c>
      <c r="E5" s="283">
        <v>175.1</v>
      </c>
      <c r="F5" s="283">
        <v>179.2</v>
      </c>
      <c r="G5" s="283">
        <v>183.8</v>
      </c>
      <c r="H5" s="283">
        <v>131.4</v>
      </c>
      <c r="I5" s="283">
        <v>144.69999999999999</v>
      </c>
    </row>
    <row r="6" spans="1:9" x14ac:dyDescent="0.35">
      <c r="A6" t="s">
        <v>298</v>
      </c>
      <c r="B6" s="283">
        <v>1355.2</v>
      </c>
      <c r="C6" s="283">
        <v>1386.7</v>
      </c>
      <c r="D6" s="283">
        <v>1392.6</v>
      </c>
      <c r="E6" s="283">
        <v>1397.2</v>
      </c>
      <c r="F6" s="283">
        <v>1411.7</v>
      </c>
      <c r="G6" s="283">
        <v>1431.2</v>
      </c>
      <c r="H6" s="283">
        <v>1369.2</v>
      </c>
      <c r="I6" s="283">
        <v>1429.6</v>
      </c>
    </row>
    <row r="7" spans="1:9" x14ac:dyDescent="0.35">
      <c r="A7" t="s">
        <v>299</v>
      </c>
      <c r="B7" s="283">
        <v>234.7</v>
      </c>
      <c r="C7" s="283">
        <v>213.8</v>
      </c>
      <c r="D7" s="283">
        <v>224.2</v>
      </c>
      <c r="E7" s="283">
        <v>201.6</v>
      </c>
      <c r="F7" s="283">
        <v>229.7</v>
      </c>
      <c r="G7" s="283">
        <v>180.5</v>
      </c>
      <c r="H7" s="283">
        <v>171.5</v>
      </c>
      <c r="I7" s="283">
        <v>205.3</v>
      </c>
    </row>
    <row r="8" spans="1:9" x14ac:dyDescent="0.35">
      <c r="A8" t="s">
        <v>300</v>
      </c>
      <c r="B8" s="283">
        <v>456.5</v>
      </c>
      <c r="C8" s="283">
        <v>475.2</v>
      </c>
      <c r="D8" s="283">
        <v>519.4</v>
      </c>
      <c r="E8" s="283">
        <v>483.9</v>
      </c>
      <c r="F8" s="283">
        <v>480.9</v>
      </c>
      <c r="G8" s="283">
        <v>495.8</v>
      </c>
      <c r="H8" s="283">
        <v>496.4</v>
      </c>
      <c r="I8" s="283">
        <v>499.4</v>
      </c>
    </row>
    <row r="9" spans="1:9" x14ac:dyDescent="0.35">
      <c r="A9" t="s">
        <v>301</v>
      </c>
      <c r="B9" s="283">
        <v>1295.5</v>
      </c>
      <c r="C9" s="283">
        <v>1301.5999999999999</v>
      </c>
      <c r="D9" s="283">
        <v>1312.4</v>
      </c>
      <c r="E9" s="283">
        <v>1326.5</v>
      </c>
      <c r="F9" s="283">
        <v>1330.4</v>
      </c>
      <c r="G9" s="283">
        <v>1346.2</v>
      </c>
      <c r="H9" s="283">
        <v>1264.3</v>
      </c>
      <c r="I9" s="283">
        <v>1317.3</v>
      </c>
    </row>
    <row r="10" spans="1:9" x14ac:dyDescent="0.35">
      <c r="A10" t="s">
        <v>333</v>
      </c>
      <c r="B10" s="283">
        <v>8600</v>
      </c>
      <c r="C10" s="283">
        <v>8932</v>
      </c>
      <c r="D10" s="283">
        <v>8944</v>
      </c>
      <c r="E10" s="283">
        <v>8604</v>
      </c>
      <c r="F10" s="283">
        <v>7908</v>
      </c>
      <c r="G10" s="283">
        <v>7020</v>
      </c>
      <c r="H10" s="283">
        <v>6744</v>
      </c>
      <c r="I10" s="283">
        <v>7248</v>
      </c>
    </row>
    <row r="11" spans="1:9" x14ac:dyDescent="0.35">
      <c r="A11" t="s">
        <v>334</v>
      </c>
      <c r="B11" s="283">
        <v>12969</v>
      </c>
      <c r="C11" s="283">
        <v>13054</v>
      </c>
      <c r="D11" s="283">
        <v>13132</v>
      </c>
      <c r="E11" s="283">
        <v>13183</v>
      </c>
      <c r="F11" s="283">
        <v>13235</v>
      </c>
      <c r="G11" s="283">
        <v>13345</v>
      </c>
      <c r="H11" s="283">
        <v>12362</v>
      </c>
      <c r="I11" s="283">
        <v>12998</v>
      </c>
    </row>
    <row r="12" spans="1:9" x14ac:dyDescent="0.35">
      <c r="A12" t="s">
        <v>303</v>
      </c>
      <c r="B12" s="283">
        <v>63.5</v>
      </c>
      <c r="C12" s="283">
        <v>68.5</v>
      </c>
      <c r="D12" s="283">
        <v>68.7</v>
      </c>
      <c r="E12" s="283">
        <v>69.8</v>
      </c>
      <c r="F12" s="283">
        <v>71</v>
      </c>
      <c r="G12" s="283">
        <v>62.7</v>
      </c>
      <c r="H12" s="283">
        <v>54.2</v>
      </c>
      <c r="I12" s="283">
        <v>79.099999999999994</v>
      </c>
    </row>
    <row r="13" spans="1:9" x14ac:dyDescent="0.35">
      <c r="A13" t="s">
        <v>304</v>
      </c>
      <c r="B13" s="283">
        <v>2220523</v>
      </c>
      <c r="C13" s="283">
        <v>2298792</v>
      </c>
      <c r="D13" s="283">
        <v>2315842</v>
      </c>
      <c r="E13" s="283">
        <v>2331428</v>
      </c>
      <c r="F13" s="283">
        <v>2347737</v>
      </c>
      <c r="G13" s="283">
        <v>2422546</v>
      </c>
      <c r="H13" s="283">
        <v>4815254</v>
      </c>
      <c r="I13" s="283">
        <v>3488125</v>
      </c>
    </row>
    <row r="14" spans="1:9" x14ac:dyDescent="0.35">
      <c r="A14" t="s">
        <v>305</v>
      </c>
      <c r="B14" s="283">
        <v>753311</v>
      </c>
      <c r="C14" s="283">
        <v>767353</v>
      </c>
      <c r="D14" s="283">
        <v>779707</v>
      </c>
      <c r="E14" s="283">
        <v>789893</v>
      </c>
      <c r="F14" s="283">
        <v>797912</v>
      </c>
      <c r="G14" s="283">
        <v>804655</v>
      </c>
      <c r="H14" s="283">
        <v>824058</v>
      </c>
      <c r="I14" s="283">
        <v>842733</v>
      </c>
    </row>
    <row r="15" spans="1:9" x14ac:dyDescent="0.35">
      <c r="A15" t="s">
        <v>306</v>
      </c>
      <c r="H15" s="283">
        <v>1078100</v>
      </c>
      <c r="I15" s="283">
        <v>15600</v>
      </c>
    </row>
    <row r="16" spans="1:9" x14ac:dyDescent="0.35">
      <c r="A16" t="s">
        <v>307</v>
      </c>
      <c r="B16" s="283">
        <v>27025</v>
      </c>
      <c r="C16" s="283">
        <v>28029</v>
      </c>
      <c r="D16" s="283">
        <v>27483</v>
      </c>
      <c r="E16" s="283">
        <v>27578</v>
      </c>
      <c r="F16" s="283">
        <v>27884</v>
      </c>
      <c r="G16" s="283">
        <v>43429</v>
      </c>
      <c r="H16" s="283">
        <v>1084572</v>
      </c>
      <c r="I16" s="283">
        <v>768678</v>
      </c>
    </row>
    <row r="17" spans="1:9" x14ac:dyDescent="0.35">
      <c r="A17" t="s">
        <v>308</v>
      </c>
      <c r="H17" s="283">
        <v>19100</v>
      </c>
      <c r="I17" s="283">
        <v>27000</v>
      </c>
    </row>
    <row r="18" spans="1:9" x14ac:dyDescent="0.35">
      <c r="A18" t="s">
        <v>309</v>
      </c>
      <c r="H18" s="283">
        <v>160900</v>
      </c>
      <c r="I18" s="283">
        <v>58400</v>
      </c>
    </row>
    <row r="19" spans="1:9" x14ac:dyDescent="0.35">
      <c r="A19" t="s">
        <v>310</v>
      </c>
      <c r="B19" s="283">
        <v>79458</v>
      </c>
      <c r="C19" s="283">
        <v>71318</v>
      </c>
      <c r="D19" s="283">
        <v>61083</v>
      </c>
      <c r="E19" s="283">
        <v>81998</v>
      </c>
      <c r="F19" s="283">
        <v>81147</v>
      </c>
      <c r="G19" s="283">
        <v>75093</v>
      </c>
      <c r="H19" s="283">
        <v>1086548</v>
      </c>
      <c r="I19" s="283">
        <v>1213308</v>
      </c>
    </row>
    <row r="20" spans="1:9" x14ac:dyDescent="0.35">
      <c r="A20" t="s">
        <v>311</v>
      </c>
      <c r="H20" s="283">
        <v>609300</v>
      </c>
      <c r="I20" s="283">
        <v>865600</v>
      </c>
    </row>
    <row r="21" spans="1:9" x14ac:dyDescent="0.35">
      <c r="A21" t="s">
        <v>312</v>
      </c>
      <c r="H21" s="283">
        <v>63800</v>
      </c>
      <c r="I21" s="283">
        <v>15000</v>
      </c>
    </row>
    <row r="22" spans="1:9" x14ac:dyDescent="0.35">
      <c r="A22" t="s">
        <v>313</v>
      </c>
      <c r="H22" s="283">
        <v>73300</v>
      </c>
      <c r="I22" s="283">
        <v>73300</v>
      </c>
    </row>
    <row r="23" spans="1:9" x14ac:dyDescent="0.35">
      <c r="A23" t="s">
        <v>314</v>
      </c>
      <c r="H23" s="283">
        <v>140000</v>
      </c>
      <c r="I23" s="283">
        <v>140000</v>
      </c>
    </row>
    <row r="24" spans="1:9" x14ac:dyDescent="0.35">
      <c r="A24" t="s">
        <v>315</v>
      </c>
      <c r="B24" s="283">
        <v>586475</v>
      </c>
      <c r="C24" s="283">
        <v>594213</v>
      </c>
      <c r="D24" s="283">
        <v>612547</v>
      </c>
      <c r="E24" s="283">
        <v>610331</v>
      </c>
      <c r="F24" s="283">
        <v>615406</v>
      </c>
      <c r="G24" s="283">
        <v>627805</v>
      </c>
      <c r="H24" s="283">
        <v>1396890</v>
      </c>
      <c r="I24" s="283">
        <v>728172</v>
      </c>
    </row>
    <row r="25" spans="1:9" x14ac:dyDescent="0.35">
      <c r="A25" t="s">
        <v>318</v>
      </c>
      <c r="B25" s="283">
        <v>1368395</v>
      </c>
      <c r="C25" s="283">
        <v>1388750</v>
      </c>
      <c r="D25" s="283">
        <v>1410626</v>
      </c>
      <c r="E25" s="283">
        <v>1429281</v>
      </c>
      <c r="F25" s="283">
        <v>1447946</v>
      </c>
      <c r="G25" s="283">
        <v>1452551</v>
      </c>
      <c r="H25" s="283">
        <v>1504782</v>
      </c>
      <c r="I25" s="283">
        <v>1486802</v>
      </c>
    </row>
    <row r="26" spans="1:9" x14ac:dyDescent="0.35">
      <c r="A26" t="s">
        <v>317</v>
      </c>
      <c r="B26" s="283">
        <v>1241599</v>
      </c>
      <c r="C26" s="283">
        <v>1245767</v>
      </c>
      <c r="D26" s="283">
        <v>1273567</v>
      </c>
      <c r="E26" s="283">
        <v>1288518</v>
      </c>
      <c r="F26" s="283">
        <v>1301120</v>
      </c>
      <c r="G26" s="283">
        <v>1306142</v>
      </c>
      <c r="H26" s="283">
        <v>1356816</v>
      </c>
      <c r="I26" s="283">
        <v>1335322</v>
      </c>
    </row>
    <row r="27" spans="1:9" x14ac:dyDescent="0.35">
      <c r="A27" t="s">
        <v>319</v>
      </c>
      <c r="B27" s="283">
        <v>389624</v>
      </c>
      <c r="C27" s="283">
        <v>404529</v>
      </c>
      <c r="D27" s="283">
        <v>419672</v>
      </c>
      <c r="E27" s="283">
        <v>418824</v>
      </c>
      <c r="F27" s="283">
        <v>411409</v>
      </c>
      <c r="G27" s="283">
        <v>423429</v>
      </c>
      <c r="H27" s="283">
        <v>512640</v>
      </c>
      <c r="I27" s="283">
        <v>486072</v>
      </c>
    </row>
    <row r="28" spans="1:9" x14ac:dyDescent="0.35">
      <c r="A28" t="s">
        <v>320</v>
      </c>
      <c r="B28" s="283">
        <v>728844</v>
      </c>
      <c r="C28" s="283">
        <v>738714</v>
      </c>
      <c r="D28" s="283">
        <v>755204</v>
      </c>
      <c r="E28" s="283">
        <v>763370</v>
      </c>
      <c r="F28" s="283">
        <v>760967</v>
      </c>
      <c r="G28" s="283">
        <v>767087</v>
      </c>
      <c r="H28" s="283">
        <v>812158</v>
      </c>
      <c r="I28" s="283">
        <v>835999</v>
      </c>
    </row>
    <row r="29" spans="1:9" x14ac:dyDescent="0.35">
      <c r="A29" t="s">
        <v>321</v>
      </c>
      <c r="B29" s="283">
        <v>589819</v>
      </c>
      <c r="C29" s="283">
        <v>599372</v>
      </c>
      <c r="D29" s="283">
        <v>614976</v>
      </c>
      <c r="E29" s="283">
        <v>622265</v>
      </c>
      <c r="F29" s="283">
        <v>619362</v>
      </c>
      <c r="G29" s="283">
        <v>624096</v>
      </c>
      <c r="H29" s="283">
        <v>668823</v>
      </c>
      <c r="I29" s="283">
        <v>691267</v>
      </c>
    </row>
    <row r="30" spans="1:9" x14ac:dyDescent="0.35">
      <c r="A30" t="s">
        <v>322</v>
      </c>
      <c r="B30" s="283">
        <v>1997129</v>
      </c>
      <c r="C30" s="283">
        <v>2012720</v>
      </c>
      <c r="D30" s="283">
        <v>2025477</v>
      </c>
      <c r="E30" s="283">
        <v>2028275</v>
      </c>
      <c r="F30" s="283">
        <v>2035602</v>
      </c>
      <c r="G30" s="283">
        <v>2041017</v>
      </c>
      <c r="H30" s="283">
        <v>2013139</v>
      </c>
      <c r="I30" s="283">
        <v>1992677</v>
      </c>
    </row>
    <row r="31" spans="1:9" x14ac:dyDescent="0.35">
      <c r="A31" t="s">
        <v>323</v>
      </c>
      <c r="B31" s="283">
        <v>2279638</v>
      </c>
      <c r="C31" s="283">
        <v>2292717</v>
      </c>
      <c r="D31" s="283">
        <v>2327018</v>
      </c>
      <c r="E31" s="283">
        <v>2337774</v>
      </c>
      <c r="F31" s="283">
        <v>2357385</v>
      </c>
      <c r="G31" s="283">
        <v>2381563</v>
      </c>
      <c r="H31" s="283">
        <v>2334544</v>
      </c>
      <c r="I31" s="283">
        <v>2329677</v>
      </c>
    </row>
    <row r="32" spans="1:9" x14ac:dyDescent="0.35">
      <c r="A32" t="s">
        <v>302</v>
      </c>
      <c r="B32" s="283">
        <v>21.568999999999999</v>
      </c>
      <c r="C32" s="283">
        <v>21.986000000000001</v>
      </c>
      <c r="D32" s="283">
        <v>22.076000000000001</v>
      </c>
      <c r="E32" s="283">
        <v>21.786999999999999</v>
      </c>
      <c r="F32" s="283">
        <v>21.143000000000001</v>
      </c>
      <c r="G32" s="283">
        <v>20.364999999999998</v>
      </c>
      <c r="H32" s="283">
        <v>19.106000000000002</v>
      </c>
      <c r="I32" s="283">
        <v>20.245999999999999</v>
      </c>
    </row>
    <row r="33" spans="1:9" x14ac:dyDescent="0.35">
      <c r="A33" t="s">
        <v>336</v>
      </c>
      <c r="H33" s="283">
        <v>277100</v>
      </c>
      <c r="I33" s="283">
        <v>228300</v>
      </c>
    </row>
    <row r="34" spans="1:9" x14ac:dyDescent="0.35">
      <c r="A34" t="s">
        <v>316</v>
      </c>
      <c r="H34" s="283">
        <v>690700</v>
      </c>
      <c r="I34" s="283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C6" sqref="C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239</v>
      </c>
      <c r="C8" s="161"/>
      <c r="D8" s="162">
        <f>SUMPRODUCT(B5:B6,C5:C6)</f>
        <v>0.52500000000000002</v>
      </c>
    </row>
    <row r="9" spans="1:16" x14ac:dyDescent="0.35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4" t="s">
        <v>32</v>
      </c>
      <c r="B5" s="315"/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</row>
    <row r="6" spans="1:19" s="6" customFormat="1" ht="15" customHeight="1" x14ac:dyDescent="0.3">
      <c r="A6" s="316" t="s">
        <v>33</v>
      </c>
      <c r="B6" s="316"/>
      <c r="C6" s="316"/>
      <c r="D6" s="316"/>
      <c r="E6" s="316"/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  <c r="Q6" s="316"/>
      <c r="R6" s="316"/>
      <c r="S6" s="316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17"/>
      <c r="S8" s="318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main!K89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01" t="s">
        <v>208</v>
      </c>
      <c r="B1" s="301"/>
      <c r="C1" s="35"/>
      <c r="H1"/>
      <c r="I1"/>
      <c r="J1"/>
      <c r="X1" t="s">
        <v>28</v>
      </c>
      <c r="Z1" s="319" t="s">
        <v>84</v>
      </c>
      <c r="AA1" s="319"/>
      <c r="AB1" s="319"/>
      <c r="AC1" s="300"/>
      <c r="AD1" s="300"/>
      <c r="AE1" s="300"/>
      <c r="AF1" s="300"/>
    </row>
    <row r="2" spans="1:32" x14ac:dyDescent="0.35">
      <c r="A2" s="320" t="s">
        <v>192</v>
      </c>
      <c r="B2" s="107"/>
      <c r="C2" t="s">
        <v>193</v>
      </c>
    </row>
    <row r="3" spans="1:32" x14ac:dyDescent="0.35">
      <c r="A3" s="320"/>
      <c r="B3" s="108"/>
      <c r="C3" t="s">
        <v>194</v>
      </c>
    </row>
    <row r="4" spans="1:32" x14ac:dyDescent="0.35">
      <c r="A4" s="320"/>
      <c r="B4" s="109"/>
      <c r="C4" t="s">
        <v>195</v>
      </c>
    </row>
    <row r="5" spans="1:32" x14ac:dyDescent="0.35">
      <c r="A5" s="320"/>
      <c r="B5" s="98"/>
      <c r="C5" t="s">
        <v>182</v>
      </c>
    </row>
    <row r="7" spans="1:32" x14ac:dyDescent="0.35">
      <c r="C7" s="310" t="s">
        <v>160</v>
      </c>
      <c r="D7" s="311"/>
      <c r="E7" s="311"/>
      <c r="F7" s="312"/>
      <c r="G7" s="310" t="s">
        <v>166</v>
      </c>
      <c r="H7" s="311"/>
      <c r="I7" s="311"/>
      <c r="J7" s="312"/>
      <c r="K7" s="310" t="s">
        <v>177</v>
      </c>
      <c r="L7" s="311"/>
      <c r="M7" s="311"/>
      <c r="N7" s="312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main!L49/1000</f>
        <v>1086.548</v>
      </c>
      <c r="F70" s="102">
        <f>main!M49/1000</f>
        <v>1213.308</v>
      </c>
      <c r="G70" s="102">
        <f>main!N49/1000</f>
        <v>382.93200834658188</v>
      </c>
      <c r="H70" s="102">
        <f>main!O49/1000</f>
        <v>554.91624999999999</v>
      </c>
      <c r="I70" s="102">
        <f>main!P49/1000</f>
        <v>554.91624999999999</v>
      </c>
      <c r="J70" s="102">
        <f>main!Q49/1000</f>
        <v>554.91624999999999</v>
      </c>
      <c r="K70" s="102">
        <f>main!R49/1000</f>
        <v>100.25024999999999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-542.17188151564005</v>
      </c>
      <c r="I72" s="103">
        <f t="shared" si="23"/>
        <v>-546.13685823899004</v>
      </c>
      <c r="J72" s="103">
        <f t="shared" si="23"/>
        <v>-550.41858060643995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14" zoomScale="110" zoomScaleNormal="110" workbookViewId="0">
      <selection activeCell="G23" sqref="G23:G24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26" t="s">
        <v>104</v>
      </c>
      <c r="B2" s="326"/>
      <c r="C2" s="326"/>
      <c r="D2" s="326"/>
      <c r="E2" s="326"/>
      <c r="F2" s="326"/>
      <c r="G2" s="326"/>
      <c r="H2" s="326"/>
      <c r="I2" s="326"/>
      <c r="J2" s="326"/>
      <c r="K2" s="77"/>
    </row>
    <row r="3" spans="1:24" x14ac:dyDescent="0.35">
      <c r="A3" s="326" t="s">
        <v>105</v>
      </c>
      <c r="B3" s="326"/>
      <c r="C3" s="326"/>
      <c r="D3" s="326"/>
      <c r="E3" s="326"/>
      <c r="F3" s="326"/>
      <c r="G3" s="326"/>
      <c r="H3" s="326"/>
      <c r="I3" s="326"/>
      <c r="J3" s="326"/>
      <c r="K3" s="77"/>
    </row>
    <row r="4" spans="1:24" ht="15" thickBot="1" x14ac:dyDescent="0.4">
      <c r="A4" s="327"/>
      <c r="B4" s="327"/>
      <c r="C4" s="327"/>
      <c r="D4" s="327"/>
      <c r="E4" s="327"/>
      <c r="F4" s="327"/>
      <c r="G4" s="327"/>
      <c r="H4" s="327"/>
      <c r="I4" s="327"/>
      <c r="J4" s="327"/>
      <c r="K4" s="332" t="s">
        <v>160</v>
      </c>
      <c r="L4" s="332"/>
      <c r="M4" s="332"/>
      <c r="N4" s="332"/>
    </row>
    <row r="5" spans="1:24" x14ac:dyDescent="0.35">
      <c r="A5" s="47"/>
      <c r="B5" s="48"/>
      <c r="C5" s="328" t="s">
        <v>106</v>
      </c>
      <c r="D5" s="329"/>
      <c r="E5" s="329"/>
      <c r="F5" s="329"/>
      <c r="G5" s="329"/>
      <c r="H5" s="329"/>
      <c r="I5" s="329"/>
      <c r="J5" s="330"/>
      <c r="K5" s="78"/>
      <c r="L5" s="331" t="s">
        <v>107</v>
      </c>
      <c r="M5" s="300"/>
      <c r="N5" s="300"/>
    </row>
    <row r="6" spans="1:24" x14ac:dyDescent="0.35">
      <c r="A6" s="1" t="s">
        <v>109</v>
      </c>
      <c r="B6" s="49"/>
      <c r="C6" s="322">
        <v>2020</v>
      </c>
      <c r="D6" s="323"/>
      <c r="E6" s="323"/>
      <c r="F6" s="323"/>
      <c r="G6" s="323"/>
      <c r="H6" s="323"/>
      <c r="I6" s="323"/>
      <c r="J6" s="32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00" t="s">
        <v>9</v>
      </c>
      <c r="L22" s="300"/>
      <c r="M22" s="300"/>
      <c r="N22" s="300"/>
      <c r="O22" s="300" t="s">
        <v>10</v>
      </c>
      <c r="P22" s="300"/>
      <c r="Q22" s="300"/>
      <c r="R22" s="300"/>
      <c r="S22" s="300" t="s">
        <v>11</v>
      </c>
      <c r="T22" s="300"/>
      <c r="U22" s="300"/>
      <c r="V22" s="30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25" t="s">
        <v>108</v>
      </c>
      <c r="L23" s="325"/>
      <c r="M23" s="325"/>
      <c r="N23" s="325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21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2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21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1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21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34" t="s">
        <v>87</v>
      </c>
      <c r="F6" s="334"/>
      <c r="G6" s="334"/>
      <c r="H6" s="334"/>
      <c r="I6" s="334"/>
      <c r="J6" s="334"/>
      <c r="K6" s="334"/>
      <c r="L6" s="334"/>
      <c r="M6" s="334"/>
      <c r="N6" s="334"/>
      <c r="O6" s="334"/>
      <c r="P6" s="334"/>
      <c r="Q6" s="334"/>
      <c r="R6" s="334"/>
    </row>
    <row r="7" spans="1:18" x14ac:dyDescent="0.35">
      <c r="A7" s="333" t="s">
        <v>88</v>
      </c>
      <c r="B7" s="333"/>
      <c r="C7" s="333"/>
      <c r="D7" s="33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33" t="s">
        <v>89</v>
      </c>
      <c r="C8" s="333"/>
      <c r="D8" s="33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33" t="s">
        <v>90</v>
      </c>
      <c r="C9" s="333"/>
      <c r="D9" s="33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33" t="s">
        <v>91</v>
      </c>
      <c r="C10" s="333"/>
      <c r="D10" s="33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33" t="s">
        <v>58</v>
      </c>
      <c r="C11" s="333"/>
      <c r="D11" s="33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33" t="s">
        <v>34</v>
      </c>
      <c r="D13" s="33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33" t="s">
        <v>89</v>
      </c>
      <c r="C19" s="333"/>
      <c r="D19" s="33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33" t="s">
        <v>90</v>
      </c>
      <c r="C20" s="333"/>
      <c r="D20" s="33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33" t="s">
        <v>91</v>
      </c>
      <c r="C21" s="333"/>
      <c r="D21" s="33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33" t="s">
        <v>58</v>
      </c>
      <c r="C22" s="333"/>
      <c r="D22" s="33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35" t="s">
        <v>95</v>
      </c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36" t="s">
        <v>99</v>
      </c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35" t="s">
        <v>101</v>
      </c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4" t="s">
        <v>32</v>
      </c>
      <c r="B5" s="315"/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</row>
    <row r="6" spans="1:19" s="6" customFormat="1" ht="15" customHeight="1" x14ac:dyDescent="0.3">
      <c r="A6" s="316" t="s">
        <v>33</v>
      </c>
      <c r="B6" s="316"/>
      <c r="C6" s="316"/>
      <c r="D6" s="316"/>
      <c r="E6" s="316"/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  <c r="Q6" s="316"/>
      <c r="R6" s="316"/>
      <c r="S6" s="316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17" t="s">
        <v>34</v>
      </c>
      <c r="S8" s="318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37" t="s">
        <v>42</v>
      </c>
      <c r="E75" s="33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1ee6-cd93-49c7-9437-e871b2a117d6"/>
    <ds:schemaRef ds:uri="cac5d118-ba7b-4807-b700-df6f95cfff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2020-12-21T21:37:11Z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