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8_{28954CFE-A835-7A41-B5E5-E78DE235E207}" xr6:coauthVersionLast="46" xr6:coauthVersionMax="46" xr10:uidLastSave="{00000000-0000-0000-0000-000000000000}"/>
  <bookViews>
    <workbookView xWindow="-520" yWindow="500" windowWidth="33600" windowHeight="19380" firstSheet="1" activeTab="13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4" l="1"/>
  <c r="M12" i="4"/>
  <c r="M11" i="4"/>
  <c r="M10" i="4"/>
  <c r="P72" i="1"/>
  <c r="Q72" i="1"/>
  <c r="R72" i="1"/>
  <c r="S72" i="1"/>
  <c r="T72" i="1"/>
  <c r="U72" i="1"/>
  <c r="V72" i="1"/>
  <c r="W72" i="1"/>
  <c r="X72" i="1"/>
  <c r="Y72" i="1"/>
  <c r="Z72" i="1"/>
  <c r="O72" i="1"/>
  <c r="L71" i="1"/>
  <c r="I62" i="5"/>
  <c r="O8" i="9"/>
  <c r="O7" i="9"/>
  <c r="O6" i="9"/>
  <c r="O5" i="9"/>
  <c r="M3" i="9"/>
  <c r="L3" i="9"/>
  <c r="K3" i="9"/>
  <c r="L12" i="9"/>
  <c r="L11" i="9"/>
  <c r="L10" i="9"/>
  <c r="L9" i="9"/>
  <c r="N71" i="1"/>
  <c r="N20" i="1"/>
  <c r="E21" i="5" l="1"/>
  <c r="D22" i="5"/>
  <c r="E22" i="5"/>
  <c r="F22" i="5"/>
  <c r="G22" i="5"/>
  <c r="H22" i="5"/>
  <c r="I22" i="5"/>
  <c r="J22" i="5"/>
  <c r="K22" i="5"/>
  <c r="F28" i="5"/>
  <c r="D29" i="5"/>
  <c r="E29" i="5"/>
  <c r="F29" i="5"/>
  <c r="G29" i="5"/>
  <c r="H29" i="5"/>
  <c r="I29" i="5"/>
  <c r="J29" i="5"/>
  <c r="K29" i="5"/>
  <c r="F35" i="5"/>
  <c r="D36" i="5"/>
  <c r="E36" i="5"/>
  <c r="F36" i="5"/>
  <c r="G36" i="5"/>
  <c r="H36" i="5"/>
  <c r="I36" i="5"/>
  <c r="J36" i="5"/>
  <c r="K36" i="5"/>
  <c r="E41" i="5"/>
  <c r="F41" i="5"/>
  <c r="D42" i="5"/>
  <c r="E42" i="5"/>
  <c r="F42" i="5"/>
  <c r="G42" i="5"/>
  <c r="H42" i="5"/>
  <c r="I42" i="5"/>
  <c r="J42" i="5"/>
  <c r="K42" i="5"/>
  <c r="F47" i="5"/>
  <c r="D48" i="5"/>
  <c r="E48" i="5"/>
  <c r="F48" i="5"/>
  <c r="G48" i="5"/>
  <c r="H48" i="5"/>
  <c r="I48" i="5"/>
  <c r="J48" i="5"/>
  <c r="K48" i="5"/>
  <c r="K49" i="5" s="1"/>
  <c r="F50" i="5" l="1"/>
  <c r="F37" i="5"/>
  <c r="F31" i="5"/>
  <c r="F43" i="5"/>
  <c r="N36" i="1"/>
  <c r="N70" i="1"/>
  <c r="N103" i="1"/>
  <c r="N100" i="1"/>
  <c r="N97" i="1"/>
  <c r="N94" i="1"/>
  <c r="N90" i="1"/>
  <c r="N84" i="1"/>
  <c r="N83" i="1"/>
  <c r="N67" i="1"/>
  <c r="N60" i="1"/>
  <c r="N59" i="1"/>
  <c r="N58" i="1"/>
  <c r="N56" i="1"/>
  <c r="N53" i="1"/>
  <c r="N48" i="1"/>
  <c r="N47" i="1"/>
  <c r="N40" i="1"/>
  <c r="N34" i="1"/>
  <c r="N33" i="1"/>
  <c r="N17" i="1"/>
  <c r="N14" i="1"/>
  <c r="N11" i="1"/>
  <c r="N7" i="1"/>
  <c r="N5" i="1"/>
  <c r="N28" i="1"/>
  <c r="N27" i="1"/>
  <c r="N26" i="1"/>
  <c r="L99" i="1"/>
  <c r="N101" i="1" l="1"/>
  <c r="N105" i="1"/>
  <c r="N92" i="1"/>
  <c r="N25" i="1"/>
  <c r="G35" i="5" s="1"/>
  <c r="G37" i="5" s="1"/>
  <c r="N99" i="1"/>
  <c r="N95" i="1"/>
  <c r="N109" i="1"/>
  <c r="N68" i="1"/>
  <c r="N69" i="1" s="1"/>
  <c r="N57" i="1"/>
  <c r="N46" i="1"/>
  <c r="N39" i="1"/>
  <c r="N10" i="1"/>
  <c r="N6" i="1"/>
  <c r="N29" i="1" s="1"/>
  <c r="G41" i="5" s="1"/>
  <c r="G43" i="5" s="1"/>
  <c r="N85" i="1"/>
  <c r="N81" i="1" l="1"/>
  <c r="F21" i="5"/>
  <c r="F24" i="5" s="1"/>
  <c r="G47" i="5"/>
  <c r="G50" i="5" s="1"/>
  <c r="N54" i="1"/>
  <c r="K4" i="9"/>
  <c r="N49" i="1"/>
  <c r="N30" i="1"/>
  <c r="O26" i="4"/>
  <c r="N26" i="4"/>
  <c r="L109" i="1"/>
  <c r="D21" i="5" s="1"/>
  <c r="K109" i="1"/>
  <c r="J109" i="1"/>
  <c r="I109" i="1"/>
  <c r="H109" i="1"/>
  <c r="G109" i="1"/>
  <c r="F109" i="1"/>
  <c r="N50" i="1" l="1"/>
  <c r="B21" i="16"/>
  <c r="W77" i="1"/>
  <c r="P77" i="1"/>
  <c r="O77" i="1"/>
  <c r="C20" i="16"/>
  <c r="S65" i="1" s="1"/>
  <c r="S54" i="1" s="1"/>
  <c r="C19" i="16"/>
  <c r="R38" i="1" s="1"/>
  <c r="C18" i="16"/>
  <c r="R64" i="1" s="1"/>
  <c r="C17" i="16"/>
  <c r="B16" i="16"/>
  <c r="C16" i="16" s="1"/>
  <c r="C15" i="16"/>
  <c r="P37" i="1" s="1"/>
  <c r="B13" i="16"/>
  <c r="C13" i="16" s="1"/>
  <c r="V77" i="1" s="1"/>
  <c r="B10" i="16"/>
  <c r="C10" i="16" s="1"/>
  <c r="U79" i="1" s="1"/>
  <c r="C9" i="16"/>
  <c r="P89" i="1" s="1"/>
  <c r="C8" i="16"/>
  <c r="Q88" i="1" s="1"/>
  <c r="C7" i="16"/>
  <c r="O87" i="1" s="1"/>
  <c r="C14" i="16"/>
  <c r="C12" i="16"/>
  <c r="P63" i="1" s="1"/>
  <c r="C11" i="16"/>
  <c r="C6" i="16"/>
  <c r="C5" i="16"/>
  <c r="T78" i="1" s="1"/>
  <c r="C4" i="16"/>
  <c r="O36" i="1" s="1"/>
  <c r="P5" i="9" s="1"/>
  <c r="C3" i="16"/>
  <c r="O44" i="1" s="1"/>
  <c r="C2" i="16"/>
  <c r="R89" i="1"/>
  <c r="P87" i="1"/>
  <c r="AD90" i="1"/>
  <c r="AC90" i="1"/>
  <c r="AI90" i="1"/>
  <c r="AJ90" i="1"/>
  <c r="AK90" i="1"/>
  <c r="W91" i="1"/>
  <c r="X91" i="1"/>
  <c r="Y91" i="1"/>
  <c r="Z91" i="1"/>
  <c r="W78" i="1" l="1"/>
  <c r="T65" i="1"/>
  <c r="X78" i="1"/>
  <c r="Q87" i="1"/>
  <c r="P62" i="1"/>
  <c r="O62" i="1"/>
  <c r="Q89" i="1"/>
  <c r="Z78" i="1"/>
  <c r="X77" i="1"/>
  <c r="V79" i="1"/>
  <c r="Y77" i="1"/>
  <c r="W79" i="1"/>
  <c r="Z77" i="1"/>
  <c r="X79" i="1"/>
  <c r="Y78" i="1"/>
  <c r="O78" i="1"/>
  <c r="Y79" i="1"/>
  <c r="R87" i="1"/>
  <c r="O64" i="1"/>
  <c r="P78" i="1"/>
  <c r="Z79" i="1"/>
  <c r="P64" i="1"/>
  <c r="Q78" i="1"/>
  <c r="Q64" i="1"/>
  <c r="U78" i="1"/>
  <c r="V78" i="1"/>
  <c r="Z80" i="1"/>
  <c r="Y80" i="1"/>
  <c r="X80" i="1"/>
  <c r="W80" i="1"/>
  <c r="V80" i="1"/>
  <c r="O80" i="1"/>
  <c r="U80" i="1"/>
  <c r="T80" i="1"/>
  <c r="S80" i="1"/>
  <c r="R80" i="1"/>
  <c r="Q80" i="1"/>
  <c r="P80" i="1"/>
  <c r="O63" i="1"/>
  <c r="U65" i="1"/>
  <c r="Q63" i="1"/>
  <c r="V65" i="1"/>
  <c r="O38" i="1"/>
  <c r="O65" i="1"/>
  <c r="P38" i="1"/>
  <c r="R88" i="1"/>
  <c r="Q38" i="1"/>
  <c r="O79" i="1"/>
  <c r="Q77" i="1"/>
  <c r="P79" i="1"/>
  <c r="O37" i="1"/>
  <c r="R77" i="1"/>
  <c r="Q79" i="1"/>
  <c r="O89" i="1"/>
  <c r="R65" i="1"/>
  <c r="S77" i="1"/>
  <c r="R79" i="1"/>
  <c r="O88" i="1"/>
  <c r="Q65" i="1"/>
  <c r="T77" i="1"/>
  <c r="R78" i="1"/>
  <c r="S79" i="1"/>
  <c r="P65" i="1"/>
  <c r="U77" i="1"/>
  <c r="S78" i="1"/>
  <c r="T79" i="1"/>
  <c r="P88" i="1"/>
  <c r="P86" i="1" s="1"/>
  <c r="Q86" i="1"/>
  <c r="W53" i="1"/>
  <c r="X53" i="1"/>
  <c r="Y53" i="1"/>
  <c r="Z53" i="1"/>
  <c r="Z92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6" i="1" l="1"/>
  <c r="V71" i="1" s="1"/>
  <c r="O54" i="1"/>
  <c r="W76" i="1"/>
  <c r="W71" i="1" s="1"/>
  <c r="Y76" i="1"/>
  <c r="Y71" i="1" s="1"/>
  <c r="Z76" i="1"/>
  <c r="Z71" i="1" s="1"/>
  <c r="U76" i="1"/>
  <c r="U71" i="1" s="1"/>
  <c r="X76" i="1"/>
  <c r="X71" i="1" s="1"/>
  <c r="P76" i="1"/>
  <c r="P71" i="1" s="1"/>
  <c r="Q76" i="1"/>
  <c r="Q71" i="1" s="1"/>
  <c r="O76" i="1"/>
  <c r="O71" i="1" s="1"/>
  <c r="T76" i="1"/>
  <c r="T71" i="1" s="1"/>
  <c r="O86" i="1"/>
  <c r="R86" i="1"/>
  <c r="S76" i="1"/>
  <c r="S71" i="1" s="1"/>
  <c r="R76" i="1"/>
  <c r="R71" i="1" s="1"/>
  <c r="D28" i="15"/>
  <c r="C15" i="15" s="1"/>
  <c r="H18" i="15" s="1"/>
  <c r="F5" i="15"/>
  <c r="E7" i="15"/>
  <c r="E9" i="15"/>
  <c r="D19" i="15"/>
  <c r="D18" i="15"/>
  <c r="D8" i="15"/>
  <c r="D9" i="15"/>
  <c r="H17" i="15"/>
  <c r="G20" i="15" l="1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4" i="1" l="1"/>
  <c r="P104" i="1" s="1"/>
  <c r="Q104" i="1" s="1"/>
  <c r="R104" i="1" s="1"/>
  <c r="S104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2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9" i="1"/>
  <c r="X109" i="1"/>
  <c r="W109" i="1"/>
  <c r="Y108" i="1"/>
  <c r="X108" i="1"/>
  <c r="W108" i="1"/>
  <c r="G101" i="1"/>
  <c r="H101" i="1"/>
  <c r="I101" i="1"/>
  <c r="J101" i="1"/>
  <c r="K101" i="1"/>
  <c r="L101" i="1"/>
  <c r="L105" i="1"/>
  <c r="K105" i="1"/>
  <c r="W110" i="1" l="1"/>
  <c r="X110" i="1"/>
  <c r="Y110" i="1"/>
  <c r="M5" i="15"/>
  <c r="L7" i="15"/>
  <c r="L9" i="15"/>
  <c r="N5" i="15" l="1"/>
  <c r="M7" i="15"/>
  <c r="M9" i="15"/>
  <c r="L57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4" i="1"/>
  <c r="AK34" i="1"/>
  <c r="AJ34" i="1"/>
  <c r="AI34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49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4" i="1" l="1"/>
  <c r="P34" i="1" s="1"/>
  <c r="Q34" i="1" s="1"/>
  <c r="R34" i="1" s="1"/>
  <c r="L4" i="10"/>
  <c r="G38" i="11" s="1"/>
  <c r="G41" i="11" s="1"/>
  <c r="Q70" i="5"/>
  <c r="R70" i="5"/>
  <c r="O69" i="5"/>
  <c r="P56" i="1"/>
  <c r="P54" i="1" s="1"/>
  <c r="Q56" i="1"/>
  <c r="Q54" i="1" s="1"/>
  <c r="R56" i="1"/>
  <c r="R54" i="1" s="1"/>
  <c r="T56" i="1"/>
  <c r="U56" i="1"/>
  <c r="V56" i="1"/>
  <c r="T57" i="1"/>
  <c r="U57" i="1"/>
  <c r="V57" i="1"/>
  <c r="V54" i="1" l="1"/>
  <c r="T54" i="1"/>
  <c r="U54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5" i="1" s="1"/>
  <c r="M12" i="9" s="1"/>
  <c r="V18" i="4"/>
  <c r="U45" i="1" s="1"/>
  <c r="M11" i="9" s="1"/>
  <c r="U18" i="4"/>
  <c r="T45" i="1" s="1"/>
  <c r="M10" i="9" s="1"/>
  <c r="T18" i="4"/>
  <c r="S45" i="1" s="1"/>
  <c r="M9" i="9" s="1"/>
  <c r="F29" i="4"/>
  <c r="V33" i="4"/>
  <c r="V26" i="4" s="1"/>
  <c r="U33" i="4"/>
  <c r="U26" i="4" s="1"/>
  <c r="T33" i="4"/>
  <c r="T26" i="4" s="1"/>
  <c r="S33" i="4"/>
  <c r="S37" i="4" s="1"/>
  <c r="V106" i="1"/>
  <c r="V53" i="1"/>
  <c r="U53" i="1"/>
  <c r="T53" i="1"/>
  <c r="S53" i="1"/>
  <c r="L61" i="5" s="1"/>
  <c r="U39" i="1" l="1"/>
  <c r="K11" i="9" s="1"/>
  <c r="V39" i="1"/>
  <c r="K12" i="9" s="1"/>
  <c r="S39" i="1"/>
  <c r="K9" i="9" s="1"/>
  <c r="T39" i="1"/>
  <c r="K10" i="9" s="1"/>
  <c r="O4" i="10"/>
  <c r="J38" i="11" s="1"/>
  <c r="S26" i="4"/>
  <c r="M61" i="5"/>
  <c r="L64" i="5"/>
  <c r="L25" i="1"/>
  <c r="E35" i="5" s="1"/>
  <c r="K25" i="1"/>
  <c r="J25" i="1"/>
  <c r="I25" i="1"/>
  <c r="H25" i="1"/>
  <c r="G25" i="1"/>
  <c r="F25" i="1"/>
  <c r="L6" i="1"/>
  <c r="K6" i="1"/>
  <c r="J6" i="1"/>
  <c r="I6" i="1"/>
  <c r="H6" i="1"/>
  <c r="G6" i="1"/>
  <c r="L30" i="1"/>
  <c r="K30" i="1"/>
  <c r="J30" i="1"/>
  <c r="I30" i="1"/>
  <c r="H30" i="1"/>
  <c r="G30" i="1"/>
  <c r="F30" i="1"/>
  <c r="J41" i="11" l="1"/>
  <c r="K38" i="11"/>
  <c r="S34" i="1"/>
  <c r="P4" i="10"/>
  <c r="M64" i="5"/>
  <c r="N61" i="5"/>
  <c r="O28" i="1" l="1"/>
  <c r="P28" i="1" s="1"/>
  <c r="Q28" i="1" s="1"/>
  <c r="R28" i="1" s="1"/>
  <c r="S28" i="1" s="1"/>
  <c r="T28" i="1" s="1"/>
  <c r="U28" i="1" s="1"/>
  <c r="V28" i="1" s="1"/>
  <c r="O27" i="1"/>
  <c r="P27" i="1" s="1"/>
  <c r="Q27" i="1" s="1"/>
  <c r="R27" i="1" s="1"/>
  <c r="S27" i="1" s="1"/>
  <c r="T27" i="1" s="1"/>
  <c r="U27" i="1" s="1"/>
  <c r="V27" i="1" s="1"/>
  <c r="T34" i="1"/>
  <c r="Q4" i="10"/>
  <c r="L38" i="11"/>
  <c r="K41" i="11"/>
  <c r="N64" i="5"/>
  <c r="O61" i="5"/>
  <c r="M38" i="11" l="1"/>
  <c r="L41" i="11"/>
  <c r="U34" i="1"/>
  <c r="R4" i="10"/>
  <c r="P61" i="5"/>
  <c r="O64" i="5"/>
  <c r="O29" i="1"/>
  <c r="H41" i="5" s="1"/>
  <c r="H43" i="5" s="1"/>
  <c r="O26" i="1"/>
  <c r="V34" i="1" l="1"/>
  <c r="S4" i="10"/>
  <c r="N38" i="11"/>
  <c r="M41" i="11"/>
  <c r="Q61" i="5"/>
  <c r="P64" i="5"/>
  <c r="P29" i="1"/>
  <c r="I41" i="5" s="1"/>
  <c r="I43" i="5" s="1"/>
  <c r="P26" i="1"/>
  <c r="O25" i="1"/>
  <c r="H35" i="5" s="1"/>
  <c r="H37" i="5" s="1"/>
  <c r="O38" i="11" l="1"/>
  <c r="N41" i="11"/>
  <c r="W34" i="1"/>
  <c r="W92" i="1" s="1"/>
  <c r="T4" i="10"/>
  <c r="Q64" i="5"/>
  <c r="R61" i="5"/>
  <c r="Q29" i="1"/>
  <c r="J41" i="5" s="1"/>
  <c r="J43" i="5" s="1"/>
  <c r="Q26" i="1"/>
  <c r="P25" i="1"/>
  <c r="I35" i="5" s="1"/>
  <c r="I37" i="5" s="1"/>
  <c r="X34" i="1" l="1"/>
  <c r="X92" i="1" s="1"/>
  <c r="U4" i="10"/>
  <c r="P38" i="11"/>
  <c r="O41" i="11"/>
  <c r="S61" i="5"/>
  <c r="R64" i="5"/>
  <c r="R29" i="1"/>
  <c r="K41" i="5" s="1"/>
  <c r="K43" i="5" s="1"/>
  <c r="R26" i="1"/>
  <c r="Q25" i="1"/>
  <c r="J35" i="5" s="1"/>
  <c r="J37" i="5" s="1"/>
  <c r="Q38" i="11" l="1"/>
  <c r="P41" i="11"/>
  <c r="Y34" i="1"/>
  <c r="V4" i="10"/>
  <c r="T61" i="5"/>
  <c r="S64" i="5"/>
  <c r="S29" i="1"/>
  <c r="T29" i="1" s="1"/>
  <c r="U29" i="1" s="1"/>
  <c r="V29" i="1" s="1"/>
  <c r="S26" i="1"/>
  <c r="R25" i="1"/>
  <c r="K35" i="5" s="1"/>
  <c r="K37" i="5" s="1"/>
  <c r="W4" i="10" l="1"/>
  <c r="Y92" i="1"/>
  <c r="E3" i="9" a="1"/>
  <c r="E14" i="9" s="1"/>
  <c r="E2" i="12" a="1"/>
  <c r="R38" i="11"/>
  <c r="Q41" i="11"/>
  <c r="T64" i="5"/>
  <c r="U61" i="5"/>
  <c r="T26" i="1"/>
  <c r="S25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1" i="5"/>
  <c r="U64" i="5"/>
  <c r="U26" i="1"/>
  <c r="T25" i="1"/>
  <c r="T38" i="11" l="1"/>
  <c r="S41" i="11"/>
  <c r="W61" i="5"/>
  <c r="V64" i="5"/>
  <c r="U25" i="1"/>
  <c r="V26" i="1"/>
  <c r="V25" i="1" s="1"/>
  <c r="AD14" i="1"/>
  <c r="U38" i="11" l="1"/>
  <c r="T41" i="11"/>
  <c r="X61" i="5"/>
  <c r="W64" i="5"/>
  <c r="AC20" i="1"/>
  <c r="AC17" i="1"/>
  <c r="AC14" i="1"/>
  <c r="AC11" i="1"/>
  <c r="L10" i="1"/>
  <c r="K10" i="1"/>
  <c r="J10" i="1"/>
  <c r="I10" i="1"/>
  <c r="H10" i="1"/>
  <c r="G10" i="1"/>
  <c r="F10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5" i="1" l="1"/>
  <c r="K95" i="1"/>
  <c r="J95" i="1"/>
  <c r="I95" i="1"/>
  <c r="H95" i="1"/>
  <c r="G95" i="1"/>
  <c r="F95" i="1"/>
  <c r="G68" i="1"/>
  <c r="H68" i="1"/>
  <c r="I68" i="1"/>
  <c r="J68" i="1"/>
  <c r="K68" i="1"/>
  <c r="L68" i="1"/>
  <c r="L69" i="1" s="1"/>
  <c r="F68" i="1"/>
  <c r="J99" i="1"/>
  <c r="K99" i="1"/>
  <c r="F15" i="7" s="1"/>
  <c r="J15" i="7" s="1"/>
  <c r="J13" i="7" s="1"/>
  <c r="G99" i="1"/>
  <c r="H99" i="1"/>
  <c r="I99" i="1"/>
  <c r="F99" i="1"/>
  <c r="L81" i="1" l="1"/>
  <c r="E68" i="5" s="1"/>
  <c r="J2" i="9" s="1"/>
  <c r="H15" i="7"/>
  <c r="H13" i="7" s="1"/>
  <c r="AJ97" i="1" s="1"/>
  <c r="K15" i="7"/>
  <c r="K13" i="7" s="1"/>
  <c r="F13" i="7"/>
  <c r="G15" i="7"/>
  <c r="G13" i="7" s="1"/>
  <c r="AI97" i="1" s="1"/>
  <c r="I15" i="7"/>
  <c r="I13" i="7" s="1"/>
  <c r="AK97" i="1" s="1"/>
  <c r="K81" i="1"/>
  <c r="T106" i="1"/>
  <c r="T104" i="1" s="1"/>
  <c r="U106" i="1"/>
  <c r="U104" i="1" l="1"/>
  <c r="V104" i="1" s="1"/>
  <c r="O100" i="1"/>
  <c r="P100" i="1" s="1"/>
  <c r="Q100" i="1" s="1"/>
  <c r="R100" i="1" s="1"/>
  <c r="S100" i="1" s="1"/>
  <c r="T100" i="1" s="1"/>
  <c r="U100" i="1" s="1"/>
  <c r="V100" i="1" s="1"/>
  <c r="L15" i="7"/>
  <c r="L13" i="7" s="1"/>
  <c r="AD97" i="1"/>
  <c r="F108" i="1"/>
  <c r="F110" i="1" s="1"/>
  <c r="L46" i="1"/>
  <c r="L6" i="10" l="1"/>
  <c r="G24" i="11" s="1"/>
  <c r="G27" i="11" s="1"/>
  <c r="O97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6" i="1"/>
  <c r="P46" i="1"/>
  <c r="Q46" i="1"/>
  <c r="R46" i="1"/>
  <c r="M6" i="10" l="1"/>
  <c r="H24" i="11" s="1"/>
  <c r="H27" i="11" s="1"/>
  <c r="O90" i="1"/>
  <c r="P97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O69" i="1" l="1"/>
  <c r="P69" i="1" s="1"/>
  <c r="N6" i="10"/>
  <c r="I24" i="11" s="1"/>
  <c r="I27" i="11" s="1"/>
  <c r="P90" i="1"/>
  <c r="F54" i="6"/>
  <c r="Q97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0" i="1"/>
  <c r="AE90" i="1" s="1"/>
  <c r="G54" i="6"/>
  <c r="F56" i="6"/>
  <c r="F58" i="6" s="1"/>
  <c r="R97" i="1"/>
  <c r="AE97" i="1"/>
  <c r="Q6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0" i="1"/>
  <c r="G56" i="6"/>
  <c r="G58" i="6" s="1"/>
  <c r="H54" i="6"/>
  <c r="S97" i="1"/>
  <c r="R69" i="1"/>
  <c r="S69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0" i="1"/>
  <c r="H56" i="6"/>
  <c r="H58" i="6" s="1"/>
  <c r="I54" i="6"/>
  <c r="T97" i="1"/>
  <c r="T69" i="1"/>
  <c r="S81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0" i="1"/>
  <c r="I56" i="6"/>
  <c r="I58" i="6" s="1"/>
  <c r="J54" i="6"/>
  <c r="U97" i="1"/>
  <c r="U69" i="1"/>
  <c r="T81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0" i="1"/>
  <c r="AF90" i="1" s="1"/>
  <c r="M27" i="11"/>
  <c r="K54" i="6"/>
  <c r="K56" i="6" s="1"/>
  <c r="K58" i="6" s="1"/>
  <c r="J56" i="6"/>
  <c r="J58" i="6" s="1"/>
  <c r="O24" i="11"/>
  <c r="N27" i="11"/>
  <c r="V97" i="1"/>
  <c r="AF97" i="1"/>
  <c r="V69" i="1"/>
  <c r="U81" i="1"/>
  <c r="N68" i="5" s="1"/>
  <c r="N71" i="5" s="1"/>
  <c r="O81" i="1"/>
  <c r="P81" i="1"/>
  <c r="Q81" i="1"/>
  <c r="R81" i="1"/>
  <c r="O53" i="1"/>
  <c r="P53" i="1"/>
  <c r="Q53" i="1"/>
  <c r="R53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D55" i="5"/>
  <c r="P35" i="1"/>
  <c r="O35" i="1"/>
  <c r="T6" i="10" l="1"/>
  <c r="V90" i="1"/>
  <c r="V109" i="1" s="1"/>
  <c r="D2" i="12" a="1"/>
  <c r="D3" i="12" s="1"/>
  <c r="P24" i="11"/>
  <c r="O27" i="11"/>
  <c r="D3" i="9" a="1"/>
  <c r="D19" i="9" s="1"/>
  <c r="L49" i="5"/>
  <c r="V81" i="1"/>
  <c r="O68" i="5" s="1"/>
  <c r="O71" i="5" s="1"/>
  <c r="W69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1" i="1" l="1"/>
  <c r="P68" i="5" s="1"/>
  <c r="P71" i="5" s="1"/>
  <c r="X69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X81" i="1" l="1"/>
  <c r="Y69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69" i="1" l="1"/>
  <c r="Z81" i="1" s="1"/>
  <c r="Y81" i="1"/>
  <c r="S24" i="11"/>
  <c r="R27" i="11"/>
  <c r="R71" i="5"/>
  <c r="T24" i="11" l="1"/>
  <c r="S27" i="11"/>
  <c r="T68" i="5"/>
  <c r="S71" i="5"/>
  <c r="G108" i="1"/>
  <c r="G110" i="1" s="1"/>
  <c r="H108" i="1"/>
  <c r="H110" i="1" s="1"/>
  <c r="I108" i="1"/>
  <c r="I110" i="1" s="1"/>
  <c r="J108" i="1"/>
  <c r="J110" i="1" s="1"/>
  <c r="K108" i="1"/>
  <c r="K110" i="1" s="1"/>
  <c r="U24" i="11" l="1"/>
  <c r="T27" i="11"/>
  <c r="U68" i="5"/>
  <c r="T71" i="5"/>
  <c r="AE46" i="1"/>
  <c r="AF46" i="1"/>
  <c r="X42" i="2"/>
  <c r="F47" i="2"/>
  <c r="X41" i="2"/>
  <c r="X40" i="2"/>
  <c r="X38" i="2"/>
  <c r="X37" i="2"/>
  <c r="X36" i="2"/>
  <c r="X35" i="2"/>
  <c r="X34" i="2"/>
  <c r="S42" i="1"/>
  <c r="T42" i="1"/>
  <c r="U42" i="1"/>
  <c r="L49" i="1"/>
  <c r="K49" i="1"/>
  <c r="J49" i="1"/>
  <c r="AD46" i="1"/>
  <c r="G48" i="2"/>
  <c r="AI46" i="1" s="1"/>
  <c r="AI51" i="1" s="1"/>
  <c r="AD35" i="1"/>
  <c r="S18" i="4"/>
  <c r="R45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0" i="1"/>
  <c r="J91" i="1"/>
  <c r="K91" i="1"/>
  <c r="D54" i="5" s="1"/>
  <c r="K50" i="1"/>
  <c r="V68" i="5"/>
  <c r="U71" i="5"/>
  <c r="G47" i="2"/>
  <c r="G32" i="4"/>
  <c r="G33" i="4" s="1"/>
  <c r="K38" i="4"/>
  <c r="K18" i="4" s="1"/>
  <c r="G49" i="2"/>
  <c r="G50" i="2" s="1"/>
  <c r="X43" i="2"/>
  <c r="AF45" i="1"/>
  <c r="Q18" i="4"/>
  <c r="P45" i="1" s="1"/>
  <c r="M6" i="9" s="1"/>
  <c r="S17" i="4"/>
  <c r="R42" i="1" s="1"/>
  <c r="L26" i="4"/>
  <c r="M26" i="4"/>
  <c r="M28" i="4"/>
  <c r="Q17" i="4" l="1"/>
  <c r="P42" i="1" s="1"/>
  <c r="P41" i="1" s="1"/>
  <c r="L6" i="9" s="1"/>
  <c r="W24" i="11"/>
  <c r="V27" i="11"/>
  <c r="R17" i="4"/>
  <c r="Q42" i="1" s="1"/>
  <c r="Q41" i="1" s="1"/>
  <c r="L7" i="9" s="1"/>
  <c r="P17" i="4"/>
  <c r="O42" i="1" s="1"/>
  <c r="O41" i="1" s="1"/>
  <c r="L5" i="9" s="1"/>
  <c r="O17" i="4"/>
  <c r="N42" i="1" s="1"/>
  <c r="W68" i="5"/>
  <c r="V71" i="5"/>
  <c r="R41" i="1"/>
  <c r="L8" i="9" s="1"/>
  <c r="M33" i="4"/>
  <c r="M37" i="4" s="1"/>
  <c r="AF42" i="1"/>
  <c r="L34" i="4"/>
  <c r="L38" i="4"/>
  <c r="L18" i="4" s="1"/>
  <c r="P18" i="4"/>
  <c r="O45" i="1" s="1"/>
  <c r="M5" i="9" s="1"/>
  <c r="O18" i="4"/>
  <c r="R18" i="4"/>
  <c r="Q45" i="1" s="1"/>
  <c r="M7" i="9" s="1"/>
  <c r="N41" i="1" l="1"/>
  <c r="L4" i="9"/>
  <c r="N91" i="1"/>
  <c r="N45" i="1"/>
  <c r="M17" i="4"/>
  <c r="L42" i="1" s="1"/>
  <c r="L41" i="1" s="1"/>
  <c r="L2" i="9" s="1"/>
  <c r="P39" i="1"/>
  <c r="K6" i="9" s="1"/>
  <c r="Q39" i="1"/>
  <c r="K7" i="9" s="1"/>
  <c r="AE42" i="1"/>
  <c r="X24" i="11"/>
  <c r="W27" i="11"/>
  <c r="R39" i="1"/>
  <c r="K8" i="9" s="1"/>
  <c r="O39" i="1"/>
  <c r="K5" i="9" s="1"/>
  <c r="M34" i="4"/>
  <c r="X68" i="5"/>
  <c r="W71" i="5"/>
  <c r="N33" i="4"/>
  <c r="N10" i="4"/>
  <c r="M38" i="4"/>
  <c r="M18" i="4" s="1"/>
  <c r="L45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7" i="1" s="1"/>
  <c r="G20" i="3"/>
  <c r="AJ17" i="1" s="1"/>
  <c r="F20" i="3"/>
  <c r="AI17" i="1" s="1"/>
  <c r="G21" i="3"/>
  <c r="AJ20" i="1" s="1"/>
  <c r="H21" i="3"/>
  <c r="AK20" i="1" s="1"/>
  <c r="I21" i="3"/>
  <c r="J21" i="3"/>
  <c r="K21" i="3"/>
  <c r="L21" i="3"/>
  <c r="M21" i="3"/>
  <c r="N21" i="3"/>
  <c r="O21" i="3"/>
  <c r="P21" i="3"/>
  <c r="Q21" i="3"/>
  <c r="R21" i="3"/>
  <c r="F21" i="3"/>
  <c r="AI20" i="1" s="1"/>
  <c r="G19" i="3"/>
  <c r="AJ11" i="1" s="1"/>
  <c r="H19" i="3"/>
  <c r="AK11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1" i="1" s="1"/>
  <c r="AD11" i="1" s="1"/>
  <c r="G49" i="1"/>
  <c r="H91" i="1"/>
  <c r="I49" i="1"/>
  <c r="F49" i="1"/>
  <c r="AC39" i="1"/>
  <c r="I47" i="2"/>
  <c r="H47" i="2"/>
  <c r="F24" i="2"/>
  <c r="M4" i="9" l="1"/>
  <c r="N108" i="1"/>
  <c r="AF39" i="1"/>
  <c r="AE45" i="1"/>
  <c r="N37" i="4"/>
  <c r="N38" i="4" s="1"/>
  <c r="N18" i="4" s="1"/>
  <c r="L91" i="1"/>
  <c r="E54" i="5" s="1"/>
  <c r="L39" i="1"/>
  <c r="K2" i="9" s="1"/>
  <c r="Y24" i="11"/>
  <c r="X27" i="11"/>
  <c r="F91" i="1"/>
  <c r="G91" i="1"/>
  <c r="G50" i="1"/>
  <c r="H50" i="1"/>
  <c r="I91" i="1"/>
  <c r="I50" i="1"/>
  <c r="J50" i="1"/>
  <c r="Y68" i="5"/>
  <c r="X71" i="5"/>
  <c r="O17" i="1"/>
  <c r="P17" i="1" s="1"/>
  <c r="Q17" i="1" s="1"/>
  <c r="R17" i="1" s="1"/>
  <c r="S17" i="1" s="1"/>
  <c r="T17" i="1" s="1"/>
  <c r="U17" i="1" s="1"/>
  <c r="V17" i="1" s="1"/>
  <c r="AD17" i="1"/>
  <c r="N34" i="4"/>
  <c r="N35" i="4" s="1"/>
  <c r="AD45" i="1"/>
  <c r="L108" i="1"/>
  <c r="L110" i="1" s="1"/>
  <c r="E28" i="5" s="1"/>
  <c r="AE39" i="1"/>
  <c r="H49" i="2"/>
  <c r="H50" i="2" s="1"/>
  <c r="I49" i="2"/>
  <c r="I50" i="2" s="1"/>
  <c r="N110" i="1" l="1"/>
  <c r="N17" i="4"/>
  <c r="Z24" i="11"/>
  <c r="Y27" i="11"/>
  <c r="AD39" i="1"/>
  <c r="Z68" i="5"/>
  <c r="Y71" i="5"/>
  <c r="AE14" i="1"/>
  <c r="AF17" i="1"/>
  <c r="AE17" i="1"/>
  <c r="AC67" i="1"/>
  <c r="AC53" i="1"/>
  <c r="AC34" i="1"/>
  <c r="AC33" i="1"/>
  <c r="AG20" i="1"/>
  <c r="AG17" i="1"/>
  <c r="AG14" i="1"/>
  <c r="AG11" i="1"/>
  <c r="G28" i="5" l="1"/>
  <c r="G31" i="5" s="1"/>
  <c r="AD42" i="1"/>
  <c r="AA24" i="11"/>
  <c r="AA27" i="11" s="1"/>
  <c r="Z27" i="11"/>
  <c r="AJ31" i="1"/>
  <c r="AJ32" i="1" s="1"/>
  <c r="AI31" i="1"/>
  <c r="AI32" i="1" s="1"/>
  <c r="AI33" i="1"/>
  <c r="AK31" i="1"/>
  <c r="AA68" i="5"/>
  <c r="AA71" i="5" s="1"/>
  <c r="Z71" i="5"/>
  <c r="AJ33" i="1"/>
  <c r="AJ49" i="1" s="1"/>
  <c r="AK33" i="1"/>
  <c r="AK49" i="1" s="1"/>
  <c r="AF14" i="1"/>
  <c r="B2" i="12" l="1" a="1"/>
  <c r="B2" i="12" s="1"/>
  <c r="AD20" i="1"/>
  <c r="AI49" i="1"/>
  <c r="AD34" i="1"/>
  <c r="AD51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2" i="1"/>
  <c r="AC49" i="1"/>
  <c r="O20" i="1"/>
  <c r="AD49" i="1"/>
  <c r="AO49" i="1" s="1"/>
  <c r="AE34" i="1"/>
  <c r="F54" i="5" l="1"/>
  <c r="F57" i="5" s="1"/>
  <c r="AN49" i="1"/>
  <c r="P20" i="1"/>
  <c r="O11" i="1"/>
  <c r="AF34" i="1"/>
  <c r="Q20" i="1" l="1"/>
  <c r="AE20" i="1" s="1"/>
  <c r="P11" i="1"/>
  <c r="O10" i="1"/>
  <c r="R20" i="1" l="1"/>
  <c r="Q11" i="1"/>
  <c r="AE11" i="1" s="1"/>
  <c r="P10" i="1"/>
  <c r="S20" i="1" l="1"/>
  <c r="R11" i="1"/>
  <c r="Q10" i="1"/>
  <c r="T20" i="1" l="1"/>
  <c r="S11" i="1"/>
  <c r="R10" i="1"/>
  <c r="U20" i="1" l="1"/>
  <c r="T11" i="1"/>
  <c r="S10" i="1"/>
  <c r="V20" i="1" l="1"/>
  <c r="AF20" i="1"/>
  <c r="U11" i="1"/>
  <c r="T10" i="1"/>
  <c r="U10" i="1" l="1"/>
  <c r="V11" i="1"/>
  <c r="V10" i="1" s="1"/>
  <c r="AF11" i="1"/>
  <c r="G68" i="5" l="1"/>
  <c r="G71" i="5" l="1"/>
  <c r="J4" i="9"/>
  <c r="O109" i="1"/>
  <c r="G21" i="5" s="1"/>
  <c r="G24" i="5" s="1"/>
  <c r="H68" i="5"/>
  <c r="H71" i="5" s="1"/>
  <c r="O92" i="1"/>
  <c r="H47" i="5" s="1"/>
  <c r="H50" i="5" s="1"/>
  <c r="I68" i="5" l="1"/>
  <c r="I71" i="5" s="1"/>
  <c r="P109" i="1"/>
  <c r="H21" i="5" s="1"/>
  <c r="H24" i="5" s="1"/>
  <c r="P92" i="1"/>
  <c r="I47" i="5" s="1"/>
  <c r="I50" i="5" s="1"/>
  <c r="J68" i="5" l="1"/>
  <c r="J71" i="5" s="1"/>
  <c r="Q109" i="1"/>
  <c r="I21" i="5" s="1"/>
  <c r="I24" i="5" s="1"/>
  <c r="Q92" i="1"/>
  <c r="J47" i="5" s="1"/>
  <c r="K47" i="5" l="1"/>
  <c r="K50" i="5" s="1"/>
  <c r="J50" i="5"/>
  <c r="K68" i="5"/>
  <c r="K71" i="5" s="1"/>
  <c r="R92" i="1"/>
  <c r="R109" i="1"/>
  <c r="J21" i="5" s="1"/>
  <c r="J24" i="5" s="1"/>
  <c r="L47" i="5" l="1"/>
  <c r="M47" i="5" s="1"/>
  <c r="N47" i="5" s="1"/>
  <c r="O47" i="5" s="1"/>
  <c r="I3" i="9" a="1"/>
  <c r="I5" i="9" s="1"/>
  <c r="I2" i="12" a="1"/>
  <c r="P47" i="5"/>
  <c r="O50" i="5"/>
  <c r="S109" i="1"/>
  <c r="K21" i="5" s="1"/>
  <c r="K24" i="5" s="1"/>
  <c r="S92" i="1"/>
  <c r="L50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09" i="1"/>
  <c r="L21" i="5" s="1"/>
  <c r="L24" i="5" s="1"/>
  <c r="T92" i="1"/>
  <c r="M50" i="5" s="1"/>
  <c r="R47" i="5" l="1"/>
  <c r="Q50" i="5"/>
  <c r="U92" i="1"/>
  <c r="N50" i="5" s="1"/>
  <c r="U109" i="1"/>
  <c r="M21" i="5" s="1"/>
  <c r="M24" i="5" l="1"/>
  <c r="N21" i="5"/>
  <c r="S47" i="5"/>
  <c r="R50" i="5"/>
  <c r="O95" i="1" l="1"/>
  <c r="O94" i="1" s="1"/>
  <c r="O21" i="5"/>
  <c r="N24" i="5"/>
  <c r="S50" i="5"/>
  <c r="T47" i="5"/>
  <c r="P95" i="1" l="1"/>
  <c r="Q95" i="1" s="1"/>
  <c r="O108" i="1"/>
  <c r="M5" i="10"/>
  <c r="H31" i="11" s="1"/>
  <c r="H34" i="11" s="1"/>
  <c r="L5" i="10"/>
  <c r="G31" i="11" s="1"/>
  <c r="G34" i="11" s="1"/>
  <c r="O24" i="5"/>
  <c r="P21" i="5"/>
  <c r="T50" i="5"/>
  <c r="U47" i="5"/>
  <c r="P94" i="1"/>
  <c r="O110" i="1" l="1"/>
  <c r="H28" i="5" s="1"/>
  <c r="H31" i="5" s="1"/>
  <c r="P108" i="1"/>
  <c r="N5" i="10"/>
  <c r="I31" i="11" s="1"/>
  <c r="I34" i="11" s="1"/>
  <c r="Q21" i="5"/>
  <c r="P24" i="5"/>
  <c r="U50" i="5"/>
  <c r="V47" i="5"/>
  <c r="R95" i="1"/>
  <c r="Q94" i="1"/>
  <c r="P110" i="1" l="1"/>
  <c r="I28" i="5" s="1"/>
  <c r="I31" i="5" s="1"/>
  <c r="Q108" i="1"/>
  <c r="O5" i="10"/>
  <c r="J31" i="11" s="1"/>
  <c r="J34" i="11" s="1"/>
  <c r="R21" i="5"/>
  <c r="Q24" i="5"/>
  <c r="W47" i="5"/>
  <c r="V50" i="5"/>
  <c r="S95" i="1"/>
  <c r="R94" i="1"/>
  <c r="Q110" i="1" l="1"/>
  <c r="J28" i="5" s="1"/>
  <c r="J31" i="5" s="1"/>
  <c r="R108" i="1"/>
  <c r="P5" i="10"/>
  <c r="K31" i="11" s="1"/>
  <c r="K34" i="11" s="1"/>
  <c r="R24" i="5"/>
  <c r="S21" i="5"/>
  <c r="X47" i="5"/>
  <c r="W50" i="5"/>
  <c r="S94" i="1"/>
  <c r="T95" i="1"/>
  <c r="R110" i="1" l="1"/>
  <c r="K28" i="5" s="1"/>
  <c r="K31" i="5" s="1"/>
  <c r="S108" i="1"/>
  <c r="Q5" i="10"/>
  <c r="L31" i="11" s="1"/>
  <c r="S24" i="5"/>
  <c r="T21" i="5"/>
  <c r="Y47" i="5"/>
  <c r="X50" i="5"/>
  <c r="T94" i="1"/>
  <c r="U95" i="1"/>
  <c r="S110" i="1" l="1"/>
  <c r="L28" i="5" s="1"/>
  <c r="L34" i="11"/>
  <c r="M31" i="11"/>
  <c r="T108" i="1"/>
  <c r="T110" i="1" s="1"/>
  <c r="R5" i="10"/>
  <c r="U94" i="1"/>
  <c r="V95" i="1"/>
  <c r="V94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08" i="1"/>
  <c r="V110" i="1" s="1"/>
  <c r="T5" i="10"/>
  <c r="U108" i="1"/>
  <c r="U110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49" i="1"/>
  <c r="O33" i="1" s="1"/>
  <c r="M3" i="10" s="1"/>
  <c r="H45" i="11" s="1"/>
  <c r="H48" i="11" s="1"/>
  <c r="P49" i="1" l="1"/>
  <c r="O91" i="1"/>
  <c r="H54" i="5" s="1"/>
  <c r="H57" i="5" s="1"/>
  <c r="L3" i="10"/>
  <c r="G45" i="11" s="1"/>
  <c r="G48" i="11" s="1"/>
  <c r="Q49" i="1" l="1"/>
  <c r="P33" i="1"/>
  <c r="N3" i="10" s="1"/>
  <c r="I45" i="11" s="1"/>
  <c r="I48" i="11" s="1"/>
  <c r="P91" i="1"/>
  <c r="I54" i="5" s="1"/>
  <c r="I57" i="5" s="1"/>
  <c r="Q33" i="1" l="1"/>
  <c r="O3" i="10" s="1"/>
  <c r="J45" i="11" s="1"/>
  <c r="J48" i="11" s="1"/>
  <c r="Q91" i="1"/>
  <c r="J54" i="5" s="1"/>
  <c r="J57" i="5" s="1"/>
  <c r="R49" i="1"/>
  <c r="AE49" i="1"/>
  <c r="R91" i="1" l="1"/>
  <c r="K54" i="5" s="1"/>
  <c r="S49" i="1"/>
  <c r="R33" i="1"/>
  <c r="P3" i="10" s="1"/>
  <c r="K45" i="11" s="1"/>
  <c r="K48" i="11" l="1"/>
  <c r="L45" i="11"/>
  <c r="S91" i="1"/>
  <c r="S33" i="1"/>
  <c r="Q3" i="10" s="1"/>
  <c r="T49" i="1"/>
  <c r="K57" i="5"/>
  <c r="L54" i="5"/>
  <c r="M54" i="5" l="1"/>
  <c r="L57" i="5"/>
  <c r="T91" i="1"/>
  <c r="T33" i="1"/>
  <c r="R3" i="10" s="1"/>
  <c r="U49" i="1"/>
  <c r="AF49" i="1" s="1"/>
  <c r="M45" i="11"/>
  <c r="L48" i="11"/>
  <c r="M48" i="11" l="1"/>
  <c r="N45" i="11"/>
  <c r="V49" i="1"/>
  <c r="V91" i="1" s="1"/>
  <c r="U33" i="1"/>
  <c r="S3" i="10" s="1"/>
  <c r="U91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tc={1C3C483B-A13F-4658-BF02-3ED1A9E86610}</author>
    <author>tc={D84F0053-F219-4B69-8181-0F12AE7D3FC2}</author>
    <author>tc={3B711313-D2C6-42FC-83C8-BA827015079B}</author>
  </authors>
  <commentList>
    <comment ref="A9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1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7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6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7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8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9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3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4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4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6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7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7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8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8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8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8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9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9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4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3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2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3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9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4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7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8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9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0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0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5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7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102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N107" authorId="21" shapeId="0" xr:uid="{1C3C483B-A13F-4658-BF02-3ED1A9E86610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7" authorId="22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7" authorId="23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<sst xmlns="http://schemas.openxmlformats.org/spreadsheetml/2006/main" count="1011" uniqueCount="381">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</sst>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0" fontId="0" fillId="16" borderId="35" xfId="7" applyNumberFormat="1" applyFont="1" applyFill="1" applyBorder="1"/>
    <xf numFmtId="170" fontId="0" fillId="0" borderId="35" xfId="0" applyNumberFormat="1" applyFill="1" applyBorder="1"/>
    <xf numFmtId="10" fontId="27" fillId="0" borderId="35" xfId="7" applyNumberFormat="1" applyFont="1" applyFill="1" applyBorder="1"/>
    <xf numFmtId="2" fontId="0" fillId="0" borderId="35" xfId="0" applyNumberFormat="1" applyFill="1" applyBorder="1"/>
    <xf numFmtId="10" fontId="25" fillId="0" borderId="33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4" dT="2020-12-22T23:07:42.60" personId="{2D35AFA9-F227-4AE7-B9A7-D673D9D18C70}" id="{D4AA3B3B-1162-4A8A-A155-4B50A107D1DD}">
    <text>adding $12B for the medicare sequester (12B over 4 quarters and then annuzlied)</text>
  </threadedComment>
  <threadedComment ref="O36" dT="2020-12-21T20:20:09.37" personId="{2D35AFA9-F227-4AE7-B9A7-D673D9D18C70}" id="{6CD6C4CA-E498-4D54-9079-67C6684A7737}">
    <text>fiscal hawk: estimate of $166B. and then annualized</text>
  </threadedComment>
  <threadedComment ref="O37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7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8" dT="2020-12-22T18:00:08.03" personId="{2D35AFA9-F227-4AE7-B9A7-D673D9D18C70}" id="{4DB7FB29-2B61-4AD8-B269-05A7FEEBC5BD}">
    <text>CRFB estimates $5B over calendar year 2021</text>
  </threadedComment>
  <threadedComment ref="P38" dT="2020-12-22T18:00:08.03" personId="{2D35AFA9-F227-4AE7-B9A7-D673D9D18C70}" id="{ECAA649D-FAFF-415D-BBA3-8558E7EB5AD8}">
    <text>CRFB estimates $5B over calendar year 2021</text>
  </threadedComment>
  <threadedComment ref="Q38" dT="2020-12-22T18:00:08.03" personId="{2D35AFA9-F227-4AE7-B9A7-D673D9D18C70}" id="{7B8EF2ED-F5A7-446F-B87D-74CEED3214DC}">
    <text>CRFB estimates $5B over calendar year 2021</text>
  </threadedComment>
  <threadedComment ref="R38" dT="2020-12-22T18:00:08.03" personId="{2D35AFA9-F227-4AE7-B9A7-D673D9D18C70}" id="{93445C5E-94EA-423D-BA59-395F985BF92E}">
    <text>CRFB estimates $5B over calendar year 2021</text>
  </threadedComment>
  <threadedComment ref="M39" dT="2020-10-29T15:30:32.00" personId="{2D35AFA9-F227-4AE7-B9A7-D673D9D18C70}" id="{7314685E-335E-47AA-B478-1BA6ABF2BDA3}">
    <text>BEA has 771k for total UI but not including Trump UI. Add trump UI for the real total</text>
  </threadedComment>
  <threadedComment ref="O44" dT="2020-12-21T20:20:53.19" personId="{2D35AFA9-F227-4AE7-B9A7-D673D9D18C70}" id="{299B58A4-BA69-464A-9D14-5A970E50857A}">
    <text>CRFB: estimate of $120B. And then annualized</text>
  </threadedComment>
  <threadedComment ref="O62" dT="2020-12-17T16:13:31.41" personId="{2D35AFA9-F227-4AE7-B9A7-D673D9D18C70}" id="{C5311C2D-4764-4363-AE1C-A82227666FB7}">
    <text>estimated $300 billion next year. over three quarters = 100. annualized ( x4).</text>
  </threadedComment>
  <threadedComment ref="O62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3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9" dT="2020-09-10T19:09:05.64" personId="{2D35AFA9-F227-4AE7-B9A7-D673D9D18C70}" id="{2D81BDF9-A0D8-4A1A-915B-91D32E8E61FF}">
    <text>grow with nom purchases</text>
  </threadedComment>
  <threadedComment ref="L74" dT="2020-10-27T15:26:37.39" personId="{2D35AFA9-F227-4AE7-B9A7-D673D9D18C70}" id="{33EF6DF5-9556-47EC-86E1-A12FDBDC0AA8}">
    <text>CBO indicated 17 for q2? why do we split the quarter 3 payments into q2?</text>
  </threadedComment>
  <threadedComment ref="L74" dT="2020-10-28T16:31:53.35" personId="{2D35AFA9-F227-4AE7-B9A7-D673D9D18C70}" id="{1079BF34-6E2F-4888-8715-72B28B28D9AA}" parentId="{33EF6DF5-9556-47EC-86E1-A12FDBDC0AA8}">
    <text>we're comfortable leaving this as is</text>
  </threadedComment>
  <threadedComment ref="O77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8" dT="2020-12-21T21:00:34.35" personId="{2D35AFA9-F227-4AE7-B9A7-D673D9D18C70}" id="{DA48DE65-66E5-4DD8-819A-2F757A61D389}">
    <text>CRFB: estimates $82B. According to the Louise x Wendy, MPC is 100% over 3 years.</text>
  </threadedComment>
  <threadedComment ref="O79" dT="2020-12-21T21:03:38.65" personId="{2D35AFA9-F227-4AE7-B9A7-D673D9D18C70}" id="{1FC8F5D3-F5DD-4502-A8BF-AD36B99CFAF5}">
    <text>CRFB: estimates $63B. MPC is 100% over 12 quarters and then annualize</text>
  </threadedComment>
  <threadedComment ref="O80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5" dT="2020-09-11T20:43:00.49" personId="{2D35AFA9-F227-4AE7-B9A7-D673D9D18C70}" id="{11731043-8530-4DAC-9476-3C98D0D836BB}">
    <text>grow with S&amp;L nom purchases</text>
  </threadedComment>
  <threadedComment ref="N102" dT="2020-10-29T17:11:18.12" personId="{2D35AFA9-F227-4AE7-B9A7-D673D9D18C70}" id="{DF0EC25E-9AE4-45F2-BCE9-95D46AA2D480}">
    <text>CBO projected is 1.96%</text>
  </threadedComment>
  <threadedComment ref="N107" dT="2020-09-30T15:34:25.90" personId="{2D35AFA9-F227-4AE7-B9A7-D673D9D18C70}" id="{1C3C483B-A13F-4658-BF02-3ED1A9E86610}">
    <text>overide in the fim with 4%</text>
  </threadedComment>
  <threadedComment ref="N107" dT="2020-10-29T16:57:45.80" personId="{2D35AFA9-F227-4AE7-B9A7-D673D9D18C70}" id="{A93597E2-859D-47A1-B6A3-E2F9A0E0817D}" parentId="{1C3C483B-A13F-4658-BF02-3ED1A9E86610}">
    <text>cbo proected it will be 2.3%. should we still ovverride with 4%?</text>
  </threadedComment>
  <threadedComment ref="O107" dT="2020-09-30T15:34:25.90" personId="{2D35AFA9-F227-4AE7-B9A7-D673D9D18C70}" id="{D84F0053-F219-4B69-8181-0F12AE7D3FC2}">
    <text>overide in the fim with 4%</text>
  </threadedComment>
  <threadedComment ref="O107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07" dT="2020-09-30T15:34:25.90" personId="{2D35AFA9-F227-4AE7-B9A7-D673D9D18C70}" id="{3B711313-D2C6-42FC-83C8-BA827015079B}">
    <text>overide in the fim with 4%</text>
  </threadedComment>
  <threadedComment ref="P107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8"/>
  <sheetViews>
    <sheetView zoomScaleNormal="110" workbookViewId="0">
      <pane xSplit="2" ySplit="3" topLeftCell="I35" activePane="bottomRight" state="frozen"/>
      <selection pane="topRight" activeCell="C1" sqref="C1"/>
      <selection pane="bottomLeft" activeCell="A4" sqref="A4"/>
      <selection pane="bottomRight" activeCell="L42" sqref="L42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0" hidden="1" customWidth="1"/>
    <col min="39" max="39" width="8.6640625" style="146"/>
  </cols>
  <sheetData>
    <row r="1" spans="1:43" ht="19" customHeight="1" x14ac:dyDescent="0.25">
      <c r="A1" s="329" t="s">
        <v>372</v>
      </c>
      <c r="B1" s="329"/>
      <c r="C1" s="268"/>
      <c r="D1" s="268"/>
      <c r="E1" s="35"/>
      <c r="N1" t="s">
        <v>374</v>
      </c>
      <c r="AC1" s="335" t="s">
        <v>248</v>
      </c>
      <c r="AD1" s="335"/>
      <c r="AE1" s="333" t="s">
        <v>246</v>
      </c>
      <c r="AF1" s="334"/>
      <c r="AG1" t="s">
        <v>28</v>
      </c>
      <c r="AI1" s="331" t="s">
        <v>279</v>
      </c>
      <c r="AJ1" s="331"/>
      <c r="AK1" s="331"/>
      <c r="AL1" s="331"/>
      <c r="AM1" s="330" t="s">
        <v>277</v>
      </c>
      <c r="AN1" s="330"/>
      <c r="AO1" s="330"/>
      <c r="AP1" s="330"/>
    </row>
    <row r="2" spans="1:43" ht="23" customHeight="1" x14ac:dyDescent="0.2">
      <c r="F2" s="328" t="s">
        <v>21</v>
      </c>
      <c r="G2" s="328"/>
      <c r="H2" s="328"/>
      <c r="I2" s="328"/>
      <c r="J2" s="328" t="s">
        <v>9</v>
      </c>
      <c r="K2" s="328"/>
      <c r="L2" s="328"/>
      <c r="M2" s="328"/>
      <c r="N2" s="328" t="s">
        <v>10</v>
      </c>
      <c r="O2" s="328"/>
      <c r="P2" s="328"/>
      <c r="Q2" s="328"/>
      <c r="R2" s="328" t="s">
        <v>11</v>
      </c>
      <c r="S2" s="328"/>
      <c r="T2" s="328"/>
      <c r="U2" s="328"/>
      <c r="V2" s="328" t="s">
        <v>266</v>
      </c>
      <c r="W2" s="328"/>
      <c r="X2" s="328"/>
      <c r="Y2" s="328"/>
      <c r="Z2" s="221"/>
      <c r="AA2" s="283"/>
      <c r="AB2" s="221"/>
      <c r="AC2" s="328" t="s">
        <v>102</v>
      </c>
      <c r="AD2" s="328"/>
      <c r="AE2" s="328"/>
      <c r="AF2" s="328"/>
      <c r="AG2" s="328"/>
      <c r="AH2" s="328"/>
      <c r="AI2" s="328"/>
      <c r="AJ2" s="328"/>
      <c r="AK2" s="328"/>
      <c r="AL2" s="332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20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9" x14ac:dyDescent="0.25">
      <c r="A4" s="327" t="s">
        <v>262</v>
      </c>
      <c r="B4" s="327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20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v>21956.606754670749</v>
      </c>
      <c r="P5">
        <v>22305.748458849539</v>
      </c>
      <c r="Q5">
        <v>22678.925280344971</v>
      </c>
      <c r="R5">
        <v>22928.869417001941</v>
      </c>
      <c r="S5">
        <v>23157.624700235021</v>
      </c>
      <c r="T5">
        <v>23384.060805481411</v>
      </c>
      <c r="U5">
        <v>23620.8277944867</v>
      </c>
      <c r="V5">
        <v>23861.073550472051</v>
      </c>
      <c r="W5">
        <v>24102.584312631949</v>
      </c>
      <c r="X5">
        <v>24334.080442576571</v>
      </c>
      <c r="Y5">
        <v>24582.12706997171</v>
      </c>
      <c r="Z5">
        <v>24844.299599649439</v>
      </c>
      <c r="AC5" s="190"/>
      <c r="AD5" s="320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0">H5/G5-1</f>
        <v>1.016324655581502E-2</v>
      </c>
      <c r="I6" s="200">
        <f t="shared" si="0"/>
        <v>9.864087501582075E-3</v>
      </c>
      <c r="J6" s="200">
        <f t="shared" si="0"/>
        <v>9.6145364734938621E-3</v>
      </c>
      <c r="K6" s="200">
        <f t="shared" si="0"/>
        <v>-8.5665412876942959E-3</v>
      </c>
      <c r="L6" s="200">
        <f t="shared" si="0"/>
        <v>-9.4661218583467432E-2</v>
      </c>
      <c r="M6" s="302">
        <v>8.4538501339644911E-2</v>
      </c>
      <c r="N6" s="302">
        <f t="shared" si="0"/>
        <v>1.4605366952759269E-2</v>
      </c>
      <c r="O6" s="175">
        <v>1.6584913488054201E-2</v>
      </c>
      <c r="P6" s="175">
        <v>1.59014417883361E-2</v>
      </c>
      <c r="Q6" s="175">
        <v>1.6730073962050201E-2</v>
      </c>
      <c r="R6" s="175">
        <v>1.1020986822227701E-2</v>
      </c>
      <c r="S6" s="175">
        <v>9.9767362739417997E-3</v>
      </c>
      <c r="T6" s="175">
        <v>9.7780367450246396E-3</v>
      </c>
      <c r="U6" s="175">
        <v>1.0125144258511101E-2</v>
      </c>
      <c r="V6" s="175">
        <v>1.01709287276299E-2</v>
      </c>
      <c r="W6" s="175">
        <v>1.0121537978961599E-2</v>
      </c>
      <c r="X6" s="175">
        <v>9.6046186144156404E-3</v>
      </c>
      <c r="Y6" s="175">
        <v>1.0193384047548999E-2</v>
      </c>
      <c r="Z6" s="175">
        <v>1.0665168597146399E-2</v>
      </c>
      <c r="AA6" s="172"/>
      <c r="AB6" s="172"/>
      <c r="AC6" s="172"/>
      <c r="AD6" s="323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90"/>
      <c r="AD7" s="320"/>
      <c r="AE7" s="178"/>
      <c r="AF7" s="190"/>
      <c r="AG7" s="189"/>
      <c r="AH7" s="189"/>
      <c r="AI7" s="181"/>
      <c r="AJ7" s="181"/>
      <c r="AK7" s="97"/>
      <c r="AL7" s="97"/>
    </row>
    <row r="8" spans="1:43" x14ac:dyDescent="0.2">
      <c r="F8" s="197"/>
      <c r="G8" s="197"/>
      <c r="H8" s="197"/>
      <c r="I8" s="197"/>
      <c r="J8" s="197"/>
      <c r="K8" s="197"/>
      <c r="L8" s="197"/>
      <c r="M8" s="301"/>
      <c r="N8" s="301"/>
      <c r="AC8" s="190"/>
      <c r="AD8" s="320"/>
      <c r="AE8" s="178"/>
      <c r="AF8" s="190"/>
      <c r="AG8" s="189"/>
      <c r="AH8" s="189"/>
      <c r="AI8" s="181"/>
      <c r="AJ8" s="181"/>
      <c r="AK8" s="97"/>
      <c r="AL8" s="97"/>
    </row>
    <row r="9" spans="1:43" x14ac:dyDescent="0.2">
      <c r="A9" t="s">
        <v>1</v>
      </c>
      <c r="F9" s="197"/>
      <c r="G9" s="197"/>
      <c r="H9" s="197"/>
      <c r="I9" s="197"/>
      <c r="J9" s="197"/>
      <c r="K9" s="197"/>
      <c r="L9" s="197"/>
      <c r="M9" s="301"/>
      <c r="N9" s="301"/>
      <c r="AD9" s="95"/>
      <c r="AE9" s="146"/>
      <c r="AI9" s="146"/>
      <c r="AJ9" s="146"/>
    </row>
    <row r="10" spans="1:43" x14ac:dyDescent="0.2">
      <c r="A10" s="176" t="s">
        <v>257</v>
      </c>
      <c r="F10" s="198">
        <f>F11+F14+F17</f>
        <v>3178</v>
      </c>
      <c r="G10" s="198">
        <f t="shared" ref="G10:V10" si="1">G11+G14+G17</f>
        <v>3259.5</v>
      </c>
      <c r="H10" s="198">
        <f t="shared" si="1"/>
        <v>3269.2</v>
      </c>
      <c r="I10" s="198">
        <f t="shared" si="1"/>
        <v>3290.6</v>
      </c>
      <c r="J10" s="198">
        <f t="shared" si="1"/>
        <v>3336.3</v>
      </c>
      <c r="K10" s="198">
        <f t="shared" si="1"/>
        <v>3376.8</v>
      </c>
      <c r="L10" s="198">
        <f t="shared" si="1"/>
        <v>3091.4840000000004</v>
      </c>
      <c r="M10" s="301">
        <v>3262.3</v>
      </c>
      <c r="N10" s="322">
        <f t="shared" ref="N10" si="2">N11+N14+N17</f>
        <v>3313.2</v>
      </c>
      <c r="O10" s="167">
        <f t="shared" si="1"/>
        <v>3442.8797500000001</v>
      </c>
      <c r="P10" s="167">
        <f t="shared" si="1"/>
        <v>3475.6492951999999</v>
      </c>
      <c r="Q10" s="167">
        <f t="shared" si="1"/>
        <v>3508.8900570496003</v>
      </c>
      <c r="R10" s="167">
        <f t="shared" si="1"/>
        <v>3571.579403677184</v>
      </c>
      <c r="S10" s="167">
        <f t="shared" si="1"/>
        <v>3612.8068631467881</v>
      </c>
      <c r="T10" s="167">
        <f t="shared" si="1"/>
        <v>3654.6670638284013</v>
      </c>
      <c r="U10" s="167">
        <f t="shared" si="1"/>
        <v>3697.1751517988364</v>
      </c>
      <c r="V10" s="167">
        <f t="shared" si="1"/>
        <v>3771.1186548348132</v>
      </c>
      <c r="W10" s="168"/>
      <c r="AD10" s="95"/>
      <c r="AE10" s="146"/>
      <c r="AI10" s="146"/>
      <c r="AJ10" s="146"/>
    </row>
    <row r="11" spans="1:43" x14ac:dyDescent="0.2">
      <c r="A11" s="211" t="s">
        <v>25</v>
      </c>
      <c r="B11" t="s">
        <v>281</v>
      </c>
      <c r="C11" t="s">
        <v>294</v>
      </c>
      <c r="D11"/>
      <c r="F11" s="198">
        <v>1634.2</v>
      </c>
      <c r="G11" s="198">
        <v>1695.5</v>
      </c>
      <c r="H11" s="198">
        <v>1703.1</v>
      </c>
      <c r="I11" s="198">
        <v>1713.2</v>
      </c>
      <c r="J11" s="198">
        <v>1740.2</v>
      </c>
      <c r="K11" s="198">
        <v>1756.6</v>
      </c>
      <c r="L11" s="198">
        <v>1599.3</v>
      </c>
      <c r="M11" s="301">
        <v>1687.4</v>
      </c>
      <c r="N11" s="322">
        <f>VLOOKUP($C$11,'Haver NA'!$A$1:$J$34,10,0)</f>
        <v>1710.3</v>
      </c>
      <c r="O11" s="168">
        <f>N11*(1+O13)</f>
        <v>1816.3386</v>
      </c>
      <c r="P11" s="168">
        <f t="shared" ref="P11:U11" si="3">O11*(1+P13)</f>
        <v>1830.8693088</v>
      </c>
      <c r="Q11" s="168">
        <f t="shared" si="3"/>
        <v>1845.5162632704</v>
      </c>
      <c r="R11" s="168">
        <f t="shared" si="3"/>
        <v>1863.9714259031041</v>
      </c>
      <c r="S11" s="168">
        <f t="shared" si="3"/>
        <v>1882.6111401621351</v>
      </c>
      <c r="T11" s="168">
        <f t="shared" si="3"/>
        <v>1901.4372515637565</v>
      </c>
      <c r="U11" s="168">
        <f t="shared" si="3"/>
        <v>1920.4516240793942</v>
      </c>
      <c r="V11" s="168">
        <f>U11*(1+V13)</f>
        <v>1958.8606565609821</v>
      </c>
      <c r="W11" s="168"/>
      <c r="X11" s="44"/>
      <c r="Y11" s="44"/>
      <c r="Z11" s="44"/>
      <c r="AA11" s="44"/>
      <c r="AB11" s="44"/>
      <c r="AC11" s="44">
        <f>AVERAGE(F11:I11)</f>
        <v>1686.4999999999998</v>
      </c>
      <c r="AD11" s="324">
        <f>AVERAGE(J11,K11,L11,M11)</f>
        <v>1695.875</v>
      </c>
      <c r="AE11" s="179">
        <f>AVERAGE(N11:Q11)</f>
        <v>1800.7560430175999</v>
      </c>
      <c r="AF11" s="45">
        <f>AVERAGE(R11:U11)</f>
        <v>1892.1178604270976</v>
      </c>
      <c r="AG11" s="3">
        <f>AVERAGE(F11:I11)</f>
        <v>1686.4999999999998</v>
      </c>
      <c r="AH11">
        <v>1653</v>
      </c>
      <c r="AI11" s="182">
        <f>$AC11/'figuring NIPA tax changes'!$E19*'figuring NIPA tax changes'!F19</f>
        <v>1649.4616519302829</v>
      </c>
      <c r="AJ11" s="182">
        <f>$AC11/'figuring NIPA tax changes'!$E19*'figuring NIPA tax changes'!G19</f>
        <v>1678.1639909491882</v>
      </c>
      <c r="AK11" s="3">
        <f>$AC11/'figuring NIPA tax changes'!$E19*'figuring NIPA tax changes'!H19</f>
        <v>1762.3300952873258</v>
      </c>
      <c r="AL11" s="3"/>
    </row>
    <row r="12" spans="1:43" x14ac:dyDescent="0.2">
      <c r="A12" s="212" t="s">
        <v>377</v>
      </c>
      <c r="C12"/>
      <c r="D12"/>
      <c r="F12" s="198"/>
      <c r="G12" s="198"/>
      <c r="H12" s="198"/>
      <c r="I12" s="198"/>
      <c r="J12" s="198"/>
      <c r="K12" s="198"/>
      <c r="L12" s="198"/>
      <c r="M12" s="301"/>
      <c r="N12" s="322"/>
      <c r="O12" s="175">
        <v>4.3314158288976197E-3</v>
      </c>
      <c r="P12" s="175">
        <v>4.3127355777503604E-3</v>
      </c>
      <c r="Q12" s="175">
        <v>4.2942157606606903E-3</v>
      </c>
      <c r="R12" s="175">
        <v>1.2538420626855101E-2</v>
      </c>
      <c r="S12" s="175">
        <v>1.23831554155671E-2</v>
      </c>
      <c r="T12" s="175">
        <v>1.22316885156828E-2</v>
      </c>
      <c r="U12" s="175">
        <v>1.20838822321585E-2</v>
      </c>
      <c r="V12" s="175">
        <v>1.2600908344585699E-2</v>
      </c>
      <c r="W12" s="175">
        <v>1.24441013638688E-2</v>
      </c>
      <c r="X12" s="175">
        <v>1.2291149059098901E-2</v>
      </c>
      <c r="Y12" s="175">
        <v>1.2141911020879101E-2</v>
      </c>
      <c r="Z12" s="175">
        <v>9.0474778965847803E-3</v>
      </c>
      <c r="AA12" s="44"/>
      <c r="AB12" s="44"/>
      <c r="AC12" s="44"/>
      <c r="AD12" s="324"/>
      <c r="AE12" s="179"/>
      <c r="AF12" s="45"/>
      <c r="AG12" s="3"/>
      <c r="AI12" s="182"/>
      <c r="AJ12" s="182"/>
      <c r="AK12" s="3"/>
      <c r="AL12" s="3"/>
    </row>
    <row r="13" spans="1:43" s="170" customFormat="1" x14ac:dyDescent="0.2">
      <c r="A13" s="212" t="s">
        <v>373</v>
      </c>
      <c r="C13" s="269"/>
      <c r="D13" s="269"/>
      <c r="F13" s="199"/>
      <c r="G13" s="199"/>
      <c r="H13" s="199"/>
      <c r="I13" s="199"/>
      <c r="J13" s="199"/>
      <c r="K13" s="199"/>
      <c r="L13" s="199"/>
      <c r="M13" s="301"/>
      <c r="N13" s="302"/>
      <c r="O13" s="175">
        <v>6.2E-2</v>
      </c>
      <c r="P13" s="175">
        <v>8.0000000000000002E-3</v>
      </c>
      <c r="Q13" s="175">
        <v>8.0000000000000002E-3</v>
      </c>
      <c r="R13" s="175">
        <v>0.01</v>
      </c>
      <c r="S13" s="175">
        <v>0.01</v>
      </c>
      <c r="T13" s="175">
        <v>0.01</v>
      </c>
      <c r="U13" s="175">
        <v>0.01</v>
      </c>
      <c r="V13" s="175">
        <v>0.02</v>
      </c>
      <c r="W13" s="175"/>
      <c r="X13" s="172"/>
      <c r="Y13" s="172"/>
      <c r="Z13" s="172"/>
      <c r="AA13" s="172"/>
      <c r="AB13" s="172"/>
      <c r="AC13" s="172"/>
      <c r="AD13" s="323"/>
      <c r="AE13" s="180"/>
      <c r="AF13" s="173"/>
      <c r="AG13" s="174"/>
      <c r="AI13" s="183"/>
      <c r="AJ13" s="183"/>
      <c r="AK13" s="174"/>
      <c r="AL13" s="174"/>
      <c r="AM13" s="232"/>
    </row>
    <row r="14" spans="1:43" x14ac:dyDescent="0.2">
      <c r="A14" s="211" t="s">
        <v>26</v>
      </c>
      <c r="B14" t="s">
        <v>281</v>
      </c>
      <c r="C14" t="s">
        <v>295</v>
      </c>
      <c r="D14"/>
      <c r="F14" s="198">
        <v>183.5</v>
      </c>
      <c r="G14" s="198">
        <v>172.1</v>
      </c>
      <c r="H14" s="198">
        <v>168.3</v>
      </c>
      <c r="I14" s="198">
        <v>175.1</v>
      </c>
      <c r="J14" s="198">
        <v>179.2</v>
      </c>
      <c r="K14" s="198">
        <v>183.8</v>
      </c>
      <c r="L14" s="198">
        <v>131.4</v>
      </c>
      <c r="M14" s="301">
        <v>144.69999999999999</v>
      </c>
      <c r="N14" s="322">
        <f>VLOOKUP($C$14,'Haver NA'!$A$1:$J$34,10,0)</f>
        <v>151.30000000000001</v>
      </c>
      <c r="O14" s="168">
        <f>N14*(1+O16)</f>
        <v>163.32835</v>
      </c>
      <c r="P14" s="168">
        <f t="shared" ref="P14:V14" si="4">O14*(1+P16)</f>
        <v>169.86148400000002</v>
      </c>
      <c r="Q14" s="168">
        <f t="shared" si="4"/>
        <v>176.65594336000004</v>
      </c>
      <c r="R14" s="168">
        <f t="shared" si="4"/>
        <v>183.72218109440004</v>
      </c>
      <c r="S14" s="168">
        <f t="shared" si="4"/>
        <v>191.07106833817605</v>
      </c>
      <c r="T14" s="168">
        <f t="shared" si="4"/>
        <v>198.71391107170311</v>
      </c>
      <c r="U14" s="168">
        <f t="shared" si="4"/>
        <v>206.66246751457123</v>
      </c>
      <c r="V14" s="168">
        <f t="shared" si="4"/>
        <v>210.79571686486267</v>
      </c>
      <c r="W14" s="168"/>
      <c r="X14" s="44"/>
      <c r="Y14" s="44"/>
      <c r="Z14" s="44"/>
      <c r="AA14" s="44"/>
      <c r="AB14" s="44"/>
      <c r="AC14" s="44">
        <f>AVERAGE(F14:I14)</f>
        <v>174.75000000000003</v>
      </c>
      <c r="AD14" s="324">
        <f>AVERAGE(J14,K14,L14,M14)</f>
        <v>159.77499999999998</v>
      </c>
      <c r="AE14" s="179">
        <f>AVERAGE(N14:Q14)</f>
        <v>165.28644434</v>
      </c>
      <c r="AF14" s="45">
        <f>AVERAGE(R14:U14)</f>
        <v>195.04240700471263</v>
      </c>
      <c r="AG14" s="3">
        <f>AVERAGE(F14:I14)</f>
        <v>174.75000000000003</v>
      </c>
      <c r="AH14">
        <v>173</v>
      </c>
      <c r="AI14" s="182"/>
      <c r="AJ14" s="182"/>
      <c r="AK14" s="3"/>
      <c r="AL14" s="3"/>
      <c r="AM14" s="233"/>
      <c r="AN14" s="35"/>
      <c r="AO14" s="35"/>
      <c r="AP14" s="35"/>
      <c r="AQ14" s="35"/>
    </row>
    <row r="15" spans="1:43" x14ac:dyDescent="0.2">
      <c r="A15" s="212" t="s">
        <v>377</v>
      </c>
      <c r="C15"/>
      <c r="D15"/>
      <c r="F15" s="198"/>
      <c r="G15" s="198"/>
      <c r="H15" s="198"/>
      <c r="I15" s="198"/>
      <c r="J15" s="198"/>
      <c r="K15" s="198"/>
      <c r="L15" s="198"/>
      <c r="M15" s="301"/>
      <c r="N15" s="322"/>
      <c r="O15">
        <v>1.4305288079133199E-2</v>
      </c>
      <c r="P15">
        <v>1.4103532976963901E-2</v>
      </c>
      <c r="Q15">
        <v>1.3907389648433899E-2</v>
      </c>
      <c r="R15">
        <v>2.4549945053089901E-2</v>
      </c>
      <c r="S15">
        <v>2.3961686954966099E-2</v>
      </c>
      <c r="T15">
        <v>2.34009604658383E-2</v>
      </c>
      <c r="U15">
        <v>2.28658769825529E-2</v>
      </c>
      <c r="V15">
        <v>5.9917976752863504E-3</v>
      </c>
      <c r="W15">
        <v>5.9561098700133801E-3</v>
      </c>
      <c r="X15">
        <v>5.9208446686436203E-3</v>
      </c>
      <c r="Y15">
        <v>5.8859946088443103E-3</v>
      </c>
      <c r="Z15">
        <v>1.79173480907555E-2</v>
      </c>
      <c r="AA15" s="44"/>
      <c r="AB15" s="44"/>
      <c r="AC15" s="44"/>
      <c r="AD15" s="324"/>
      <c r="AE15" s="179"/>
      <c r="AF15" s="45"/>
      <c r="AG15" s="3"/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s="170" customFormat="1" x14ac:dyDescent="0.2">
      <c r="A16" s="212" t="s">
        <v>215</v>
      </c>
      <c r="C16" s="269"/>
      <c r="D16" s="269"/>
      <c r="F16" s="199"/>
      <c r="G16" s="199"/>
      <c r="H16" s="199"/>
      <c r="I16" s="199"/>
      <c r="J16" s="199"/>
      <c r="K16" s="199"/>
      <c r="L16" s="199"/>
      <c r="M16" s="301"/>
      <c r="N16" s="302"/>
      <c r="O16" s="175">
        <v>7.9500000000000001E-2</v>
      </c>
      <c r="P16" s="175">
        <v>0.04</v>
      </c>
      <c r="Q16" s="175">
        <v>0.04</v>
      </c>
      <c r="R16" s="175">
        <v>0.04</v>
      </c>
      <c r="S16" s="175">
        <v>0.04</v>
      </c>
      <c r="T16" s="175">
        <v>0.04</v>
      </c>
      <c r="U16" s="175">
        <v>0.04</v>
      </c>
      <c r="V16" s="175">
        <v>0.02</v>
      </c>
      <c r="W16" s="175"/>
      <c r="X16" s="172"/>
      <c r="Y16" s="172"/>
      <c r="Z16" s="172"/>
      <c r="AA16" s="172"/>
      <c r="AB16" s="172"/>
      <c r="AC16" s="172"/>
      <c r="AD16" s="323"/>
      <c r="AE16" s="325"/>
      <c r="AF16" s="184"/>
      <c r="AG16" s="174"/>
      <c r="AI16" s="182"/>
      <c r="AJ16" s="325"/>
      <c r="AK16" s="184"/>
      <c r="AL16" s="184"/>
      <c r="AM16" s="232"/>
    </row>
    <row r="17" spans="1:39" x14ac:dyDescent="0.2">
      <c r="A17" s="211" t="s">
        <v>27</v>
      </c>
      <c r="B17" t="s">
        <v>281</v>
      </c>
      <c r="C17" t="s">
        <v>296</v>
      </c>
      <c r="D17"/>
      <c r="F17" s="198">
        <v>1360.3</v>
      </c>
      <c r="G17" s="198">
        <v>1391.9</v>
      </c>
      <c r="H17" s="198">
        <v>1397.8</v>
      </c>
      <c r="I17" s="198">
        <v>1402.3</v>
      </c>
      <c r="J17" s="198">
        <v>1416.9</v>
      </c>
      <c r="K17" s="198">
        <v>1436.4</v>
      </c>
      <c r="L17" s="198">
        <v>1360.7840000000001</v>
      </c>
      <c r="M17" s="301">
        <v>1430.2</v>
      </c>
      <c r="N17" s="322">
        <f>VLOOKUP($C$17,'Haver NA'!$A$1:$J$34,10,0)</f>
        <v>1451.6</v>
      </c>
      <c r="O17" s="168">
        <f>N17*(1+O19)</f>
        <v>1463.2128</v>
      </c>
      <c r="P17" s="168">
        <f t="shared" ref="P17:V17" si="5">O17*(1+P19)</f>
        <v>1474.9185024000001</v>
      </c>
      <c r="Q17" s="168">
        <f t="shared" si="5"/>
        <v>1486.7178504192002</v>
      </c>
      <c r="R17" s="168">
        <f t="shared" si="5"/>
        <v>1523.88579667968</v>
      </c>
      <c r="S17" s="168">
        <f t="shared" si="5"/>
        <v>1539.1246546464768</v>
      </c>
      <c r="T17" s="168">
        <f t="shared" si="5"/>
        <v>1554.5159011929416</v>
      </c>
      <c r="U17" s="168">
        <f t="shared" si="5"/>
        <v>1570.061060204871</v>
      </c>
      <c r="V17" s="168">
        <f t="shared" si="5"/>
        <v>1601.4622814089685</v>
      </c>
      <c r="W17" s="168"/>
      <c r="X17" s="44"/>
      <c r="Y17" s="44"/>
      <c r="Z17" s="44"/>
      <c r="AA17" s="44"/>
      <c r="AB17" s="44"/>
      <c r="AC17" s="44">
        <f>AVERAGE(F17:I17)</f>
        <v>1388.075</v>
      </c>
      <c r="AD17" s="324">
        <f>AVERAGE(J17,K17,L17,M17)</f>
        <v>1411.0710000000001</v>
      </c>
      <c r="AE17" s="179">
        <f>AVERAGE(N17:Q17)</f>
        <v>1469.1122882047998</v>
      </c>
      <c r="AF17" s="45">
        <f>AVERAGE(R17:U17)</f>
        <v>1546.8968531809924</v>
      </c>
      <c r="AG17" s="3">
        <f>AVERAGE(F17:I17)</f>
        <v>1388.075</v>
      </c>
      <c r="AH17">
        <v>1395</v>
      </c>
      <c r="AI17" s="182">
        <f>$AC17/'figuring NIPA tax changes'!$E20*'figuring NIPA tax changes'!F20</f>
        <v>1354.69413685124</v>
      </c>
      <c r="AJ17" s="182">
        <f>$AC17/'figuring NIPA tax changes'!$E20*'figuring NIPA tax changes'!G20</f>
        <v>1429.6567868867883</v>
      </c>
      <c r="AK17" s="3">
        <f>$AC17/'figuring NIPA tax changes'!$E20*'figuring NIPA tax changes'!H20</f>
        <v>1517.5549260800469</v>
      </c>
      <c r="AL17" s="3"/>
    </row>
    <row r="18" spans="1:39" x14ac:dyDescent="0.2">
      <c r="A18" s="212" t="s">
        <v>377</v>
      </c>
      <c r="C18"/>
      <c r="D18"/>
      <c r="F18" s="198"/>
      <c r="G18" s="198"/>
      <c r="H18" s="198"/>
      <c r="I18" s="198"/>
      <c r="J18" s="198"/>
      <c r="K18" s="198"/>
      <c r="L18" s="198"/>
      <c r="M18" s="301"/>
      <c r="N18" s="322"/>
      <c r="O18" s="175">
        <v>1.36451053277684E-2</v>
      </c>
      <c r="P18" s="175">
        <v>1.34614227958574E-2</v>
      </c>
      <c r="Q18" s="175">
        <v>1.32826198344294E-2</v>
      </c>
      <c r="R18" s="175">
        <v>1.5370496576392599E-2</v>
      </c>
      <c r="S18" s="175">
        <v>1.5137820754314499E-2</v>
      </c>
      <c r="T18" s="175">
        <v>1.49120842951809E-2</v>
      </c>
      <c r="U18" s="175">
        <v>1.4692981319201199E-2</v>
      </c>
      <c r="V18" s="175">
        <v>1.4482478771249399E-2</v>
      </c>
      <c r="W18" s="175">
        <v>1.4275730802951501E-2</v>
      </c>
      <c r="X18" s="175">
        <v>1.40748027083821E-2</v>
      </c>
      <c r="Y18" s="175">
        <v>1.3879452157564E-2</v>
      </c>
      <c r="Z18" s="175">
        <v>9.0059051138720002E-3</v>
      </c>
      <c r="AA18" s="44"/>
      <c r="AB18" s="44"/>
      <c r="AC18" s="44"/>
      <c r="AD18" s="324"/>
      <c r="AE18" s="179"/>
      <c r="AF18" s="45"/>
      <c r="AG18" s="3"/>
      <c r="AI18" s="182"/>
      <c r="AJ18" s="182"/>
      <c r="AK18" s="3"/>
      <c r="AL18" s="3"/>
    </row>
    <row r="19" spans="1:39" s="170" customFormat="1" x14ac:dyDescent="0.2">
      <c r="A19" s="212" t="s">
        <v>215</v>
      </c>
      <c r="C19" s="269"/>
      <c r="D19" s="269"/>
      <c r="F19" s="199"/>
      <c r="G19" s="199"/>
      <c r="H19" s="199"/>
      <c r="I19" s="199"/>
      <c r="J19" s="199"/>
      <c r="K19" s="199"/>
      <c r="L19" s="199"/>
      <c r="M19" s="301"/>
      <c r="N19" s="302"/>
      <c r="O19" s="175">
        <v>8.0000000000000002E-3</v>
      </c>
      <c r="P19" s="175">
        <v>8.0000000000000002E-3</v>
      </c>
      <c r="Q19" s="175">
        <v>8.0000000000000002E-3</v>
      </c>
      <c r="R19" s="175">
        <v>2.5000000000000001E-2</v>
      </c>
      <c r="S19" s="175">
        <v>0.01</v>
      </c>
      <c r="T19" s="175">
        <v>0.01</v>
      </c>
      <c r="U19" s="175">
        <v>0.01</v>
      </c>
      <c r="V19" s="175">
        <v>0.02</v>
      </c>
      <c r="W19" s="175"/>
      <c r="X19" s="172"/>
      <c r="Y19" s="172"/>
      <c r="Z19" s="172"/>
      <c r="AA19" s="172"/>
      <c r="AB19" s="172"/>
      <c r="AC19" s="172"/>
      <c r="AD19" s="323"/>
      <c r="AE19" s="180"/>
      <c r="AF19" s="173"/>
      <c r="AG19" s="174"/>
      <c r="AI19" s="183"/>
      <c r="AJ19" s="183"/>
      <c r="AK19" s="174"/>
      <c r="AL19" s="174"/>
      <c r="AM19" s="232"/>
    </row>
    <row r="20" spans="1:39" x14ac:dyDescent="0.2">
      <c r="A20" s="176" t="s">
        <v>0</v>
      </c>
      <c r="B20" t="s">
        <v>281</v>
      </c>
      <c r="C20" t="s">
        <v>297</v>
      </c>
      <c r="D20"/>
      <c r="F20" s="198">
        <v>234.7</v>
      </c>
      <c r="G20" s="198">
        <v>213.8</v>
      </c>
      <c r="H20" s="198">
        <v>224.2</v>
      </c>
      <c r="I20" s="198">
        <v>201.6</v>
      </c>
      <c r="J20" s="198">
        <v>229.7</v>
      </c>
      <c r="K20" s="198">
        <v>180.5</v>
      </c>
      <c r="L20" s="198">
        <v>171.5</v>
      </c>
      <c r="M20" s="301">
        <v>207</v>
      </c>
      <c r="N20" s="314">
        <f>M20*(1+N22)</f>
        <v>212.17499999999998</v>
      </c>
      <c r="O20" s="168">
        <f>N20*(1+O22)</f>
        <v>215.35762499999996</v>
      </c>
      <c r="P20" s="168">
        <f t="shared" ref="P20" si="6">O20*(1+P22)</f>
        <v>218.58798937499992</v>
      </c>
      <c r="Q20" s="168">
        <f t="shared" ref="Q20" si="7">P20*(1+Q22)</f>
        <v>221.8668092156249</v>
      </c>
      <c r="R20" s="168">
        <f t="shared" ref="R20" si="8">Q20*(1+R22)</f>
        <v>235.1788177685624</v>
      </c>
      <c r="S20" s="168">
        <f t="shared" ref="S20" si="9">R20*(1+S22)</f>
        <v>249.28954683467614</v>
      </c>
      <c r="T20" s="168">
        <f t="shared" ref="T20" si="10">S20*(1+T22)</f>
        <v>264.2469196447567</v>
      </c>
      <c r="U20" s="168">
        <f t="shared" ref="U20:V20" si="11">T20*(1+U22)</f>
        <v>280.10173482344214</v>
      </c>
      <c r="V20" s="168">
        <f t="shared" si="11"/>
        <v>296.90783891284866</v>
      </c>
      <c r="W20" s="168"/>
      <c r="X20" s="44"/>
      <c r="Y20" s="44"/>
      <c r="Z20" s="44"/>
      <c r="AA20" s="44"/>
      <c r="AB20" s="44"/>
      <c r="AC20" s="44">
        <f>AVERAGE(F20:I20)</f>
        <v>218.57500000000002</v>
      </c>
      <c r="AD20" s="324">
        <f>AVERAGE(J20,K20,L20,M20)</f>
        <v>197.17500000000001</v>
      </c>
      <c r="AE20" s="179">
        <f>AVERAGE(N20:Q20)</f>
        <v>216.99685589765619</v>
      </c>
      <c r="AF20" s="45">
        <f>AVERAGE(R20:U20)</f>
        <v>257.20425476785931</v>
      </c>
      <c r="AG20" s="33">
        <f>AVERAGE(F20:I20)</f>
        <v>218.57500000000002</v>
      </c>
      <c r="AH20" s="34">
        <v>166</v>
      </c>
      <c r="AI20" s="146">
        <f>AC20/'figuring NIPA tax changes'!E10*'figuring NIPA tax changes'!F21</f>
        <v>193.42290277747617</v>
      </c>
      <c r="AJ20" s="146">
        <f>AC20/'figuring NIPA tax changes'!E21*'figuring NIPA tax changes'!G21</f>
        <v>200.10987665313039</v>
      </c>
      <c r="AK20">
        <f>AC20/'figuring NIPA tax changes'!E21*'figuring NIPA tax changes'!H21</f>
        <v>237.052464440053</v>
      </c>
    </row>
    <row r="21" spans="1:39" x14ac:dyDescent="0.2">
      <c r="A21" s="177" t="s">
        <v>377</v>
      </c>
      <c r="C21"/>
      <c r="D21"/>
      <c r="F21" s="198"/>
      <c r="G21" s="198"/>
      <c r="H21" s="198"/>
      <c r="I21" s="198"/>
      <c r="J21" s="198"/>
      <c r="K21" s="198"/>
      <c r="L21" s="198"/>
      <c r="M21" s="301"/>
      <c r="N21" s="314"/>
      <c r="O21" s="175">
        <v>4.7029556586929401E-2</v>
      </c>
      <c r="P21" s="175">
        <v>4.4917124154770303E-2</v>
      </c>
      <c r="Q21" s="175">
        <v>4.2986303043989003E-2</v>
      </c>
      <c r="R21" s="175">
        <v>0.174715967926274</v>
      </c>
      <c r="S21" s="175">
        <v>0.14873039330068899</v>
      </c>
      <c r="T21" s="175">
        <v>0.129473716520494</v>
      </c>
      <c r="U21" s="175">
        <v>0.11463189857959399</v>
      </c>
      <c r="V21" s="175">
        <v>5.8955211121975999E-2</v>
      </c>
      <c r="W21" s="175">
        <v>5.5672997783836803E-2</v>
      </c>
      <c r="X21" s="175">
        <v>5.2736972434371802E-2</v>
      </c>
      <c r="Y21" s="175">
        <v>5.0095108099434703E-2</v>
      </c>
      <c r="Z21" s="175">
        <v>2.5600983120088301E-2</v>
      </c>
      <c r="AA21" s="44"/>
      <c r="AB21" s="44"/>
      <c r="AC21" s="44"/>
      <c r="AD21" s="324"/>
      <c r="AE21" s="324"/>
      <c r="AF21" s="45"/>
      <c r="AG21" s="33"/>
      <c r="AH21" s="34"/>
      <c r="AI21" s="95"/>
      <c r="AJ21" s="95"/>
    </row>
    <row r="22" spans="1:39" s="170" customFormat="1" x14ac:dyDescent="0.2">
      <c r="A22" s="177" t="s">
        <v>215</v>
      </c>
      <c r="C22" s="269"/>
      <c r="D22" s="269"/>
      <c r="F22" s="199"/>
      <c r="G22" s="199"/>
      <c r="H22" s="199"/>
      <c r="I22" s="199"/>
      <c r="J22" s="199"/>
      <c r="K22" s="199"/>
      <c r="L22" s="199"/>
      <c r="M22" s="301"/>
      <c r="N22" s="315">
        <v>2.5000000000000001E-2</v>
      </c>
      <c r="O22" s="175">
        <v>1.4999999999999999E-2</v>
      </c>
      <c r="P22" s="175">
        <v>1.4999999999999999E-2</v>
      </c>
      <c r="Q22" s="175">
        <v>1.4999999999999999E-2</v>
      </c>
      <c r="R22" s="175">
        <v>0.06</v>
      </c>
      <c r="S22" s="175">
        <v>0.06</v>
      </c>
      <c r="T22" s="175">
        <v>0.06</v>
      </c>
      <c r="U22" s="175">
        <v>0.06</v>
      </c>
      <c r="V22" s="175">
        <v>0.06</v>
      </c>
      <c r="W22" s="171"/>
      <c r="X22" s="172"/>
      <c r="Y22" s="172"/>
      <c r="Z22" s="172"/>
      <c r="AA22" s="172"/>
      <c r="AB22" s="172"/>
      <c r="AC22" s="172"/>
      <c r="AD22" s="173"/>
      <c r="AE22" s="173"/>
      <c r="AF22" s="173"/>
      <c r="AG22" s="174"/>
      <c r="AI22" s="174"/>
      <c r="AJ22" s="174"/>
      <c r="AK22" s="174"/>
      <c r="AL22" s="174"/>
      <c r="AM22" s="232"/>
    </row>
    <row r="23" spans="1:39" s="170" customFormat="1" x14ac:dyDescent="0.2">
      <c r="A23" s="169"/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02"/>
      <c r="O23" s="175"/>
      <c r="P23" s="175"/>
      <c r="Q23" s="175"/>
      <c r="R23" s="175"/>
      <c r="S23" s="175"/>
      <c r="T23" s="175"/>
      <c r="U23" s="175"/>
      <c r="V23" s="171"/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t="s">
        <v>263</v>
      </c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x14ac:dyDescent="0.2">
      <c r="A25" s="176" t="s">
        <v>264</v>
      </c>
      <c r="F25" s="203">
        <f>SUM(F26:F28)</f>
        <v>1773.6</v>
      </c>
      <c r="G25" s="203">
        <f t="shared" ref="G25:U25" si="12">SUM(G26:G28)</f>
        <v>1798.8</v>
      </c>
      <c r="H25" s="203">
        <f t="shared" si="12"/>
        <v>1853.9</v>
      </c>
      <c r="I25" s="203">
        <f t="shared" si="12"/>
        <v>1832.2</v>
      </c>
      <c r="J25" s="203">
        <f t="shared" si="12"/>
        <v>1832.4</v>
      </c>
      <c r="K25" s="203">
        <f t="shared" si="12"/>
        <v>1862.4</v>
      </c>
      <c r="L25" s="203">
        <f t="shared" si="12"/>
        <v>1779.8019999999999</v>
      </c>
      <c r="M25" s="301">
        <v>1871.3489999999999</v>
      </c>
      <c r="N25" s="321">
        <f t="shared" ref="N25" si="13">SUM(N26:N28)</f>
        <v>1871.3489999999999</v>
      </c>
      <c r="O25" s="102">
        <f t="shared" si="12"/>
        <v>1902.3851612709568</v>
      </c>
      <c r="P25" s="102">
        <f t="shared" si="12"/>
        <v>1932.635828171901</v>
      </c>
      <c r="Q25" s="102">
        <f t="shared" si="12"/>
        <v>1964.9689685189253</v>
      </c>
      <c r="R25" s="102">
        <f t="shared" si="12"/>
        <v>1986.6248656270586</v>
      </c>
      <c r="S25" s="102">
        <f t="shared" si="12"/>
        <v>2006.4448979866747</v>
      </c>
      <c r="T25" s="102">
        <f t="shared" si="12"/>
        <v>2026.0639899260557</v>
      </c>
      <c r="U25" s="102">
        <f t="shared" si="12"/>
        <v>2046.5781801010316</v>
      </c>
      <c r="V25" s="102">
        <f t="shared" ref="V25" si="14">SUM(V26:V28)</f>
        <v>2067.3937809063618</v>
      </c>
    </row>
    <row r="26" spans="1:39" x14ac:dyDescent="0.2">
      <c r="A26" s="211" t="s">
        <v>22</v>
      </c>
      <c r="C26" t="s">
        <v>298</v>
      </c>
      <c r="D26"/>
      <c r="F26" s="197">
        <v>456.5</v>
      </c>
      <c r="G26" s="197">
        <v>475.2</v>
      </c>
      <c r="H26" s="197">
        <v>519.4</v>
      </c>
      <c r="I26" s="197">
        <v>483.9</v>
      </c>
      <c r="J26" s="197">
        <v>480.9</v>
      </c>
      <c r="K26" s="197">
        <v>495.8</v>
      </c>
      <c r="L26" s="198">
        <v>496.37400000000002</v>
      </c>
      <c r="M26" s="301">
        <v>506.6</v>
      </c>
      <c r="N26" s="321">
        <f>VLOOKUP($C$26,'Haver NA'!$A$1:$I$34,9,0)</f>
        <v>506.6</v>
      </c>
      <c r="O26" s="102">
        <f>N26*(1+O$6)</f>
        <v>515.00191717304835</v>
      </c>
      <c r="P26" s="102">
        <f t="shared" ref="P26:V26" si="15">O26*(1+P$6)</f>
        <v>523.19119017985702</v>
      </c>
      <c r="Q26" s="102">
        <f t="shared" si="15"/>
        <v>531.94421748785908</v>
      </c>
      <c r="R26" s="102">
        <f t="shared" si="15"/>
        <v>537.80676769895297</v>
      </c>
      <c r="S26" s="102">
        <f t="shared" si="15"/>
        <v>543.17232398662645</v>
      </c>
      <c r="T26" s="102">
        <f t="shared" si="15"/>
        <v>548.48348292944809</v>
      </c>
      <c r="U26" s="102">
        <f t="shared" si="15"/>
        <v>554.0369573175193</v>
      </c>
      <c r="V26" s="102">
        <f t="shared" si="15"/>
        <v>559.67202772286873</v>
      </c>
    </row>
    <row r="27" spans="1:39" x14ac:dyDescent="0.2">
      <c r="A27" s="211" t="s">
        <v>23</v>
      </c>
      <c r="C27" t="s">
        <v>299</v>
      </c>
      <c r="D27"/>
      <c r="F27" s="197">
        <v>1295.5</v>
      </c>
      <c r="G27" s="197">
        <v>1301.5999999999999</v>
      </c>
      <c r="H27" s="197">
        <v>1312.4</v>
      </c>
      <c r="I27" s="197">
        <v>1326.5</v>
      </c>
      <c r="J27" s="197">
        <v>1330.4</v>
      </c>
      <c r="K27" s="197">
        <v>1346.2</v>
      </c>
      <c r="L27" s="198">
        <v>1264.3219999999999</v>
      </c>
      <c r="M27" s="301">
        <v>1344.5</v>
      </c>
      <c r="N27" s="321">
        <f>VLOOKUP($C$27,'Haver NA'!$A$1:$I$34,9,0)</f>
        <v>1344.5</v>
      </c>
      <c r="O27" s="102">
        <f>N27*(1+O$6)</f>
        <v>1366.7984161846889</v>
      </c>
      <c r="P27" s="102">
        <f t="shared" ref="P27:V27" si="16">O27*(1+P$6)</f>
        <v>1388.5324816360396</v>
      </c>
      <c r="Q27" s="102">
        <f t="shared" si="16"/>
        <v>1411.7627327525197</v>
      </c>
      <c r="R27" s="102">
        <f t="shared" si="16"/>
        <v>1427.3217512262975</v>
      </c>
      <c r="S27" s="102">
        <f t="shared" si="16"/>
        <v>1441.5617639163429</v>
      </c>
      <c r="T27" s="102">
        <f t="shared" si="16"/>
        <v>1455.6574078141393</v>
      </c>
      <c r="U27" s="102">
        <f t="shared" si="16"/>
        <v>1470.3961490592278</v>
      </c>
      <c r="V27" s="102">
        <f t="shared" si="16"/>
        <v>1485.3514434926908</v>
      </c>
    </row>
    <row r="28" spans="1:39" x14ac:dyDescent="0.2">
      <c r="A28" s="211" t="s">
        <v>24</v>
      </c>
      <c r="C28" t="s">
        <v>300</v>
      </c>
      <c r="D28"/>
      <c r="F28" s="197">
        <v>21.6</v>
      </c>
      <c r="G28" s="197">
        <v>22</v>
      </c>
      <c r="H28" s="197">
        <v>22.1</v>
      </c>
      <c r="I28" s="197">
        <v>21.8</v>
      </c>
      <c r="J28" s="197">
        <v>21.1</v>
      </c>
      <c r="K28" s="197">
        <v>20.399999999999999</v>
      </c>
      <c r="L28" s="198">
        <v>19.106000000000002</v>
      </c>
      <c r="M28" s="301">
        <v>20.248999999999999</v>
      </c>
      <c r="N28" s="321">
        <f>VLOOKUP($C$28,'Haver NA'!$A$1:$I$34,9,0)</f>
        <v>20.248999999999999</v>
      </c>
      <c r="O28" s="102">
        <f>N28*(1+O$6)</f>
        <v>20.584827913219609</v>
      </c>
      <c r="P28" s="102">
        <f t="shared" ref="P28:V28" si="17">O28*(1+P$6)</f>
        <v>20.912156356004587</v>
      </c>
      <c r="Q28" s="102">
        <f t="shared" si="17"/>
        <v>21.262018278546503</v>
      </c>
      <c r="R28" s="102">
        <f t="shared" si="17"/>
        <v>21.496346701808328</v>
      </c>
      <c r="S28" s="102">
        <f t="shared" si="17"/>
        <v>21.710810083705489</v>
      </c>
      <c r="T28" s="102">
        <f t="shared" si="17"/>
        <v>21.923099182468214</v>
      </c>
      <c r="U28" s="102">
        <f t="shared" si="17"/>
        <v>22.145073724284352</v>
      </c>
      <c r="V28" s="102">
        <f t="shared" si="17"/>
        <v>22.370309690802159</v>
      </c>
    </row>
    <row r="29" spans="1:39" x14ac:dyDescent="0.2">
      <c r="A29" s="176" t="s">
        <v>0</v>
      </c>
      <c r="C29" t="s">
        <v>301</v>
      </c>
      <c r="D29"/>
      <c r="F29" s="197">
        <v>63.5</v>
      </c>
      <c r="G29" s="197">
        <v>68.5</v>
      </c>
      <c r="H29" s="197">
        <v>68.7</v>
      </c>
      <c r="I29" s="197">
        <v>69.8</v>
      </c>
      <c r="J29" s="197">
        <v>71</v>
      </c>
      <c r="K29" s="197">
        <v>62.7</v>
      </c>
      <c r="L29" s="197">
        <v>54.2</v>
      </c>
      <c r="M29" s="301">
        <v>90.2</v>
      </c>
      <c r="N29" s="316">
        <f>M29*(1+N6)</f>
        <v>91.517404099138886</v>
      </c>
      <c r="O29" s="102">
        <f>N29*(1+O6)</f>
        <v>93.035212328774406</v>
      </c>
      <c r="P29" s="102">
        <f t="shared" ref="P29:V29" si="18">O29*(1+P6)</f>
        <v>94.514606341885894</v>
      </c>
      <c r="Q29" s="102">
        <f t="shared" si="18"/>
        <v>96.095842696479707</v>
      </c>
      <c r="R29" s="102">
        <f t="shared" si="18"/>
        <v>97.154913712508474</v>
      </c>
      <c r="S29" s="102">
        <f t="shared" si="18"/>
        <v>98.124202664335741</v>
      </c>
      <c r="T29" s="102">
        <f t="shared" si="18"/>
        <v>99.083664723563857</v>
      </c>
      <c r="U29" s="102">
        <f t="shared" si="18"/>
        <v>100.08690112255188</v>
      </c>
      <c r="V29" s="102">
        <f t="shared" si="18"/>
        <v>101.10487786043869</v>
      </c>
    </row>
    <row r="30" spans="1:39" s="185" customFormat="1" ht="12" x14ac:dyDescent="0.15">
      <c r="A30" s="177" t="s">
        <v>265</v>
      </c>
      <c r="F30" s="209">
        <f t="shared" ref="F30:L30" si="19">F29/F20</f>
        <v>0.27055815935236471</v>
      </c>
      <c r="G30" s="209">
        <f t="shared" si="19"/>
        <v>0.32039289055191766</v>
      </c>
      <c r="H30" s="209">
        <f t="shared" si="19"/>
        <v>0.30642283675289922</v>
      </c>
      <c r="I30" s="209">
        <f t="shared" si="19"/>
        <v>0.34623015873015872</v>
      </c>
      <c r="J30" s="209">
        <f t="shared" si="19"/>
        <v>0.30909882455376581</v>
      </c>
      <c r="K30" s="209">
        <f t="shared" si="19"/>
        <v>0.3473684210526316</v>
      </c>
      <c r="L30" s="209">
        <f t="shared" si="19"/>
        <v>0.31603498542274056</v>
      </c>
      <c r="M30" s="209">
        <v>0.43574879227053143</v>
      </c>
      <c r="N30" s="317">
        <f t="shared" ref="N30" si="20">N29/N20</f>
        <v>0.43132981783498947</v>
      </c>
      <c r="O30" s="193"/>
      <c r="P30" s="193"/>
      <c r="Q30" s="193"/>
      <c r="R30" s="193"/>
      <c r="S30" s="193"/>
      <c r="T30" s="193"/>
      <c r="U30" s="193"/>
      <c r="AM30" s="234"/>
    </row>
    <row r="31" spans="1:39" s="170" customFormat="1" x14ac:dyDescent="0.2">
      <c r="A31" s="194"/>
      <c r="B31" s="195"/>
      <c r="C31" s="269"/>
      <c r="D31" s="269"/>
      <c r="F31" s="199"/>
      <c r="G31" s="199"/>
      <c r="H31" s="199"/>
      <c r="I31" s="199"/>
      <c r="J31" s="199"/>
      <c r="K31" s="199"/>
      <c r="L31" s="199"/>
      <c r="M31" s="301"/>
      <c r="N31" s="302"/>
      <c r="O31" s="175"/>
      <c r="P31" s="175"/>
      <c r="Q31" s="175"/>
      <c r="R31" s="175"/>
      <c r="S31" s="175"/>
      <c r="T31" s="175"/>
      <c r="U31" s="175"/>
      <c r="V31" s="171"/>
      <c r="W31" s="171"/>
      <c r="X31" s="172"/>
      <c r="Y31" s="172"/>
      <c r="Z31" s="172"/>
      <c r="AA31" s="172"/>
      <c r="AB31" s="172"/>
      <c r="AC31" s="172"/>
      <c r="AD31" s="173"/>
      <c r="AE31" s="173"/>
      <c r="AF31" s="173"/>
      <c r="AG31" s="174"/>
      <c r="AI31" s="174">
        <f>$AC$33*('figuring out social benefits'!G47/'figuring out social benefits'!$F$47)</f>
        <v>3428.146799249083</v>
      </c>
      <c r="AJ31" s="174">
        <f>$AC$33*('figuring out social benefits'!H47/'figuring out social benefits'!$F$47)</f>
        <v>2649.6527204036238</v>
      </c>
      <c r="AK31" s="174">
        <f>$AC$33*('figuring out social benefits'!I47/'figuring out social benefits'!$F$47)</f>
        <v>2766.2949511126526</v>
      </c>
      <c r="AL31" s="174"/>
      <c r="AM31" s="232"/>
    </row>
    <row r="32" spans="1:39" x14ac:dyDescent="0.2">
      <c r="F32" s="197"/>
      <c r="G32" s="197"/>
      <c r="H32" s="197"/>
      <c r="I32" s="197"/>
      <c r="J32" s="197"/>
      <c r="K32" s="197"/>
      <c r="L32" s="201"/>
      <c r="M32" s="301"/>
      <c r="N32" s="306"/>
      <c r="O32" s="88"/>
      <c r="P32" s="88"/>
      <c r="Q32" s="88"/>
      <c r="AG32" s="3"/>
      <c r="AI32" s="3">
        <f>AI31-47</f>
        <v>3381.146799249083</v>
      </c>
      <c r="AJ32" s="3">
        <f>AJ31+47</f>
        <v>2696.6527204036238</v>
      </c>
    </row>
    <row r="33" spans="1:39" ht="16" x14ac:dyDescent="0.2">
      <c r="A33" s="86" t="s">
        <v>14</v>
      </c>
      <c r="B33" t="s">
        <v>281</v>
      </c>
      <c r="C33" t="s">
        <v>302</v>
      </c>
      <c r="D33"/>
      <c r="F33" s="202">
        <v>2220523</v>
      </c>
      <c r="G33" s="202">
        <v>2298792</v>
      </c>
      <c r="H33" s="202">
        <v>2315842</v>
      </c>
      <c r="I33" s="202">
        <v>2331428</v>
      </c>
      <c r="J33" s="202">
        <v>2347737</v>
      </c>
      <c r="K33" s="202">
        <v>2422546</v>
      </c>
      <c r="L33" s="202">
        <v>4815254</v>
      </c>
      <c r="M33" s="303">
        <v>3494888</v>
      </c>
      <c r="N33" s="303">
        <f>VLOOKUP($C$33,'Haver NA'!$A$1:$J$34,10,0)</f>
        <v>2925056</v>
      </c>
      <c r="O33" s="133">
        <f t="shared" ref="O33:U33" si="21">O34+O39+O49</f>
        <v>3270456.7169724014</v>
      </c>
      <c r="P33" s="133">
        <f t="shared" si="21"/>
        <v>2708796.7165770018</v>
      </c>
      <c r="Q33" s="133">
        <f t="shared" si="21"/>
        <v>2611509.6718853824</v>
      </c>
      <c r="R33" s="133">
        <f t="shared" si="21"/>
        <v>2678465.9441347551</v>
      </c>
      <c r="S33" s="133">
        <f t="shared" si="21"/>
        <v>2735176.6542439447</v>
      </c>
      <c r="T33" s="133">
        <f t="shared" si="21"/>
        <v>2793300.2519227522</v>
      </c>
      <c r="U33" s="133">
        <f t="shared" si="21"/>
        <v>2852876.3150512893</v>
      </c>
      <c r="V33" s="87"/>
      <c r="W33" s="44"/>
      <c r="X33" s="3"/>
      <c r="Y33" s="3"/>
      <c r="Z33" s="3"/>
      <c r="AA33" s="3"/>
      <c r="AB33" s="3"/>
      <c r="AC33" s="3">
        <f>AVERAGE(F33:I33)/1000</f>
        <v>2291.6462499999998</v>
      </c>
      <c r="AD33" s="45"/>
      <c r="AE33" s="45"/>
      <c r="AF33" s="45"/>
      <c r="AH33">
        <v>2286.6999999999998</v>
      </c>
      <c r="AI33" s="32">
        <f>$AC33/'figuring out social benefits'!$F47*'figuring out social benefits'!G49+'figuring out social benefits'!G50-47</f>
        <v>3320.7721322167745</v>
      </c>
      <c r="AJ33" s="32">
        <f>$AC33/'figuring out social benefits'!$F47*'figuring out social benefits'!H49+'figuring out social benefits'!H50+46</f>
        <v>2675.6800557811207</v>
      </c>
      <c r="AK33" s="32">
        <f>$AC33/'figuring out social benefits'!$F47*'figuring out social benefits'!I49+'figuring out social benefits'!I50*0.9</f>
        <v>2725.1688956203648</v>
      </c>
      <c r="AL33" s="32"/>
      <c r="AM33" s="146" t="s">
        <v>29</v>
      </c>
    </row>
    <row r="34" spans="1:39" ht="16" x14ac:dyDescent="0.2">
      <c r="A34" s="86" t="s">
        <v>3</v>
      </c>
      <c r="B34" t="s">
        <v>281</v>
      </c>
      <c r="C34" t="s">
        <v>303</v>
      </c>
      <c r="D34"/>
      <c r="F34" s="202">
        <v>753311</v>
      </c>
      <c r="G34" s="202">
        <v>767353</v>
      </c>
      <c r="H34" s="202">
        <v>779707</v>
      </c>
      <c r="I34" s="202">
        <v>789893</v>
      </c>
      <c r="J34" s="202">
        <v>797912</v>
      </c>
      <c r="K34" s="202">
        <v>804655</v>
      </c>
      <c r="L34" s="202">
        <v>824058</v>
      </c>
      <c r="M34" s="301">
        <v>842733</v>
      </c>
      <c r="N34" s="303">
        <f>VLOOKUP($C$34,'Haver NA'!$A$1:$J$34,10,0)</f>
        <v>860594</v>
      </c>
      <c r="O34" s="87">
        <f>N34*((($AJ$34/$AI$34)^0.25))+12000</f>
        <v>883132.91447240114</v>
      </c>
      <c r="P34" s="87">
        <f>O34*((($AJ$34/$AI$34)^0.25))+12000</f>
        <v>905947.84259575198</v>
      </c>
      <c r="Q34" s="87">
        <f>P34*((($AJ$34/$AI$34)^0.25))+12000</f>
        <v>929042.16445899184</v>
      </c>
      <c r="R34" s="87">
        <f>Q34*((($AK$34/$AJ$34)^0.25))+12000</f>
        <v>971421.42409696849</v>
      </c>
      <c r="S34" s="87">
        <f>R34*((($AK$34/$AJ$34)^0.25))</f>
        <v>1003186.4664055918</v>
      </c>
      <c r="T34" s="87">
        <f>S34*((($AK$34/$AJ$34)^0.25))</f>
        <v>1035990.2112668242</v>
      </c>
      <c r="U34" s="87">
        <f>T34*((($AK$34/$AJ$34)^0.25))</f>
        <v>1069866.6237855225</v>
      </c>
      <c r="V34" s="87">
        <f>U34*((($AL$34/$AK$34)^0.25))</f>
        <v>1080647.7677858607</v>
      </c>
      <c r="W34" s="87">
        <f>V34*((($AL$34/$AK$34)^0.25))</f>
        <v>1091537.5543621723</v>
      </c>
      <c r="X34" s="87">
        <f>W34*((($AL$34/$AK$34)^0.25))</f>
        <v>1102537.0783156503</v>
      </c>
      <c r="Y34" s="87">
        <f>X34*((($AL$34/$AK$34)^0.25))</f>
        <v>1113647.4454798999</v>
      </c>
      <c r="Z34" s="3"/>
      <c r="AA34" s="3"/>
      <c r="AB34" s="3"/>
      <c r="AC34" s="3">
        <f>AVERAGE(F34:I34)/1000</f>
        <v>772.56600000000003</v>
      </c>
      <c r="AD34" s="45">
        <f>AVERAGE(J34:M34)/1000</f>
        <v>817.33950000000004</v>
      </c>
      <c r="AE34" s="45">
        <f>AVERAGE(N34:Q34)/1000</f>
        <v>894.67923038178628</v>
      </c>
      <c r="AF34" s="45">
        <f>AVERAGE(R34:U34)/1000</f>
        <v>1020.1161813887267</v>
      </c>
      <c r="AH34">
        <v>775.4</v>
      </c>
      <c r="AI34" s="3">
        <f>'figuring out social benefits'!G18-47</f>
        <v>815.06799999999998</v>
      </c>
      <c r="AJ34" s="3">
        <f>'figuring out social benefits'!H18+46</f>
        <v>855.73299999999995</v>
      </c>
      <c r="AK34" s="3">
        <f>'figuring out social benefits'!I18</f>
        <v>973.27200000000005</v>
      </c>
      <c r="AL34" s="3">
        <f>'figuring out social benefits'!J18</f>
        <v>1013.1</v>
      </c>
      <c r="AM34" s="146" t="s">
        <v>19</v>
      </c>
    </row>
    <row r="35" spans="1:39" ht="16" x14ac:dyDescent="0.2">
      <c r="A35" s="93" t="s">
        <v>339</v>
      </c>
      <c r="B35" t="s">
        <v>281</v>
      </c>
      <c r="C35" t="s">
        <v>304</v>
      </c>
      <c r="D35"/>
      <c r="F35" s="202"/>
      <c r="G35" s="202"/>
      <c r="H35" s="202"/>
      <c r="I35" s="202"/>
      <c r="J35" s="202">
        <v>0</v>
      </c>
      <c r="K35" s="202">
        <v>0</v>
      </c>
      <c r="L35" s="202">
        <v>1078000</v>
      </c>
      <c r="M35" s="301">
        <v>15600</v>
      </c>
      <c r="N35" s="318"/>
      <c r="O35" s="87">
        <f>16*1000</f>
        <v>16000</v>
      </c>
      <c r="P35" s="87">
        <f>16*1000</f>
        <v>16000</v>
      </c>
      <c r="Q35" s="87">
        <v>0</v>
      </c>
      <c r="R35" s="87">
        <v>0</v>
      </c>
      <c r="S35" s="87"/>
      <c r="T35" s="87"/>
      <c r="U35" s="87"/>
      <c r="AD35" s="45">
        <f>AVERAGE(J35:M35)/1000</f>
        <v>273.39999999999998</v>
      </c>
      <c r="AE35" s="45">
        <v>0</v>
      </c>
      <c r="AF35" s="45">
        <v>0</v>
      </c>
      <c r="AG35" s="3"/>
      <c r="AI35" s="3">
        <v>272</v>
      </c>
      <c r="AJ35" s="3">
        <v>9</v>
      </c>
      <c r="AK35" s="3">
        <v>0</v>
      </c>
      <c r="AL35" s="3"/>
      <c r="AM35" s="182"/>
    </row>
    <row r="36" spans="1:39" s="274" customFormat="1" ht="16" x14ac:dyDescent="0.2">
      <c r="A36" s="281" t="s">
        <v>340</v>
      </c>
      <c r="F36" s="202"/>
      <c r="G36" s="202"/>
      <c r="H36" s="202"/>
      <c r="I36" s="202"/>
      <c r="J36" s="202"/>
      <c r="K36" s="202"/>
      <c r="L36" s="202"/>
      <c r="M36" s="301"/>
      <c r="N36" s="318">
        <f>VLOOKUP($C$35,'Haver NA'!$A$1:$J$34,10,0)</f>
        <v>5000</v>
      </c>
      <c r="O36" s="275">
        <f>'Stimulus Round 2'!C4*4</f>
        <v>664000</v>
      </c>
      <c r="P36" s="275"/>
      <c r="Q36" s="275"/>
      <c r="R36" s="275"/>
      <c r="S36" s="275"/>
      <c r="T36" s="275"/>
      <c r="U36" s="275"/>
      <c r="AD36" s="277"/>
      <c r="AE36" s="277"/>
      <c r="AF36" s="277"/>
      <c r="AG36" s="276"/>
      <c r="AI36" s="276"/>
      <c r="AJ36" s="276"/>
      <c r="AK36" s="276"/>
      <c r="AL36" s="276"/>
      <c r="AM36" s="278"/>
    </row>
    <row r="37" spans="1:39" s="274" customFormat="1" ht="16" x14ac:dyDescent="0.2">
      <c r="A37" s="281" t="s">
        <v>347</v>
      </c>
      <c r="F37" s="202"/>
      <c r="G37" s="202"/>
      <c r="H37" s="202"/>
      <c r="I37" s="202"/>
      <c r="J37" s="202"/>
      <c r="K37" s="202"/>
      <c r="L37" s="202"/>
      <c r="M37" s="301"/>
      <c r="N37" s="303"/>
      <c r="O37" s="275">
        <f>'Stimulus Round 2'!$C$15*4/2</f>
        <v>52000</v>
      </c>
      <c r="P37" s="275">
        <f>'Stimulus Round 2'!$C$15*4/2</f>
        <v>52000</v>
      </c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351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2'!$C$19*4/4</f>
        <v>5000</v>
      </c>
      <c r="P38" s="275">
        <f>'Stimulus Round 2'!$C$19*4/4</f>
        <v>5000</v>
      </c>
      <c r="Q38" s="275">
        <f>'Stimulus Round 2'!$C$19*4/4</f>
        <v>5000</v>
      </c>
      <c r="R38" s="275">
        <f>'Stimulus Round 2'!$C$19*4/4</f>
        <v>5000</v>
      </c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ht="16" x14ac:dyDescent="0.2">
      <c r="A39" s="86" t="s">
        <v>141</v>
      </c>
      <c r="F39" s="202">
        <v>27025</v>
      </c>
      <c r="G39" s="202">
        <v>28029</v>
      </c>
      <c r="H39" s="202">
        <v>27483</v>
      </c>
      <c r="I39" s="202">
        <v>27578</v>
      </c>
      <c r="J39" s="202">
        <v>27884</v>
      </c>
      <c r="K39" s="202">
        <v>43429</v>
      </c>
      <c r="L39" s="298">
        <f>L41+L45</f>
        <v>1084000</v>
      </c>
      <c r="M39" s="301">
        <v>881354</v>
      </c>
      <c r="N39" s="303">
        <f>N40+N43</f>
        <v>338269</v>
      </c>
      <c r="O39" s="87">
        <f t="shared" ref="O39:V39" si="22">O41+O45</f>
        <v>724000</v>
      </c>
      <c r="P39" s="87">
        <f t="shared" si="22"/>
        <v>152000</v>
      </c>
      <c r="Q39" s="87">
        <f t="shared" si="22"/>
        <v>44000</v>
      </c>
      <c r="R39" s="87">
        <f t="shared" si="22"/>
        <v>44000</v>
      </c>
      <c r="S39" s="87">
        <f t="shared" si="22"/>
        <v>44000</v>
      </c>
      <c r="T39" s="87">
        <f t="shared" si="22"/>
        <v>44000</v>
      </c>
      <c r="U39" s="87">
        <f t="shared" si="22"/>
        <v>44000</v>
      </c>
      <c r="V39" s="87">
        <f t="shared" si="22"/>
        <v>44000</v>
      </c>
      <c r="W39" s="44"/>
      <c r="X39" s="3"/>
      <c r="Y39" s="3"/>
      <c r="Z39" s="3"/>
      <c r="AA39" s="3"/>
      <c r="AB39" s="3"/>
      <c r="AC39" s="3">
        <f>AVERAGE(F39:I39)/1000</f>
        <v>27.528749999999999</v>
      </c>
      <c r="AD39" s="45">
        <f>AVERAGE(J39:M39)/1000</f>
        <v>509.16674999999998</v>
      </c>
      <c r="AE39" s="45">
        <f>AVERAGE(N39:Q39)/1000</f>
        <v>314.56725</v>
      </c>
      <c r="AF39" s="45">
        <f t="shared" ref="AF39:AF49" si="23">AVERAGE(R39:U39)/1000</f>
        <v>44</v>
      </c>
      <c r="AH39">
        <v>27.6</v>
      </c>
      <c r="AI39" s="3">
        <v>557</v>
      </c>
      <c r="AJ39" s="3">
        <v>166</v>
      </c>
      <c r="AK39" s="3">
        <v>67</v>
      </c>
      <c r="AL39" s="3"/>
      <c r="AM39" s="182"/>
    </row>
    <row r="40" spans="1:39" ht="16" x14ac:dyDescent="0.2">
      <c r="A40" s="115" t="s">
        <v>333</v>
      </c>
      <c r="B40" t="s">
        <v>281</v>
      </c>
      <c r="C40" t="s">
        <v>305</v>
      </c>
      <c r="D40"/>
      <c r="F40" s="202"/>
      <c r="G40" s="202"/>
      <c r="H40" s="202"/>
      <c r="I40" s="202"/>
      <c r="J40" s="202"/>
      <c r="K40" s="202"/>
      <c r="L40" s="202">
        <v>1084572</v>
      </c>
      <c r="M40" s="301">
        <v>775154</v>
      </c>
      <c r="N40" s="303">
        <f>VLOOKUP($C$40,'Haver NA'!$A$1:$J$34,10,0)</f>
        <v>302369</v>
      </c>
      <c r="O40" s="87"/>
      <c r="P40" s="87"/>
      <c r="Q40" s="87"/>
      <c r="R40" s="87"/>
      <c r="S40" s="87"/>
      <c r="T40" s="87"/>
      <c r="U40" s="87"/>
      <c r="V40" s="87"/>
      <c r="W40" s="44"/>
      <c r="X40" s="3"/>
      <c r="Y40" s="3"/>
      <c r="Z40" s="3"/>
      <c r="AA40" s="3"/>
      <c r="AB40" s="3"/>
      <c r="AC40" s="3"/>
      <c r="AD40" s="45"/>
      <c r="AE40" s="45"/>
      <c r="AF40" s="45"/>
      <c r="AI40" s="3"/>
      <c r="AJ40" s="3"/>
      <c r="AK40" s="3"/>
      <c r="AL40" s="3"/>
      <c r="AM40" s="182"/>
    </row>
    <row r="41" spans="1:39" ht="16" x14ac:dyDescent="0.2">
      <c r="A41" s="117" t="s">
        <v>212</v>
      </c>
      <c r="F41" s="202"/>
      <c r="G41" s="202"/>
      <c r="H41" s="202"/>
      <c r="I41" s="202"/>
      <c r="J41" s="202"/>
      <c r="K41" s="202"/>
      <c r="L41" s="202">
        <f>L42+L43</f>
        <v>822933.33333333326</v>
      </c>
      <c r="M41" s="301">
        <v>695200</v>
      </c>
      <c r="N41" s="303">
        <f>N42+N43</f>
        <v>301600</v>
      </c>
      <c r="O41" s="87">
        <f>SUM(O42:O44)</f>
        <v>664000</v>
      </c>
      <c r="P41" s="87">
        <f>SUM(P42:P44)</f>
        <v>108000</v>
      </c>
      <c r="Q41" s="87">
        <f t="shared" ref="Q41" si="24">Q42+Q43+Q44</f>
        <v>0</v>
      </c>
      <c r="R41" s="87">
        <f t="shared" ref="R41" si="25">R42+R43</f>
        <v>0</v>
      </c>
      <c r="S41" s="87"/>
      <c r="T41" s="87"/>
      <c r="U41" s="87"/>
      <c r="V41" s="3"/>
      <c r="W41" s="44"/>
      <c r="X41" s="3"/>
      <c r="Y41" s="3"/>
      <c r="Z41" s="3"/>
      <c r="AA41" s="3"/>
      <c r="AB41" s="3"/>
      <c r="AC41" s="3"/>
      <c r="AD41" s="45"/>
      <c r="AE41" s="45"/>
      <c r="AF41" s="45"/>
      <c r="AG41" s="3"/>
      <c r="AI41" s="3"/>
      <c r="AJ41" s="3"/>
      <c r="AK41" s="3"/>
      <c r="AL41" s="3"/>
      <c r="AM41" s="182"/>
    </row>
    <row r="42" spans="1:39" ht="16" x14ac:dyDescent="0.2">
      <c r="A42" s="270" t="s">
        <v>138</v>
      </c>
      <c r="F42" s="202"/>
      <c r="G42" s="202"/>
      <c r="H42" s="202"/>
      <c r="I42" s="202"/>
      <c r="J42" s="202">
        <v>0</v>
      </c>
      <c r="K42" s="202">
        <v>0</v>
      </c>
      <c r="L42" s="202">
        <f>'figuring out UI'!M17*1000</f>
        <v>822933.33333333326</v>
      </c>
      <c r="M42" s="301">
        <v>589000</v>
      </c>
      <c r="N42" s="303">
        <f>1000*'figuring out UI'!O17</f>
        <v>265700</v>
      </c>
      <c r="O42" s="87">
        <f>1000*'figuring out UI'!P17</f>
        <v>184000</v>
      </c>
      <c r="P42" s="87">
        <f>1000*'figuring out UI'!Q17</f>
        <v>108000</v>
      </c>
      <c r="Q42" s="87">
        <f>1000*'figuring out UI'!R17</f>
        <v>0</v>
      </c>
      <c r="R42" s="87">
        <f>1000*'figuring out UI'!S17</f>
        <v>0</v>
      </c>
      <c r="S42" s="87">
        <f>1000*'figuring out UI'!T17</f>
        <v>0</v>
      </c>
      <c r="T42" s="87">
        <f>1000*'figuring out UI'!U17</f>
        <v>0</v>
      </c>
      <c r="U42" s="87">
        <f>1000*'figuring out UI'!V17</f>
        <v>0</v>
      </c>
      <c r="V42" s="3"/>
      <c r="W42" s="44"/>
      <c r="X42" s="3"/>
      <c r="Y42" s="3"/>
      <c r="Z42" s="3"/>
      <c r="AA42" s="3"/>
      <c r="AB42" s="3"/>
      <c r="AC42" s="3"/>
      <c r="AD42" s="45">
        <f>AVERAGE(J42:M42)/1000</f>
        <v>352.98333333333329</v>
      </c>
      <c r="AE42" s="45">
        <f>AVERAGE(N42:Q42)/1000</f>
        <v>139.42500000000001</v>
      </c>
      <c r="AF42" s="45">
        <f t="shared" si="23"/>
        <v>0</v>
      </c>
      <c r="AG42" s="3"/>
      <c r="AI42" s="3"/>
      <c r="AJ42" s="3"/>
      <c r="AK42" s="3"/>
      <c r="AL42" s="3"/>
      <c r="AM42" s="182"/>
    </row>
    <row r="43" spans="1:39" ht="16" x14ac:dyDescent="0.2">
      <c r="A43" s="270" t="s">
        <v>162</v>
      </c>
      <c r="F43" s="202"/>
      <c r="G43" s="202"/>
      <c r="H43" s="202"/>
      <c r="I43" s="202"/>
      <c r="J43" s="202"/>
      <c r="K43" s="202"/>
      <c r="L43" s="202"/>
      <c r="M43" s="301">
        <v>106200</v>
      </c>
      <c r="N43" s="303">
        <v>35900</v>
      </c>
      <c r="O43" s="87"/>
      <c r="P43" s="87"/>
      <c r="Q43" s="87"/>
      <c r="R43" s="87"/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/>
      <c r="AE43" s="45"/>
      <c r="AF43" s="45"/>
      <c r="AG43" s="3"/>
      <c r="AI43" s="3"/>
      <c r="AJ43" s="3"/>
      <c r="AK43" s="3"/>
      <c r="AL43" s="3"/>
      <c r="AM43" s="182"/>
    </row>
    <row r="44" spans="1:39" s="274" customFormat="1" ht="14.5" customHeight="1" x14ac:dyDescent="0.2">
      <c r="A44" s="273" t="s">
        <v>345</v>
      </c>
      <c r="F44" s="202"/>
      <c r="G44" s="202"/>
      <c r="H44" s="202"/>
      <c r="I44" s="202"/>
      <c r="J44" s="202"/>
      <c r="K44" s="202"/>
      <c r="L44" s="202"/>
      <c r="M44" s="301"/>
      <c r="N44" s="303"/>
      <c r="O44" s="275">
        <f>'Stimulus Round 2'!$C$3*4</f>
        <v>480000</v>
      </c>
      <c r="P44" s="275"/>
      <c r="Q44" s="275"/>
      <c r="R44" s="275"/>
      <c r="S44" s="275"/>
      <c r="T44" s="275"/>
      <c r="U44" s="275"/>
      <c r="V44" s="276"/>
      <c r="W44" s="276"/>
      <c r="X44" s="276"/>
      <c r="Y44" s="276"/>
      <c r="Z44" s="276"/>
      <c r="AA44" s="276"/>
      <c r="AB44" s="276"/>
      <c r="AC44" s="276"/>
      <c r="AD44" s="277"/>
      <c r="AE44" s="277"/>
      <c r="AF44" s="277"/>
      <c r="AG44" s="276"/>
      <c r="AI44" s="276"/>
      <c r="AJ44" s="276"/>
      <c r="AK44" s="276"/>
      <c r="AL44" s="276"/>
      <c r="AM44" s="278"/>
    </row>
    <row r="45" spans="1:39" ht="16" x14ac:dyDescent="0.2">
      <c r="A45" s="117" t="s">
        <v>139</v>
      </c>
      <c r="F45" s="202"/>
      <c r="G45" s="202"/>
      <c r="H45" s="202"/>
      <c r="I45" s="202"/>
      <c r="J45" s="202">
        <v>0</v>
      </c>
      <c r="K45" s="202">
        <v>0</v>
      </c>
      <c r="L45" s="202">
        <f>'figuring out UI'!M18*1000</f>
        <v>261066.66666666672</v>
      </c>
      <c r="M45" s="301">
        <v>186000</v>
      </c>
      <c r="N45" s="303">
        <f>1000*'figuring out UI'!O18</f>
        <v>36699.999999999985</v>
      </c>
      <c r="O45" s="87">
        <f>1000*'figuring out UI'!P18</f>
        <v>60000</v>
      </c>
      <c r="P45" s="87">
        <f>1000*'figuring out UI'!Q18</f>
        <v>44000</v>
      </c>
      <c r="Q45" s="87">
        <f>1000*'figuring out UI'!R18</f>
        <v>44000</v>
      </c>
      <c r="R45" s="87">
        <f>1000*'figuring out UI'!S18</f>
        <v>44000</v>
      </c>
      <c r="S45" s="87">
        <f>1000*'figuring out UI'!T18</f>
        <v>44000</v>
      </c>
      <c r="T45" s="87">
        <f>1000*'figuring out UI'!U18</f>
        <v>44000</v>
      </c>
      <c r="U45" s="87">
        <f>1000*'figuring out UI'!V18</f>
        <v>44000</v>
      </c>
      <c r="V45" s="87">
        <f>1000*'figuring out UI'!W18</f>
        <v>44000</v>
      </c>
      <c r="W45" s="44"/>
      <c r="X45" s="3"/>
      <c r="Y45" s="3"/>
      <c r="Z45" s="3"/>
      <c r="AA45" s="3"/>
      <c r="AB45" s="3"/>
      <c r="AC45" s="3"/>
      <c r="AD45" s="45">
        <f>AVERAGE(J45:M45)/1000</f>
        <v>111.76666666666668</v>
      </c>
      <c r="AE45" s="45">
        <f>AVERAGE(N45:Q45)/1000</f>
        <v>46.174999999999997</v>
      </c>
      <c r="AF45" s="45">
        <f t="shared" si="23"/>
        <v>44</v>
      </c>
      <c r="AG45" s="3"/>
      <c r="AI45" s="3"/>
      <c r="AJ45" s="3"/>
      <c r="AK45" s="3"/>
      <c r="AL45" s="3"/>
      <c r="AM45" s="182"/>
    </row>
    <row r="46" spans="1:39" ht="32" x14ac:dyDescent="0.2">
      <c r="A46" s="86" t="s">
        <v>147</v>
      </c>
      <c r="F46" s="202"/>
      <c r="G46" s="202"/>
      <c r="H46" s="202"/>
      <c r="I46" s="202"/>
      <c r="J46" s="202">
        <v>0</v>
      </c>
      <c r="K46" s="202">
        <v>0</v>
      </c>
      <c r="L46" s="202">
        <f>SUM(L47:L48)</f>
        <v>179900</v>
      </c>
      <c r="M46" s="301">
        <v>85400</v>
      </c>
      <c r="N46" s="303">
        <f>SUM(N47:N48)</f>
        <v>45300</v>
      </c>
      <c r="O46" s="87">
        <f t="shared" ref="O46:R46" si="26">SUM(O47:O48)</f>
        <v>43377.595548489669</v>
      </c>
      <c r="P46" s="87">
        <f t="shared" si="26"/>
        <v>43000</v>
      </c>
      <c r="Q46" s="87">
        <f t="shared" si="26"/>
        <v>43000</v>
      </c>
      <c r="R46" s="87">
        <f t="shared" si="26"/>
        <v>15000</v>
      </c>
      <c r="S46" s="87"/>
      <c r="T46" s="87"/>
      <c r="U46" s="87"/>
      <c r="V46" s="3"/>
      <c r="W46" s="44"/>
      <c r="X46" s="3"/>
      <c r="Y46" s="3"/>
      <c r="Z46" s="3"/>
      <c r="AA46" s="3"/>
      <c r="AB46" s="3"/>
      <c r="AC46" s="3"/>
      <c r="AD46" s="45">
        <f>AVERAGE(J46:M46)/1000</f>
        <v>66.325000000000003</v>
      </c>
      <c r="AE46" s="45">
        <f>AVERAGE(N46:Q46)/1000</f>
        <v>43.669398887122412</v>
      </c>
      <c r="AF46" s="45">
        <f t="shared" ref="AF46" si="27">AVERAGE(R46:U46)/1000</f>
        <v>15</v>
      </c>
      <c r="AG46" s="3"/>
      <c r="AI46" s="3">
        <f>'figuring out social benefits'!G48</f>
        <v>105</v>
      </c>
      <c r="AJ46" s="3"/>
      <c r="AK46" s="3"/>
      <c r="AL46" s="3"/>
      <c r="AM46" s="182"/>
    </row>
    <row r="47" spans="1:39" ht="16" x14ac:dyDescent="0.2">
      <c r="A47" s="117" t="s">
        <v>205</v>
      </c>
      <c r="B47" t="s">
        <v>281</v>
      </c>
      <c r="C47" t="s">
        <v>306</v>
      </c>
      <c r="D47"/>
      <c r="F47" s="202"/>
      <c r="G47" s="202"/>
      <c r="H47" s="202"/>
      <c r="I47" s="202"/>
      <c r="J47" s="202"/>
      <c r="K47" s="202"/>
      <c r="L47" s="202">
        <v>19000</v>
      </c>
      <c r="M47" s="301">
        <v>27000</v>
      </c>
      <c r="N47" s="303">
        <f>VLOOKUP($C$47,'Haver NA'!$A$1:$J$34,10,0)</f>
        <v>10800</v>
      </c>
      <c r="O47" s="87">
        <v>377.5955484896661</v>
      </c>
      <c r="P47" s="87">
        <v>0</v>
      </c>
      <c r="Q47" s="87">
        <v>0</v>
      </c>
      <c r="R47" s="87">
        <v>0</v>
      </c>
      <c r="S47" s="87"/>
      <c r="T47" s="87"/>
      <c r="U47" s="87"/>
      <c r="V47" s="87"/>
      <c r="W47" s="133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I47" s="3"/>
      <c r="AJ47" s="3"/>
      <c r="AK47" s="3"/>
      <c r="AL47" s="3"/>
      <c r="AM47" s="182"/>
    </row>
    <row r="48" spans="1:39" ht="16" x14ac:dyDescent="0.2">
      <c r="A48" s="117" t="s">
        <v>206</v>
      </c>
      <c r="B48" t="s">
        <v>281</v>
      </c>
      <c r="C48" t="s">
        <v>307</v>
      </c>
      <c r="D48"/>
      <c r="F48" s="202"/>
      <c r="G48" s="202"/>
      <c r="H48" s="202"/>
      <c r="I48" s="202"/>
      <c r="J48" s="202"/>
      <c r="K48" s="202"/>
      <c r="L48" s="202">
        <v>160900</v>
      </c>
      <c r="M48" s="301">
        <v>58400</v>
      </c>
      <c r="N48" s="303">
        <f>VLOOKUP($C$48,'Haver NA'!$A$1:$J$34,10,0)</f>
        <v>34500</v>
      </c>
      <c r="O48" s="87">
        <v>43000</v>
      </c>
      <c r="P48" s="87">
        <v>43000</v>
      </c>
      <c r="Q48" s="87">
        <v>43000</v>
      </c>
      <c r="R48" s="87">
        <v>15000</v>
      </c>
      <c r="S48" s="87"/>
      <c r="T48" s="87"/>
      <c r="U48" s="87"/>
      <c r="V48" s="87"/>
      <c r="W48" s="133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I48" s="3"/>
      <c r="AJ48" s="3"/>
      <c r="AK48" s="3"/>
      <c r="AL48" s="3"/>
      <c r="AM48" s="182"/>
    </row>
    <row r="49" spans="1:41" ht="32" x14ac:dyDescent="0.2">
      <c r="A49" s="86" t="s">
        <v>149</v>
      </c>
      <c r="F49" s="197">
        <f>F33-F35-F39-F34</f>
        <v>1440187</v>
      </c>
      <c r="G49" s="197">
        <f>G33-G35-G39-G34</f>
        <v>1503410</v>
      </c>
      <c r="H49" s="201">
        <f>H33-H35-H39-H34</f>
        <v>1508652</v>
      </c>
      <c r="I49" s="197">
        <f>I33-I35-I39-I34</f>
        <v>1513957</v>
      </c>
      <c r="J49" s="201">
        <f>J33-J35-J39-J34-J46</f>
        <v>1521941</v>
      </c>
      <c r="K49" s="201">
        <f>K33-K35-K39-K34-K46</f>
        <v>1574462</v>
      </c>
      <c r="L49" s="201">
        <f>L33-L35-L40-L34-L46</f>
        <v>1648724</v>
      </c>
      <c r="M49" s="303">
        <v>1669801</v>
      </c>
      <c r="N49" s="306">
        <f>N33-N35-N39-N34-N46-N36</f>
        <v>1675893</v>
      </c>
      <c r="O49" s="88">
        <f>N49*(1+O51)</f>
        <v>1663323.8025</v>
      </c>
      <c r="P49" s="88">
        <f t="shared" ref="P49:Q49" si="28">O49*(1+P51)</f>
        <v>1650848.87398125</v>
      </c>
      <c r="Q49" s="88">
        <f t="shared" si="28"/>
        <v>1638467.5074263907</v>
      </c>
      <c r="R49" s="88">
        <f>Q49*(1+R51)</f>
        <v>1663044.5200377863</v>
      </c>
      <c r="S49" s="88">
        <f t="shared" ref="S49:U49" si="29">R49*(1+S51)</f>
        <v>1687990.187838353</v>
      </c>
      <c r="T49" s="88">
        <f t="shared" si="29"/>
        <v>1713310.0406559282</v>
      </c>
      <c r="U49" s="88">
        <f t="shared" si="29"/>
        <v>1739009.691265767</v>
      </c>
      <c r="V49" s="88">
        <f>U49*(1+V51)</f>
        <v>1756399.7881784246</v>
      </c>
      <c r="W49" s="44"/>
      <c r="X49" s="3"/>
      <c r="Y49" s="3"/>
      <c r="Z49" s="3"/>
      <c r="AA49" s="3"/>
      <c r="AB49" s="3"/>
      <c r="AC49" s="3">
        <f>AD33-AD35-AD39-AD34-AD46</f>
        <v>-1666.23125</v>
      </c>
      <c r="AD49" s="45">
        <f>AVERAGE(J49:M49)/1000</f>
        <v>1603.732</v>
      </c>
      <c r="AE49" s="45">
        <f>AVERAGE(N49:Q49)/1000</f>
        <v>1657.1332959769102</v>
      </c>
      <c r="AF49" s="45">
        <f t="shared" si="23"/>
        <v>1700.8386099494589</v>
      </c>
      <c r="AG49" s="3"/>
      <c r="AI49" s="3">
        <f>AI33-AI35-AI39-AI34-AI46</f>
        <v>1571.7041322167745</v>
      </c>
      <c r="AJ49" s="3">
        <f>AJ33-AJ35-AJ39-AJ34</f>
        <v>1644.9470557811208</v>
      </c>
      <c r="AK49" s="3">
        <f>AK33-AK35-AK39-AK34</f>
        <v>1684.8968956203648</v>
      </c>
      <c r="AL49" s="3"/>
      <c r="AM49" s="182"/>
      <c r="AN49">
        <f>AJ49/AI49*AD49</f>
        <v>1678.467452993958</v>
      </c>
      <c r="AO49">
        <f>AK49/AI49*AD49</f>
        <v>1719.2313825604638</v>
      </c>
    </row>
    <row r="50" spans="1:41" s="170" customFormat="1" ht="12" x14ac:dyDescent="0.15">
      <c r="A50" s="169" t="s">
        <v>215</v>
      </c>
      <c r="C50" s="269"/>
      <c r="D50" s="269"/>
      <c r="F50" s="225"/>
      <c r="G50" s="227">
        <f>G49/F49-1</f>
        <v>4.3899160317375507E-2</v>
      </c>
      <c r="H50" s="227">
        <f t="shared" ref="H50:L50" si="30">H49/G49-1</f>
        <v>3.4867401440725754E-3</v>
      </c>
      <c r="I50" s="227">
        <f t="shared" si="30"/>
        <v>3.5163841628156334E-3</v>
      </c>
      <c r="J50" s="227">
        <f t="shared" si="30"/>
        <v>5.2735975988749129E-3</v>
      </c>
      <c r="K50" s="227">
        <f t="shared" si="30"/>
        <v>3.4509222105193249E-2</v>
      </c>
      <c r="L50" s="227">
        <f t="shared" si="30"/>
        <v>4.7166587697893059E-2</v>
      </c>
      <c r="M50" s="227">
        <v>1.2783825552366457E-2</v>
      </c>
      <c r="N50" s="227">
        <f t="shared" ref="N50" si="31">N49/M49-1</f>
        <v>3.6483389338011207E-3</v>
      </c>
      <c r="O50" s="226"/>
      <c r="P50" s="226"/>
      <c r="Q50" s="226"/>
      <c r="R50" s="226"/>
      <c r="S50" s="226"/>
      <c r="T50" s="226"/>
      <c r="U50" s="226"/>
      <c r="V50" s="226"/>
      <c r="W50" s="172"/>
      <c r="X50" s="174"/>
      <c r="Y50" s="174"/>
      <c r="Z50" s="174"/>
      <c r="AA50" s="174"/>
      <c r="AB50" s="174"/>
      <c r="AC50" s="174"/>
      <c r="AD50" s="173"/>
      <c r="AE50" s="173"/>
      <c r="AF50" s="173"/>
      <c r="AG50" s="174"/>
      <c r="AI50" s="174"/>
      <c r="AJ50" s="174"/>
      <c r="AK50" s="174"/>
      <c r="AL50" s="174"/>
      <c r="AM50" s="183"/>
    </row>
    <row r="51" spans="1:41" s="185" customFormat="1" x14ac:dyDescent="0.2">
      <c r="A51" s="169" t="s">
        <v>269</v>
      </c>
      <c r="F51" s="207"/>
      <c r="G51" s="207"/>
      <c r="H51" s="207"/>
      <c r="I51" s="207"/>
      <c r="J51" s="200"/>
      <c r="K51" s="200"/>
      <c r="L51" s="200"/>
      <c r="M51" s="301"/>
      <c r="N51" s="302"/>
      <c r="O51" s="175">
        <v>-7.4999999999999997E-3</v>
      </c>
      <c r="P51" s="175">
        <v>-7.4999999999999997E-3</v>
      </c>
      <c r="Q51" s="175">
        <v>-7.4999999999999997E-3</v>
      </c>
      <c r="R51" s="175">
        <v>1.4999999999999999E-2</v>
      </c>
      <c r="S51" s="175">
        <v>1.4999999999999999E-2</v>
      </c>
      <c r="T51" s="175">
        <v>1.4999999999999999E-2</v>
      </c>
      <c r="U51" s="175">
        <v>1.4999999999999999E-2</v>
      </c>
      <c r="V51" s="175">
        <v>0.01</v>
      </c>
      <c r="W51" s="175"/>
      <c r="AD51" s="187">
        <f>AD34+AD35+AD39+AD46</f>
        <v>1666.23125</v>
      </c>
      <c r="AI51" s="187">
        <f>AI34+AI35+AI39+AI46</f>
        <v>1749.068</v>
      </c>
      <c r="AM51" s="234"/>
      <c r="AN51" s="224">
        <v>-7.4999999999999997E-3</v>
      </c>
      <c r="AO51" s="224">
        <v>1.4999999999999999E-2</v>
      </c>
    </row>
    <row r="52" spans="1:41" s="35" customFormat="1" ht="14" customHeight="1" x14ac:dyDescent="0.2">
      <c r="A52"/>
      <c r="B52"/>
      <c r="E52"/>
      <c r="F52" s="197"/>
      <c r="G52" s="197"/>
      <c r="H52" s="197"/>
      <c r="I52" s="197"/>
      <c r="J52" s="197"/>
      <c r="K52" s="197"/>
      <c r="L52" s="197"/>
      <c r="M52" s="301"/>
      <c r="N52" s="307"/>
      <c r="O52" s="3"/>
      <c r="P52" s="3"/>
      <c r="Q52" s="3"/>
      <c r="R52" s="3"/>
      <c r="S52" s="3"/>
      <c r="T52" s="3"/>
      <c r="U52" s="3"/>
      <c r="V52" s="3"/>
      <c r="W52" s="44"/>
      <c r="X52" s="44"/>
      <c r="Y52" s="44"/>
      <c r="Z52" s="44"/>
      <c r="AA52" s="44"/>
      <c r="AB52" s="44"/>
      <c r="AC52" s="44"/>
      <c r="AD52" s="45"/>
      <c r="AE52" s="45"/>
      <c r="AF52" s="45"/>
      <c r="AG52" s="44"/>
      <c r="AI52" s="44"/>
      <c r="AJ52" s="44"/>
      <c r="AK52" s="44"/>
      <c r="AL52" s="44"/>
      <c r="AM52" s="235"/>
    </row>
    <row r="53" spans="1:41" s="35" customFormat="1" x14ac:dyDescent="0.2">
      <c r="A53" s="141" t="s">
        <v>4</v>
      </c>
      <c r="B53" s="141" t="s">
        <v>281</v>
      </c>
      <c r="C53" t="s">
        <v>308</v>
      </c>
      <c r="D53"/>
      <c r="E53" s="141"/>
      <c r="F53" s="197">
        <v>79458</v>
      </c>
      <c r="G53" s="197">
        <v>71318</v>
      </c>
      <c r="H53" s="197">
        <v>61083</v>
      </c>
      <c r="I53" s="202">
        <v>81998</v>
      </c>
      <c r="J53" s="202">
        <v>81147</v>
      </c>
      <c r="K53" s="202">
        <v>75093</v>
      </c>
      <c r="L53" s="202">
        <v>1086548</v>
      </c>
      <c r="M53" s="303">
        <v>1213480</v>
      </c>
      <c r="N53" s="308">
        <f>VLOOKUP($C$53,'Haver NA'!$A$1:$J$34,10,0)</f>
        <v>610536</v>
      </c>
      <c r="O53" s="144">
        <f t="shared" ref="O53:Z53" si="32">O54+AVERAGE($H$53:$K$53)</f>
        <v>794083.58333333337</v>
      </c>
      <c r="P53" s="144">
        <f t="shared" si="32"/>
        <v>794083.58333333337</v>
      </c>
      <c r="Q53" s="144">
        <f t="shared" si="32"/>
        <v>144083.58333333331</v>
      </c>
      <c r="R53" s="144">
        <f t="shared" si="32"/>
        <v>122750.25</v>
      </c>
      <c r="S53" s="144">
        <f t="shared" si="32"/>
        <v>77330.25</v>
      </c>
      <c r="T53" s="144">
        <f t="shared" si="32"/>
        <v>77330.25</v>
      </c>
      <c r="U53" s="144">
        <f t="shared" si="32"/>
        <v>77330.25</v>
      </c>
      <c r="V53" s="144">
        <f t="shared" si="32"/>
        <v>77330.25</v>
      </c>
      <c r="W53" s="144">
        <f t="shared" si="32"/>
        <v>74830.25</v>
      </c>
      <c r="X53" s="144">
        <f t="shared" si="32"/>
        <v>74830.25</v>
      </c>
      <c r="Y53" s="144">
        <f t="shared" si="32"/>
        <v>74830.25</v>
      </c>
      <c r="Z53" s="144">
        <f t="shared" si="32"/>
        <v>74830.25</v>
      </c>
      <c r="AA53" s="44"/>
      <c r="AB53" s="44"/>
      <c r="AC53" s="44">
        <f>AVERAGE(F53:I53)/1000</f>
        <v>73.464250000000007</v>
      </c>
      <c r="AD53" s="44"/>
      <c r="AE53" s="44"/>
      <c r="AF53" s="44"/>
      <c r="AM53" s="233"/>
    </row>
    <row r="54" spans="1:41" s="35" customFormat="1" ht="16" x14ac:dyDescent="0.2">
      <c r="A54" s="134" t="s">
        <v>200</v>
      </c>
      <c r="F54" s="197"/>
      <c r="G54" s="197"/>
      <c r="H54" s="197"/>
      <c r="I54" s="202"/>
      <c r="J54" s="202"/>
      <c r="K54" s="202"/>
      <c r="L54" s="202"/>
      <c r="M54" s="299">
        <v>1093900</v>
      </c>
      <c r="N54" s="308">
        <f t="shared" ref="N54" si="33">N56+N57+N62</f>
        <v>473700</v>
      </c>
      <c r="O54" s="116">
        <f>O56+O57+SUM(O62:O65)</f>
        <v>719253.33333333337</v>
      </c>
      <c r="P54" s="116">
        <f t="shared" ref="P54:V54" si="34">P56+P57+SUM(P62:P65)</f>
        <v>719253.33333333337</v>
      </c>
      <c r="Q54" s="116">
        <f t="shared" si="34"/>
        <v>69253.333333333328</v>
      </c>
      <c r="R54" s="116">
        <f t="shared" si="34"/>
        <v>47920</v>
      </c>
      <c r="S54" s="116">
        <f t="shared" si="34"/>
        <v>2500</v>
      </c>
      <c r="T54" s="116">
        <f t="shared" si="34"/>
        <v>2500</v>
      </c>
      <c r="U54" s="116">
        <f t="shared" si="34"/>
        <v>2500</v>
      </c>
      <c r="V54" s="116">
        <f t="shared" si="34"/>
        <v>2500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33"/>
    </row>
    <row r="55" spans="1:41" s="35" customFormat="1" ht="16" x14ac:dyDescent="0.2">
      <c r="A55" s="219" t="s">
        <v>337</v>
      </c>
      <c r="F55" s="197"/>
      <c r="G55" s="197"/>
      <c r="H55" s="197"/>
      <c r="I55" s="202"/>
      <c r="J55" s="202"/>
      <c r="K55" s="202"/>
      <c r="L55" s="202"/>
      <c r="M55" s="303"/>
      <c r="N55" s="308"/>
      <c r="O55" s="116"/>
      <c r="P55" s="116"/>
      <c r="Q55" s="116"/>
      <c r="R55" s="116"/>
      <c r="S55" s="116"/>
      <c r="T55" s="116"/>
      <c r="U55" s="116"/>
      <c r="V55" s="116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71" t="s">
        <v>335</v>
      </c>
      <c r="C56" t="s">
        <v>309</v>
      </c>
      <c r="D56"/>
      <c r="F56" s="197"/>
      <c r="G56" s="197"/>
      <c r="H56" s="197"/>
      <c r="I56" s="202"/>
      <c r="J56" s="202"/>
      <c r="K56" s="202"/>
      <c r="L56" s="202">
        <v>609300</v>
      </c>
      <c r="M56" s="301">
        <v>865600</v>
      </c>
      <c r="N56" s="308">
        <f>VLOOKUP($C$56,'Haver NA'!$A$1:$J$34,10,0)</f>
        <v>260300</v>
      </c>
      <c r="O56" s="116"/>
      <c r="P56" s="116">
        <f>'[1]Revised Add Factors'!F$13*1000</f>
        <v>0</v>
      </c>
      <c r="Q56" s="116">
        <f>'[1]Revised Add Factors'!G$13*1000</f>
        <v>0</v>
      </c>
      <c r="R56" s="116">
        <f>'[1]Revised Add Factors'!H$13*1000</f>
        <v>0</v>
      </c>
      <c r="S56" s="116"/>
      <c r="T56" s="116">
        <f>'[1]Revised Add Factors'!J$13*1000</f>
        <v>0</v>
      </c>
      <c r="U56" s="116">
        <f>'[1]Revised Add Factors'!K$13*1000</f>
        <v>0</v>
      </c>
      <c r="V56" s="116">
        <f>'[1]Revised Add Factors'!L$13*1000</f>
        <v>0</v>
      </c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27.5" customHeight="1" x14ac:dyDescent="0.2">
      <c r="A57" s="113" t="s">
        <v>272</v>
      </c>
      <c r="C57" t="s">
        <v>334</v>
      </c>
      <c r="D57"/>
      <c r="F57" s="197"/>
      <c r="G57" s="197"/>
      <c r="H57" s="197"/>
      <c r="I57" s="202"/>
      <c r="J57" s="202"/>
      <c r="K57" s="202"/>
      <c r="L57" s="202">
        <f>SUM(L58:L60)</f>
        <v>277100</v>
      </c>
      <c r="M57" s="301">
        <v>228300</v>
      </c>
      <c r="N57" s="308">
        <f>SUM(N58:N60)</f>
        <v>213400</v>
      </c>
      <c r="O57" s="116">
        <v>25420</v>
      </c>
      <c r="P57" s="116">
        <v>25420</v>
      </c>
      <c r="Q57" s="116">
        <v>25420</v>
      </c>
      <c r="R57" s="116">
        <v>25420</v>
      </c>
      <c r="S57" s="116"/>
      <c r="T57" s="116">
        <f>'[1]Revised Add Factors'!J$14*1000</f>
        <v>0</v>
      </c>
      <c r="U57" s="116">
        <f>'[1]Revised Add Factors'!K$14*1000</f>
        <v>0</v>
      </c>
      <c r="V57" s="116">
        <f>'[1]Revised Add Factors'!L$14*1000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185" customFormat="1" x14ac:dyDescent="0.2">
      <c r="A58" s="272" t="s">
        <v>282</v>
      </c>
      <c r="B58" s="185" t="s">
        <v>281</v>
      </c>
      <c r="C58" t="s">
        <v>310</v>
      </c>
      <c r="D58"/>
      <c r="F58" s="207"/>
      <c r="G58" s="207"/>
      <c r="H58" s="207"/>
      <c r="I58" s="253"/>
      <c r="J58" s="253"/>
      <c r="K58" s="253"/>
      <c r="L58" s="253">
        <v>63800</v>
      </c>
      <c r="M58" s="304">
        <v>15000</v>
      </c>
      <c r="N58" s="309">
        <f>VLOOKUP($C$58,'Haver NA'!$A$1:$J$34,10,0)</f>
        <v>100</v>
      </c>
      <c r="O58" s="254"/>
      <c r="P58" s="254"/>
      <c r="Q58" s="254"/>
      <c r="R58" s="254"/>
      <c r="S58" s="254"/>
      <c r="T58" s="254"/>
      <c r="U58" s="254"/>
      <c r="V58" s="254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M58" s="234"/>
    </row>
    <row r="59" spans="1:41" s="185" customFormat="1" x14ac:dyDescent="0.2">
      <c r="A59" s="272" t="s">
        <v>283</v>
      </c>
      <c r="B59" s="185" t="s">
        <v>281</v>
      </c>
      <c r="C59" t="s">
        <v>311</v>
      </c>
      <c r="D59"/>
      <c r="F59" s="207"/>
      <c r="G59" s="207"/>
      <c r="H59" s="207"/>
      <c r="I59" s="253"/>
      <c r="J59" s="253"/>
      <c r="K59" s="253"/>
      <c r="L59" s="253">
        <v>73300</v>
      </c>
      <c r="M59" s="304">
        <v>73300</v>
      </c>
      <c r="N59" s="309">
        <f>VLOOKUP($C$59,'Haver NA'!$A$1:$J$34,10,0)</f>
        <v>73300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284</v>
      </c>
      <c r="B60" s="185" t="s">
        <v>281</v>
      </c>
      <c r="C60" t="s">
        <v>312</v>
      </c>
      <c r="D60"/>
      <c r="F60" s="207"/>
      <c r="G60" s="207"/>
      <c r="H60" s="207"/>
      <c r="I60" s="253"/>
      <c r="J60" s="253"/>
      <c r="K60" s="253"/>
      <c r="L60" s="253">
        <v>140000</v>
      </c>
      <c r="M60" s="304">
        <v>140000</v>
      </c>
      <c r="N60" s="309">
        <f>VLOOKUP($C$60,'Haver NA'!$A$1:$J$34,10,0)</f>
        <v>140000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ht="16" x14ac:dyDescent="0.2">
      <c r="A61" s="219" t="s">
        <v>338</v>
      </c>
      <c r="C61"/>
      <c r="D61"/>
      <c r="F61" s="207"/>
      <c r="G61" s="207"/>
      <c r="H61" s="207"/>
      <c r="I61" s="253"/>
      <c r="J61" s="253"/>
      <c r="K61" s="253"/>
      <c r="L61" s="253"/>
      <c r="M61" s="301"/>
      <c r="N61" s="309"/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274" customFormat="1" ht="16" x14ac:dyDescent="0.2">
      <c r="A62" s="273" t="s">
        <v>336</v>
      </c>
      <c r="F62" s="197"/>
      <c r="G62" s="197"/>
      <c r="H62" s="197"/>
      <c r="I62" s="202"/>
      <c r="J62" s="202"/>
      <c r="K62" s="202"/>
      <c r="L62" s="202"/>
      <c r="M62" s="301"/>
      <c r="N62" s="308"/>
      <c r="O62" s="279">
        <f>'Stimulus Round 2'!$C$2*4/2</f>
        <v>650000</v>
      </c>
      <c r="P62" s="279">
        <f>'Stimulus Round 2'!$C$2*4/2</f>
        <v>650000</v>
      </c>
      <c r="Q62" s="279"/>
      <c r="R62" s="279"/>
      <c r="S62" s="279"/>
      <c r="T62" s="279"/>
      <c r="U62" s="279"/>
      <c r="V62" s="279"/>
      <c r="W62" s="276"/>
      <c r="X62" s="276"/>
      <c r="Y62" s="276"/>
      <c r="Z62" s="276"/>
      <c r="AA62" s="276"/>
      <c r="AB62" s="276"/>
      <c r="AC62" s="276"/>
      <c r="AD62" s="276"/>
      <c r="AE62" s="276"/>
      <c r="AF62" s="276"/>
      <c r="AG62" s="276"/>
      <c r="AM62" s="280"/>
    </row>
    <row r="63" spans="1:41" s="274" customFormat="1" ht="16" x14ac:dyDescent="0.2">
      <c r="A63" s="273" t="s">
        <v>349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2'!$C$12*4/3</f>
        <v>21333.333333333332</v>
      </c>
      <c r="P63" s="279">
        <f>'Stimulus Round 2'!$C$12*4/3</f>
        <v>21333.333333333332</v>
      </c>
      <c r="Q63" s="279">
        <f>'Stimulus Round 2'!$C$12*4/3</f>
        <v>21333.333333333332</v>
      </c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283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2'!$C$18*4/4</f>
        <v>20000</v>
      </c>
      <c r="P64" s="279">
        <f>'Stimulus Round 2'!$C$18*4/4</f>
        <v>20000</v>
      </c>
      <c r="Q64" s="279">
        <f>'Stimulus Round 2'!$C$18*4/4</f>
        <v>20000</v>
      </c>
      <c r="R64" s="279">
        <f>'Stimulus Round 2'!$C$18*4/4</f>
        <v>20000</v>
      </c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352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2'!$C$20*4/8</f>
        <v>2500</v>
      </c>
      <c r="P65" s="279">
        <f>'Stimulus Round 2'!$C$20*4/8</f>
        <v>2500</v>
      </c>
      <c r="Q65" s="279">
        <f>'Stimulus Round 2'!$C$20*4/8</f>
        <v>2500</v>
      </c>
      <c r="R65" s="279">
        <f>'Stimulus Round 2'!$C$20*4/8</f>
        <v>2500</v>
      </c>
      <c r="S65" s="279">
        <f>'Stimulus Round 2'!$C$20*4/8</f>
        <v>2500</v>
      </c>
      <c r="T65" s="279">
        <f>'Stimulus Round 2'!$C$20*4/8</f>
        <v>2500</v>
      </c>
      <c r="U65" s="279">
        <f>'Stimulus Round 2'!$C$20*4/8</f>
        <v>2500</v>
      </c>
      <c r="V65" s="279">
        <f>'Stimulus Round 2'!$C$20*4/8</f>
        <v>2500</v>
      </c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35" customFormat="1" x14ac:dyDescent="0.2">
      <c r="A66" s="134"/>
      <c r="F66" s="197"/>
      <c r="G66" s="197"/>
      <c r="H66" s="197"/>
      <c r="I66" s="202"/>
      <c r="J66" s="202"/>
      <c r="K66" s="202"/>
      <c r="L66" s="202"/>
      <c r="M66" s="301"/>
      <c r="N66" s="308"/>
      <c r="O66" s="116"/>
      <c r="P66" s="116"/>
      <c r="Q66" s="116"/>
      <c r="R66" s="116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M66" s="233"/>
    </row>
    <row r="67" spans="1:39" s="35" customFormat="1" x14ac:dyDescent="0.2">
      <c r="A67" s="35" t="s">
        <v>16</v>
      </c>
      <c r="B67" s="35" t="s">
        <v>281</v>
      </c>
      <c r="C67" t="s">
        <v>313</v>
      </c>
      <c r="D67"/>
      <c r="F67" s="197">
        <v>586475</v>
      </c>
      <c r="G67" s="197">
        <v>594213</v>
      </c>
      <c r="H67" s="197">
        <v>612547</v>
      </c>
      <c r="I67" s="202">
        <v>610331</v>
      </c>
      <c r="J67" s="202">
        <v>615406</v>
      </c>
      <c r="K67" s="202">
        <v>627805</v>
      </c>
      <c r="L67" s="202">
        <v>1396890</v>
      </c>
      <c r="M67" s="301">
        <v>728172</v>
      </c>
      <c r="N67" s="308">
        <f>VLOOKUP($C$67,'Haver NA'!$A$1:$J$34,10,0)</f>
        <v>738144</v>
      </c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>
        <f>AVERAGE(F67:I67)/1000</f>
        <v>600.89149999999995</v>
      </c>
      <c r="AD67" s="44"/>
      <c r="AE67" s="44"/>
      <c r="AF67" s="44"/>
      <c r="AM67" s="233"/>
    </row>
    <row r="68" spans="1:39" s="35" customFormat="1" x14ac:dyDescent="0.2">
      <c r="A68" s="35" t="s">
        <v>228</v>
      </c>
      <c r="F68" s="203">
        <f t="shared" ref="F68:L68" si="35">F67-F90</f>
        <v>196851</v>
      </c>
      <c r="G68" s="203">
        <f t="shared" si="35"/>
        <v>189684</v>
      </c>
      <c r="H68" s="203">
        <f t="shared" si="35"/>
        <v>192875</v>
      </c>
      <c r="I68" s="203">
        <f t="shared" si="35"/>
        <v>191507</v>
      </c>
      <c r="J68" s="203">
        <f t="shared" si="35"/>
        <v>203997</v>
      </c>
      <c r="K68" s="203">
        <f t="shared" si="35"/>
        <v>204376</v>
      </c>
      <c r="L68" s="203">
        <f t="shared" si="35"/>
        <v>884250</v>
      </c>
      <c r="M68" s="301">
        <v>242100</v>
      </c>
      <c r="N68" s="308">
        <f>N67-N90</f>
        <v>225951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M68" s="233"/>
    </row>
    <row r="69" spans="1:39" s="35" customFormat="1" x14ac:dyDescent="0.2">
      <c r="A69" s="136" t="s">
        <v>229</v>
      </c>
      <c r="F69" s="197"/>
      <c r="G69" s="197"/>
      <c r="H69" s="197"/>
      <c r="I69" s="202"/>
      <c r="J69" s="202"/>
      <c r="K69" s="202"/>
      <c r="L69" s="202">
        <f>L68-L70</f>
        <v>192250</v>
      </c>
      <c r="M69" s="303">
        <v>203600</v>
      </c>
      <c r="N69" s="308">
        <f>N68-N70</f>
        <v>196951</v>
      </c>
      <c r="O69" s="116">
        <f>N69*(1+O85)</f>
        <v>197741.49947361497</v>
      </c>
      <c r="P69" s="116">
        <f t="shared" ref="P69:Z69" si="36">O69*(1+P85)</f>
        <v>198648.63001710753</v>
      </c>
      <c r="Q69" s="116">
        <f t="shared" si="36"/>
        <v>199711.26865377021</v>
      </c>
      <c r="R69" s="116">
        <f t="shared" si="36"/>
        <v>201244.08517867888</v>
      </c>
      <c r="S69" s="116">
        <f t="shared" si="36"/>
        <v>202989.95960222601</v>
      </c>
      <c r="T69" s="116">
        <f t="shared" si="36"/>
        <v>204757.79375261875</v>
      </c>
      <c r="U69" s="116">
        <f t="shared" si="36"/>
        <v>206721.64407812891</v>
      </c>
      <c r="V69" s="116">
        <f t="shared" si="36"/>
        <v>208528.49383340348</v>
      </c>
      <c r="W69" s="116">
        <f t="shared" si="36"/>
        <v>210535.31291864807</v>
      </c>
      <c r="X69" s="116">
        <f t="shared" si="36"/>
        <v>212376.56499844257</v>
      </c>
      <c r="Y69" s="116">
        <f t="shared" si="36"/>
        <v>214419.66277456292</v>
      </c>
      <c r="Z69" s="116">
        <f t="shared" si="36"/>
        <v>216486.27947886748</v>
      </c>
      <c r="AA69" s="44"/>
      <c r="AB69" s="44"/>
      <c r="AC69" s="44"/>
      <c r="AD69" s="44"/>
      <c r="AE69" s="44"/>
      <c r="AF69" s="44"/>
      <c r="AG69" s="44"/>
      <c r="AM69" s="233"/>
    </row>
    <row r="70" spans="1:39" s="138" customFormat="1" x14ac:dyDescent="0.2">
      <c r="A70" s="137" t="s">
        <v>209</v>
      </c>
      <c r="B70" s="138" t="s">
        <v>281</v>
      </c>
      <c r="C70" t="s">
        <v>314</v>
      </c>
      <c r="D70"/>
      <c r="F70" s="204"/>
      <c r="G70" s="204"/>
      <c r="H70" s="204"/>
      <c r="I70" s="205"/>
      <c r="J70" s="205"/>
      <c r="K70" s="205"/>
      <c r="L70" s="205">
        <v>692000</v>
      </c>
      <c r="M70" s="205">
        <v>38500</v>
      </c>
      <c r="N70" s="205">
        <f>VLOOKUP($C$70,'Haver NA'!$A$1:$J$34,10,0)</f>
        <v>29000</v>
      </c>
      <c r="O70" s="139"/>
      <c r="P70" s="139"/>
      <c r="Q70" s="139"/>
      <c r="R70" s="139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M70" s="236"/>
    </row>
    <row r="71" spans="1:39" s="35" customFormat="1" ht="16" x14ac:dyDescent="0.2">
      <c r="A71" s="134" t="s">
        <v>210</v>
      </c>
      <c r="F71" s="197"/>
      <c r="G71" s="197"/>
      <c r="H71" s="197"/>
      <c r="I71" s="202"/>
      <c r="J71" s="202"/>
      <c r="K71" s="202"/>
      <c r="L71" s="206">
        <f>SUM(L73:L75)</f>
        <v>87000</v>
      </c>
      <c r="M71" s="301">
        <v>97000</v>
      </c>
      <c r="N71" s="308">
        <f>SUM(N73:N75)</f>
        <v>107000</v>
      </c>
      <c r="O71" s="116">
        <f t="shared" ref="O71:Z71" si="37">O72+O76</f>
        <v>149000</v>
      </c>
      <c r="P71" s="116">
        <f t="shared" si="37"/>
        <v>121000</v>
      </c>
      <c r="Q71" s="116">
        <f t="shared" si="37"/>
        <v>121000</v>
      </c>
      <c r="R71" s="116">
        <f t="shared" si="37"/>
        <v>115000</v>
      </c>
      <c r="S71" s="116">
        <f t="shared" si="37"/>
        <v>109000</v>
      </c>
      <c r="T71" s="116">
        <f t="shared" si="37"/>
        <v>109000</v>
      </c>
      <c r="U71" s="116">
        <f t="shared" si="37"/>
        <v>109000</v>
      </c>
      <c r="V71" s="116">
        <f t="shared" si="37"/>
        <v>109000</v>
      </c>
      <c r="W71" s="116">
        <f t="shared" si="37"/>
        <v>109000</v>
      </c>
      <c r="X71" s="116">
        <f t="shared" si="37"/>
        <v>59000</v>
      </c>
      <c r="Y71" s="116">
        <f t="shared" si="37"/>
        <v>59000</v>
      </c>
      <c r="Z71" s="116">
        <f t="shared" si="37"/>
        <v>59000</v>
      </c>
      <c r="AA71" s="116"/>
      <c r="AB71" s="116"/>
      <c r="AC71" s="44"/>
      <c r="AD71" s="44"/>
      <c r="AE71" s="44"/>
      <c r="AF71" s="44"/>
      <c r="AG71" s="44"/>
      <c r="AM71" s="233"/>
    </row>
    <row r="72" spans="1:39" s="35" customFormat="1" ht="16" x14ac:dyDescent="0.2">
      <c r="A72" s="219" t="s">
        <v>341</v>
      </c>
      <c r="F72" s="197"/>
      <c r="G72" s="197"/>
      <c r="H72" s="197"/>
      <c r="I72" s="202"/>
      <c r="J72" s="202"/>
      <c r="K72" s="202"/>
      <c r="L72" s="206"/>
      <c r="M72" s="301"/>
      <c r="N72" s="308"/>
      <c r="O72" s="116">
        <f>SUM(O73:O75)</f>
        <v>90000</v>
      </c>
      <c r="P72" s="116">
        <f t="shared" ref="P72:Z72" si="38">SUM(P73:P75)</f>
        <v>62000</v>
      </c>
      <c r="Q72" s="116">
        <f t="shared" si="38"/>
        <v>62000</v>
      </c>
      <c r="R72" s="116">
        <f t="shared" si="38"/>
        <v>56000</v>
      </c>
      <c r="S72" s="116">
        <f t="shared" si="38"/>
        <v>50000</v>
      </c>
      <c r="T72" s="116">
        <f t="shared" si="38"/>
        <v>50000</v>
      </c>
      <c r="U72" s="116">
        <f t="shared" si="38"/>
        <v>50000</v>
      </c>
      <c r="V72" s="116">
        <f t="shared" si="38"/>
        <v>50000</v>
      </c>
      <c r="W72" s="116">
        <f t="shared" si="38"/>
        <v>50000</v>
      </c>
      <c r="X72" s="116">
        <f t="shared" si="38"/>
        <v>0</v>
      </c>
      <c r="Y72" s="116">
        <f t="shared" si="38"/>
        <v>0</v>
      </c>
      <c r="Z72" s="116">
        <f t="shared" si="38"/>
        <v>0</v>
      </c>
      <c r="AA72" s="44"/>
      <c r="AB72" s="44"/>
      <c r="AC72" s="44"/>
      <c r="AD72" s="44"/>
      <c r="AE72" s="44"/>
      <c r="AF72" s="44"/>
      <c r="AG72" s="44"/>
      <c r="AM72" s="233"/>
    </row>
    <row r="73" spans="1:39" s="35" customFormat="1" x14ac:dyDescent="0.2">
      <c r="A73" s="113" t="s">
        <v>197</v>
      </c>
      <c r="C73" s="35" t="s">
        <v>378</v>
      </c>
      <c r="F73" s="197"/>
      <c r="G73" s="197"/>
      <c r="H73" s="197"/>
      <c r="I73" s="202"/>
      <c r="J73" s="202"/>
      <c r="K73" s="202"/>
      <c r="L73" s="206">
        <v>35000</v>
      </c>
      <c r="M73" s="301">
        <v>45000</v>
      </c>
      <c r="N73" s="308">
        <v>60000</v>
      </c>
      <c r="O73" s="116">
        <v>60000</v>
      </c>
      <c r="P73" s="116">
        <v>50000</v>
      </c>
      <c r="Q73" s="116">
        <v>50000</v>
      </c>
      <c r="R73" s="116">
        <v>50000</v>
      </c>
      <c r="S73" s="116">
        <v>50000</v>
      </c>
      <c r="T73" s="116">
        <v>50000</v>
      </c>
      <c r="U73" s="116">
        <v>50000</v>
      </c>
      <c r="V73" s="116">
        <v>50000</v>
      </c>
      <c r="W73" s="116">
        <v>50000</v>
      </c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M73" s="233"/>
    </row>
    <row r="74" spans="1:39" s="35" customFormat="1" x14ac:dyDescent="0.2">
      <c r="A74" s="113" t="s">
        <v>198</v>
      </c>
      <c r="C74" s="35" t="s">
        <v>379</v>
      </c>
      <c r="F74" s="197"/>
      <c r="G74" s="197"/>
      <c r="H74" s="197"/>
      <c r="I74" s="202"/>
      <c r="J74" s="202"/>
      <c r="K74" s="202"/>
      <c r="L74" s="202">
        <v>25000</v>
      </c>
      <c r="M74" s="301">
        <v>25000</v>
      </c>
      <c r="N74" s="308">
        <v>35000</v>
      </c>
      <c r="O74" s="116">
        <v>18000</v>
      </c>
      <c r="P74" s="116">
        <v>0</v>
      </c>
      <c r="Q74" s="116">
        <v>0</v>
      </c>
      <c r="R74" s="116">
        <v>0</v>
      </c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201</v>
      </c>
      <c r="C75" s="35" t="s">
        <v>380</v>
      </c>
      <c r="F75" s="197"/>
      <c r="G75" s="197"/>
      <c r="H75" s="197"/>
      <c r="I75" s="202"/>
      <c r="J75" s="202"/>
      <c r="K75" s="202"/>
      <c r="L75" s="202">
        <v>27000</v>
      </c>
      <c r="M75" s="301">
        <v>27000</v>
      </c>
      <c r="N75" s="308">
        <v>12000</v>
      </c>
      <c r="O75" s="116">
        <v>12000</v>
      </c>
      <c r="P75" s="116">
        <v>12000</v>
      </c>
      <c r="Q75" s="116">
        <v>12000</v>
      </c>
      <c r="R75" s="116">
        <v>6000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2">
      <c r="A76" s="220" t="s">
        <v>342</v>
      </c>
      <c r="F76" s="197"/>
      <c r="G76" s="197"/>
      <c r="H76" s="197"/>
      <c r="I76" s="202"/>
      <c r="J76" s="202"/>
      <c r="K76" s="202"/>
      <c r="L76" s="202"/>
      <c r="M76" s="301"/>
      <c r="N76" s="308"/>
      <c r="O76" s="116">
        <f>SUM(O77:O80)</f>
        <v>59000</v>
      </c>
      <c r="P76" s="116">
        <f t="shared" ref="P76:Z76" si="39">SUM(P77:P80)</f>
        <v>59000</v>
      </c>
      <c r="Q76" s="116">
        <f t="shared" si="39"/>
        <v>59000</v>
      </c>
      <c r="R76" s="116">
        <f t="shared" si="39"/>
        <v>59000</v>
      </c>
      <c r="S76" s="116">
        <f t="shared" si="39"/>
        <v>59000</v>
      </c>
      <c r="T76" s="116">
        <f t="shared" si="39"/>
        <v>59000</v>
      </c>
      <c r="U76" s="116">
        <f t="shared" si="39"/>
        <v>59000</v>
      </c>
      <c r="V76" s="116">
        <f t="shared" si="39"/>
        <v>59000</v>
      </c>
      <c r="W76" s="116">
        <f t="shared" si="39"/>
        <v>59000</v>
      </c>
      <c r="X76" s="116">
        <f t="shared" si="39"/>
        <v>59000</v>
      </c>
      <c r="Y76" s="116">
        <f t="shared" si="39"/>
        <v>59000</v>
      </c>
      <c r="Z76" s="116">
        <f t="shared" si="39"/>
        <v>59000</v>
      </c>
      <c r="AA76" s="116"/>
      <c r="AB76" s="44"/>
      <c r="AC76" s="44"/>
      <c r="AD76" s="44"/>
      <c r="AE76" s="44"/>
      <c r="AF76" s="44"/>
      <c r="AG76" s="44"/>
      <c r="AM76" s="233"/>
    </row>
    <row r="77" spans="1:39" s="274" customFormat="1" x14ac:dyDescent="0.2">
      <c r="A77" s="282" t="s">
        <v>343</v>
      </c>
      <c r="F77" s="197"/>
      <c r="G77" s="197"/>
      <c r="H77" s="197"/>
      <c r="I77" s="202"/>
      <c r="J77" s="202"/>
      <c r="K77" s="202"/>
      <c r="L77" s="202"/>
      <c r="M77" s="301"/>
      <c r="N77" s="308"/>
      <c r="O77" s="279">
        <f>'Stimulus Round 2'!$C$13*4/12</f>
        <v>9666.6666666666661</v>
      </c>
      <c r="P77" s="279">
        <f>'Stimulus Round 2'!$C$13*4/12</f>
        <v>9666.6666666666661</v>
      </c>
      <c r="Q77" s="279">
        <f>'Stimulus Round 2'!$C$13*4/12</f>
        <v>9666.6666666666661</v>
      </c>
      <c r="R77" s="279">
        <f>'Stimulus Round 2'!$C$13*4/12</f>
        <v>9666.6666666666661</v>
      </c>
      <c r="S77" s="279">
        <f>'Stimulus Round 2'!$C$13*4/12</f>
        <v>9666.6666666666661</v>
      </c>
      <c r="T77" s="279">
        <f>'Stimulus Round 2'!$C$13*4/12</f>
        <v>9666.6666666666661</v>
      </c>
      <c r="U77" s="279">
        <f>'Stimulus Round 2'!$C$13*4/12</f>
        <v>9666.6666666666661</v>
      </c>
      <c r="V77" s="279">
        <f>'Stimulus Round 2'!$C$13*4/12</f>
        <v>9666.6666666666661</v>
      </c>
      <c r="W77" s="279">
        <f>'Stimulus Round 2'!$C$13*4/12</f>
        <v>9666.6666666666661</v>
      </c>
      <c r="X77" s="279">
        <f>'Stimulus Round 2'!$C$13*4/12</f>
        <v>9666.6666666666661</v>
      </c>
      <c r="Y77" s="279">
        <f>'Stimulus Round 2'!$C$13*4/12</f>
        <v>9666.6666666666661</v>
      </c>
      <c r="Z77" s="279">
        <f>'Stimulus Round 2'!$C$13*4/12</f>
        <v>9666.6666666666661</v>
      </c>
      <c r="AA77" s="276"/>
      <c r="AB77" s="276"/>
      <c r="AC77" s="276"/>
      <c r="AD77" s="276"/>
      <c r="AE77" s="276"/>
      <c r="AF77" s="276"/>
      <c r="AG77" s="276"/>
      <c r="AM77" s="280"/>
    </row>
    <row r="78" spans="1:39" s="274" customFormat="1" x14ac:dyDescent="0.2">
      <c r="A78" s="282" t="s">
        <v>344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79">
        <f>'Stimulus Round 2'!$C$5*4/12</f>
        <v>27333.333333333332</v>
      </c>
      <c r="P78" s="279">
        <f>'Stimulus Round 2'!$C$5*4/12</f>
        <v>27333.333333333332</v>
      </c>
      <c r="Q78" s="279">
        <f>'Stimulus Round 2'!$C$5*4/12</f>
        <v>27333.333333333332</v>
      </c>
      <c r="R78" s="279">
        <f>'Stimulus Round 2'!$C$5*4/12</f>
        <v>27333.333333333332</v>
      </c>
      <c r="S78" s="279">
        <f>'Stimulus Round 2'!$C$5*4/12</f>
        <v>27333.333333333332</v>
      </c>
      <c r="T78" s="279">
        <f>'Stimulus Round 2'!$C$5*4/12</f>
        <v>27333.333333333332</v>
      </c>
      <c r="U78" s="279">
        <f>'Stimulus Round 2'!$C$5*4/12</f>
        <v>27333.333333333332</v>
      </c>
      <c r="V78" s="279">
        <f>'Stimulus Round 2'!$C$5*4/12</f>
        <v>27333.333333333332</v>
      </c>
      <c r="W78" s="279">
        <f>'Stimulus Round 2'!$C$5*4/12</f>
        <v>27333.333333333332</v>
      </c>
      <c r="X78" s="279">
        <f>'Stimulus Round 2'!$C$5*4/12</f>
        <v>27333.333333333332</v>
      </c>
      <c r="Y78" s="279">
        <f>'Stimulus Round 2'!$C$5*4/12</f>
        <v>27333.333333333332</v>
      </c>
      <c r="Z78" s="279">
        <f>'Stimulus Round 2'!$C$5*4/12</f>
        <v>27333.333333333332</v>
      </c>
      <c r="AA78" s="276"/>
      <c r="AB78" s="276"/>
      <c r="AC78" s="276"/>
      <c r="AD78" s="276"/>
      <c r="AE78" s="276"/>
      <c r="AF78" s="276"/>
      <c r="AG78" s="276"/>
      <c r="AM78" s="280"/>
    </row>
    <row r="79" spans="1:39" s="274" customFormat="1" x14ac:dyDescent="0.2">
      <c r="A79" s="282" t="s">
        <v>348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2'!$C$10*4/12</f>
        <v>4000</v>
      </c>
      <c r="P79" s="279">
        <f>'Stimulus Round 2'!$C$10*4/12</f>
        <v>4000</v>
      </c>
      <c r="Q79" s="279">
        <f>'Stimulus Round 2'!$C$10*4/12</f>
        <v>4000</v>
      </c>
      <c r="R79" s="279">
        <f>'Stimulus Round 2'!$C$10*4/12</f>
        <v>4000</v>
      </c>
      <c r="S79" s="279">
        <f>'Stimulus Round 2'!$C$10*4/12</f>
        <v>4000</v>
      </c>
      <c r="T79" s="279">
        <f>'Stimulus Round 2'!$C$10*4/12</f>
        <v>4000</v>
      </c>
      <c r="U79" s="279">
        <f>'Stimulus Round 2'!$C$10*4/12</f>
        <v>4000</v>
      </c>
      <c r="V79" s="279">
        <f>'Stimulus Round 2'!$C$10*4/12</f>
        <v>4000</v>
      </c>
      <c r="W79" s="279">
        <f>'Stimulus Round 2'!$C$10*4/12</f>
        <v>4000</v>
      </c>
      <c r="X79" s="279">
        <f>'Stimulus Round 2'!$C$10*4/12</f>
        <v>4000</v>
      </c>
      <c r="Y79" s="279">
        <f>'Stimulus Round 2'!$C$10*4/12</f>
        <v>4000</v>
      </c>
      <c r="Z79" s="279">
        <f>'Stimulus Round 2'!$C$10*4/12</f>
        <v>4000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350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2'!$C$16*4/12</f>
        <v>18000</v>
      </c>
      <c r="P80" s="279">
        <f>'Stimulus Round 2'!$C$16*4/12</f>
        <v>18000</v>
      </c>
      <c r="Q80" s="279">
        <f>'Stimulus Round 2'!$C$16*4/12</f>
        <v>18000</v>
      </c>
      <c r="R80" s="279">
        <f>'Stimulus Round 2'!$C$16*4/12</f>
        <v>18000</v>
      </c>
      <c r="S80" s="279">
        <f>'Stimulus Round 2'!$C$16*4/12</f>
        <v>18000</v>
      </c>
      <c r="T80" s="279">
        <f>'Stimulus Round 2'!$C$16*4/12</f>
        <v>18000</v>
      </c>
      <c r="U80" s="279">
        <f>'Stimulus Round 2'!$C$16*4/12</f>
        <v>18000</v>
      </c>
      <c r="V80" s="279">
        <f>'Stimulus Round 2'!$C$16*4/12</f>
        <v>18000</v>
      </c>
      <c r="W80" s="279">
        <f>'Stimulus Round 2'!$C$16*4/12</f>
        <v>18000</v>
      </c>
      <c r="X80" s="279">
        <f>'Stimulus Round 2'!$C$16*4/12</f>
        <v>18000</v>
      </c>
      <c r="Y80" s="279">
        <f>'Stimulus Round 2'!$C$16*4/12</f>
        <v>18000</v>
      </c>
      <c r="Z80" s="279">
        <f>'Stimulus Round 2'!$C$16*4/12</f>
        <v>18000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35" customFormat="1" x14ac:dyDescent="0.2">
      <c r="A81" s="145" t="s">
        <v>217</v>
      </c>
      <c r="B81" s="141"/>
      <c r="E81" s="141"/>
      <c r="F81" s="197"/>
      <c r="G81" s="197"/>
      <c r="H81" s="197"/>
      <c r="I81" s="202"/>
      <c r="J81" s="202"/>
      <c r="K81" s="202">
        <f>K67-K90</f>
        <v>204376</v>
      </c>
      <c r="L81" s="206">
        <f>L69+L71</f>
        <v>279250</v>
      </c>
      <c r="M81" s="301">
        <v>300600</v>
      </c>
      <c r="N81" s="308">
        <f>N69+N71</f>
        <v>303951</v>
      </c>
      <c r="O81" s="144">
        <f t="shared" ref="O81:Z81" si="40">O69+O71</f>
        <v>346741.49947361497</v>
      </c>
      <c r="P81" s="144">
        <f t="shared" si="40"/>
        <v>319648.63001710753</v>
      </c>
      <c r="Q81" s="144">
        <f t="shared" si="40"/>
        <v>320711.26865377021</v>
      </c>
      <c r="R81" s="144">
        <f t="shared" si="40"/>
        <v>316244.08517867886</v>
      </c>
      <c r="S81" s="144">
        <f t="shared" si="40"/>
        <v>311989.95960222604</v>
      </c>
      <c r="T81" s="144">
        <f t="shared" si="40"/>
        <v>313757.79375261872</v>
      </c>
      <c r="U81" s="144">
        <f t="shared" si="40"/>
        <v>315721.64407812891</v>
      </c>
      <c r="V81" s="144">
        <f t="shared" si="40"/>
        <v>317528.49383340345</v>
      </c>
      <c r="W81" s="144">
        <f t="shared" si="40"/>
        <v>319535.31291864807</v>
      </c>
      <c r="X81" s="144">
        <f t="shared" si="40"/>
        <v>271376.56499844254</v>
      </c>
      <c r="Y81" s="144">
        <f t="shared" si="40"/>
        <v>273419.66277456295</v>
      </c>
      <c r="Z81" s="144">
        <f t="shared" si="40"/>
        <v>275486.27947886748</v>
      </c>
      <c r="AA81" s="44"/>
      <c r="AB81" s="44"/>
      <c r="AC81" s="44"/>
      <c r="AD81" s="44"/>
      <c r="AE81" s="44"/>
      <c r="AF81" s="44"/>
      <c r="AG81" s="44"/>
      <c r="AM81" s="233"/>
    </row>
    <row r="82" spans="1:39" s="35" customFormat="1" x14ac:dyDescent="0.2">
      <c r="F82" s="197"/>
      <c r="G82" s="197"/>
      <c r="H82" s="197"/>
      <c r="I82" s="197"/>
      <c r="J82" s="197"/>
      <c r="K82" s="197"/>
      <c r="L82" s="203"/>
      <c r="M82" s="301"/>
      <c r="N82" s="310"/>
      <c r="O82" s="135"/>
      <c r="P82" s="135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M82" s="233"/>
    </row>
    <row r="83" spans="1:39" s="35" customFormat="1" x14ac:dyDescent="0.2">
      <c r="A83" s="35" t="s">
        <v>17</v>
      </c>
      <c r="B83" s="35" t="s">
        <v>281</v>
      </c>
      <c r="C83" t="s">
        <v>315</v>
      </c>
      <c r="D83"/>
      <c r="F83" s="206">
        <v>1241.5999999999999</v>
      </c>
      <c r="G83" s="206">
        <v>1245.8</v>
      </c>
      <c r="H83" s="206">
        <v>1473.6</v>
      </c>
      <c r="I83" s="206">
        <v>1288.5</v>
      </c>
      <c r="J83" s="206">
        <v>1301.0999999999999</v>
      </c>
      <c r="K83" s="206">
        <v>1306.0999999999999</v>
      </c>
      <c r="L83" s="206">
        <v>1360.1</v>
      </c>
      <c r="M83" s="301">
        <v>1335.133</v>
      </c>
      <c r="N83" s="308">
        <f>VLOOKUP($C$83,'Haver NA'!$A$1:$J$34,10,0)/1000</f>
        <v>1333.307</v>
      </c>
      <c r="O83" s="116"/>
      <c r="P83" s="116"/>
      <c r="Q83" s="116"/>
      <c r="R83" s="116"/>
      <c r="S83" s="116"/>
      <c r="T83" s="116"/>
      <c r="U83" s="116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I83" s="44"/>
      <c r="AJ83" s="44"/>
      <c r="AK83" s="44"/>
      <c r="AL83" s="44"/>
      <c r="AM83" s="235"/>
    </row>
    <row r="84" spans="1:39" s="35" customFormat="1" x14ac:dyDescent="0.2">
      <c r="A84" s="114" t="s">
        <v>203</v>
      </c>
      <c r="B84" s="35" t="s">
        <v>281</v>
      </c>
      <c r="C84" t="s">
        <v>316</v>
      </c>
      <c r="D84"/>
      <c r="F84" s="197"/>
      <c r="G84" s="197"/>
      <c r="H84" s="197"/>
      <c r="I84" s="197"/>
      <c r="J84" s="197">
        <v>1447.9</v>
      </c>
      <c r="K84" s="197">
        <v>1452.6</v>
      </c>
      <c r="L84" s="197">
        <v>1504.8</v>
      </c>
      <c r="M84" s="301">
        <v>1487.0350000000001</v>
      </c>
      <c r="N84" s="301">
        <f>VLOOKUP($C$84,'Haver NA'!$A$1:$J$34,10,0)/1000</f>
        <v>1493.5530000000001</v>
      </c>
      <c r="O84">
        <v>1504.3514552807801</v>
      </c>
      <c r="P84">
        <v>1511.252602267454</v>
      </c>
      <c r="Q84">
        <v>1519.3368030232709</v>
      </c>
      <c r="R84">
        <v>1530.997960524671</v>
      </c>
      <c r="S84">
        <v>1544.2799915439159</v>
      </c>
      <c r="T84">
        <v>1557.72908484966</v>
      </c>
      <c r="U84">
        <v>1572.6694039177321</v>
      </c>
      <c r="V84">
        <v>1586.4153149483291</v>
      </c>
      <c r="W84">
        <v>1601.682526026475</v>
      </c>
      <c r="X84">
        <v>1615.690158481731</v>
      </c>
      <c r="Y84">
        <v>1631.2333657547081</v>
      </c>
      <c r="Z84">
        <v>1646.9554971985581</v>
      </c>
      <c r="AA84"/>
      <c r="AB84"/>
      <c r="AE84" s="44"/>
      <c r="AF84" s="44"/>
      <c r="AG84" s="44"/>
      <c r="AI84" s="44"/>
      <c r="AJ84" s="44"/>
      <c r="AK84" s="44"/>
      <c r="AL84" s="44"/>
      <c r="AM84" s="235"/>
    </row>
    <row r="85" spans="1:39" s="185" customFormat="1" ht="12" x14ac:dyDescent="0.15">
      <c r="A85" s="169" t="s">
        <v>202</v>
      </c>
      <c r="F85" s="207"/>
      <c r="G85" s="207"/>
      <c r="H85" s="207"/>
      <c r="I85" s="207"/>
      <c r="J85" s="207"/>
      <c r="K85" s="207"/>
      <c r="L85" s="207"/>
      <c r="M85" s="302">
        <v>-1.1805555555555514E-2</v>
      </c>
      <c r="N85" s="311">
        <f>N84/M84-1</f>
        <v>4.3832189558417056E-3</v>
      </c>
      <c r="O85" s="196">
        <v>4.0136860113173497E-3</v>
      </c>
      <c r="P85" s="196">
        <v>4.58745658300019E-3</v>
      </c>
      <c r="Q85" s="196">
        <v>5.3493378563505001E-3</v>
      </c>
      <c r="R85" s="196">
        <v>7.6751629251630097E-3</v>
      </c>
      <c r="S85" s="196">
        <v>8.6754073889774297E-3</v>
      </c>
      <c r="T85" s="196">
        <v>8.7089733593570494E-3</v>
      </c>
      <c r="U85" s="196">
        <v>9.5910894990538492E-3</v>
      </c>
      <c r="V85" s="196">
        <v>8.7404962520116793E-3</v>
      </c>
      <c r="W85" s="196">
        <v>9.6237163965124904E-3</v>
      </c>
      <c r="X85" s="196">
        <v>8.7455736250097206E-3</v>
      </c>
      <c r="Y85" s="196">
        <v>9.6201658414398795E-3</v>
      </c>
      <c r="Z85" s="196">
        <v>9.6381865243271303E-3</v>
      </c>
      <c r="AA85" s="186"/>
      <c r="AB85" s="186"/>
      <c r="AE85" s="187"/>
      <c r="AF85" s="187"/>
      <c r="AG85" s="187"/>
      <c r="AI85" s="187"/>
      <c r="AJ85" s="187"/>
      <c r="AK85" s="187"/>
      <c r="AL85" s="187"/>
      <c r="AM85" s="237"/>
    </row>
    <row r="86" spans="1:39" s="185" customFormat="1" x14ac:dyDescent="0.2">
      <c r="A86" s="114" t="s">
        <v>357</v>
      </c>
      <c r="F86" s="207"/>
      <c r="G86" s="207"/>
      <c r="H86" s="207"/>
      <c r="I86" s="207"/>
      <c r="J86" s="207"/>
      <c r="K86" s="207"/>
      <c r="L86" s="207"/>
      <c r="M86" s="302"/>
      <c r="N86" s="311"/>
      <c r="O86" s="102">
        <f>SUM(O87:O89)</f>
        <v>71400</v>
      </c>
      <c r="P86" s="102">
        <f t="shared" ref="P86:R86" si="41">SUM(P87:P89)</f>
        <v>71400</v>
      </c>
      <c r="Q86" s="102">
        <f t="shared" si="41"/>
        <v>30600</v>
      </c>
      <c r="R86" s="102">
        <f t="shared" si="41"/>
        <v>30600</v>
      </c>
      <c r="S86" s="186"/>
      <c r="T86" s="186"/>
      <c r="U86" s="186"/>
      <c r="V86" s="186"/>
      <c r="W86" s="186"/>
      <c r="X86" s="186"/>
      <c r="Y86" s="186"/>
      <c r="Z86" s="186"/>
      <c r="AA86" s="186"/>
      <c r="AB86" s="186"/>
      <c r="AE86" s="187"/>
      <c r="AF86" s="187"/>
      <c r="AG86" s="187"/>
      <c r="AI86" s="187"/>
      <c r="AJ86" s="187"/>
      <c r="AK86" s="187"/>
      <c r="AL86" s="187"/>
      <c r="AM86" s="237"/>
    </row>
    <row r="87" spans="1:39" s="285" customFormat="1" x14ac:dyDescent="0.2">
      <c r="A87" s="284" t="s">
        <v>353</v>
      </c>
      <c r="F87" s="300"/>
      <c r="G87" s="300"/>
      <c r="H87" s="300"/>
      <c r="I87" s="300"/>
      <c r="J87" s="300"/>
      <c r="K87" s="300"/>
      <c r="L87" s="300"/>
      <c r="M87" s="305"/>
      <c r="N87" s="312"/>
      <c r="O87" s="279">
        <f>('Stimulus Round 2'!$C7*0.7*4)/2</f>
        <v>30799.999999999996</v>
      </c>
      <c r="P87" s="279">
        <f>('Stimulus Round 2'!$C7*0.7*4)/2</f>
        <v>30799.999999999996</v>
      </c>
      <c r="Q87" s="279">
        <f>('Stimulus Round 2'!$C7*0.3*4)/2</f>
        <v>13200</v>
      </c>
      <c r="R87" s="279">
        <f>('Stimulus Round 2'!$C7*0.3*4)/2</f>
        <v>13200</v>
      </c>
      <c r="S87" s="286"/>
      <c r="T87" s="286"/>
      <c r="U87" s="286"/>
      <c r="V87" s="286"/>
      <c r="W87" s="286"/>
      <c r="X87" s="286"/>
      <c r="Y87" s="286"/>
      <c r="Z87" s="286"/>
      <c r="AA87" s="286"/>
      <c r="AB87" s="286"/>
      <c r="AE87" s="287"/>
      <c r="AF87" s="287"/>
      <c r="AG87" s="287"/>
      <c r="AI87" s="287"/>
      <c r="AJ87" s="287"/>
      <c r="AK87" s="287"/>
      <c r="AL87" s="287"/>
      <c r="AM87" s="288"/>
    </row>
    <row r="88" spans="1:39" s="285" customFormat="1" x14ac:dyDescent="0.2">
      <c r="A88" s="284" t="s">
        <v>354</v>
      </c>
      <c r="F88" s="300"/>
      <c r="G88" s="300"/>
      <c r="H88" s="300"/>
      <c r="I88" s="300"/>
      <c r="J88" s="300"/>
      <c r="K88" s="300"/>
      <c r="L88" s="300"/>
      <c r="M88" s="305"/>
      <c r="N88" s="312"/>
      <c r="O88" s="279">
        <f>('Stimulus Round 2'!$C8*0.7*4)/2</f>
        <v>28000</v>
      </c>
      <c r="P88" s="279">
        <f>('Stimulus Round 2'!$C8*0.7*4)/2</f>
        <v>28000</v>
      </c>
      <c r="Q88" s="279">
        <f>('Stimulus Round 2'!$C8*0.3*4)/2</f>
        <v>12000</v>
      </c>
      <c r="R88" s="279">
        <f>('Stimulus Round 2'!$C8*0.3*4)/2</f>
        <v>12000</v>
      </c>
      <c r="S88" s="286"/>
      <c r="T88" s="286"/>
      <c r="U88" s="286"/>
      <c r="V88" s="286"/>
      <c r="W88" s="286"/>
      <c r="X88" s="286"/>
      <c r="Y88" s="286"/>
      <c r="Z88" s="286"/>
      <c r="AA88" s="286"/>
      <c r="AB88" s="286"/>
      <c r="AE88" s="287"/>
      <c r="AF88" s="287"/>
      <c r="AG88" s="287"/>
      <c r="AI88" s="287"/>
      <c r="AJ88" s="287"/>
      <c r="AK88" s="287"/>
      <c r="AL88" s="287"/>
      <c r="AM88" s="288"/>
    </row>
    <row r="89" spans="1:39" s="285" customFormat="1" x14ac:dyDescent="0.2">
      <c r="A89" s="284" t="s">
        <v>355</v>
      </c>
      <c r="F89" s="300"/>
      <c r="G89" s="300"/>
      <c r="H89" s="300"/>
      <c r="I89" s="300"/>
      <c r="J89" s="300"/>
      <c r="K89" s="300"/>
      <c r="L89" s="300"/>
      <c r="M89" s="305"/>
      <c r="N89" s="312"/>
      <c r="O89" s="279">
        <f>('Stimulus Round 2'!$C9*0.7*4)/2</f>
        <v>12600</v>
      </c>
      <c r="P89" s="279">
        <f>('Stimulus Round 2'!$C9*0.7*4)/2</f>
        <v>12600</v>
      </c>
      <c r="Q89" s="279">
        <f>('Stimulus Round 2'!$C9*0.3*4)/2</f>
        <v>5400</v>
      </c>
      <c r="R89" s="279">
        <f>('Stimulus Round 2'!$C9*0.3*4)/2</f>
        <v>5400</v>
      </c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E89" s="287"/>
      <c r="AF89" s="287"/>
      <c r="AG89" s="287"/>
      <c r="AI89" s="287"/>
      <c r="AJ89" s="287"/>
      <c r="AK89" s="287"/>
      <c r="AL89" s="287"/>
      <c r="AM89" s="288"/>
    </row>
    <row r="90" spans="1:39" s="35" customFormat="1" x14ac:dyDescent="0.2">
      <c r="A90" s="35" t="s">
        <v>204</v>
      </c>
      <c r="B90" s="35" t="s">
        <v>281</v>
      </c>
      <c r="C90" t="s">
        <v>317</v>
      </c>
      <c r="D90"/>
      <c r="F90" s="206">
        <v>389624</v>
      </c>
      <c r="G90" s="206">
        <v>404529</v>
      </c>
      <c r="H90" s="206">
        <v>419672</v>
      </c>
      <c r="I90" s="206">
        <v>418824</v>
      </c>
      <c r="J90" s="206">
        <v>411409</v>
      </c>
      <c r="K90" s="206">
        <v>423429</v>
      </c>
      <c r="L90" s="206">
        <v>512640</v>
      </c>
      <c r="M90" s="301">
        <v>486072</v>
      </c>
      <c r="N90" s="308">
        <f>VLOOKUP($C$90,'Haver NA'!$A$1:$J$34,10,0)</f>
        <v>512193</v>
      </c>
      <c r="O90" s="116">
        <f t="shared" ref="O90:S90" si="42">O97*0.74</f>
        <v>507477.24811825115</v>
      </c>
      <c r="P90" s="116">
        <f t="shared" si="42"/>
        <v>512541.31638321205</v>
      </c>
      <c r="Q90" s="116">
        <f t="shared" si="42"/>
        <v>512541.31638321205</v>
      </c>
      <c r="R90" s="116">
        <f t="shared" si="42"/>
        <v>512541.31638321205</v>
      </c>
      <c r="S90" s="116">
        <f t="shared" si="42"/>
        <v>512541.31638321205</v>
      </c>
      <c r="T90" s="116">
        <f>T97*0.68</f>
        <v>470983.91235214088</v>
      </c>
      <c r="U90" s="116">
        <f>U97*0.68</f>
        <v>470983.91235214088</v>
      </c>
      <c r="V90" s="116">
        <f>V97*0.68</f>
        <v>470983.91235214088</v>
      </c>
      <c r="W90" s="116"/>
      <c r="X90" s="116"/>
      <c r="Y90" s="116"/>
      <c r="Z90" s="116"/>
      <c r="AA90" s="116"/>
      <c r="AB90" s="116"/>
      <c r="AC90" s="44">
        <f>AVERAGE(F90:I90)/1000</f>
        <v>408.16224999999997</v>
      </c>
      <c r="AD90" s="45">
        <f>AVERAGE(J90:M90)</f>
        <v>458387.5</v>
      </c>
      <c r="AE90" s="45">
        <f>AVERAGE(N90:Q90)</f>
        <v>511188.22022116883</v>
      </c>
      <c r="AF90" s="45">
        <f>AVERAGE(R90:U90)</f>
        <v>491762.61436767643</v>
      </c>
      <c r="AH90" s="35">
        <v>409.42</v>
      </c>
      <c r="AI90" s="84">
        <f>'figuring out Medicaid'!G11</f>
        <v>466.24400000000003</v>
      </c>
      <c r="AJ90" s="84">
        <f>'figuring out Medicaid'!H11</f>
        <v>537.41499999999996</v>
      </c>
      <c r="AK90" s="84">
        <f>'figuring out Medicaid'!I11</f>
        <v>516.01800000000003</v>
      </c>
      <c r="AL90" s="84"/>
      <c r="AM90" s="233"/>
    </row>
    <row r="91" spans="1:39" s="35" customFormat="1" x14ac:dyDescent="0.2">
      <c r="A91" s="141" t="s">
        <v>161</v>
      </c>
      <c r="B91" s="141"/>
      <c r="E91" s="141"/>
      <c r="F91" s="201">
        <f t="shared" ref="F91:L91" si="43">F49+F46+F35+F41</f>
        <v>1440187</v>
      </c>
      <c r="G91" s="201">
        <f t="shared" si="43"/>
        <v>1503410</v>
      </c>
      <c r="H91" s="201">
        <f t="shared" si="43"/>
        <v>1508652</v>
      </c>
      <c r="I91" s="201">
        <f t="shared" si="43"/>
        <v>1513957</v>
      </c>
      <c r="J91" s="201">
        <f t="shared" si="43"/>
        <v>1521941</v>
      </c>
      <c r="K91" s="201">
        <f t="shared" si="43"/>
        <v>1574462</v>
      </c>
      <c r="L91" s="201">
        <f t="shared" si="43"/>
        <v>3729557.333333333</v>
      </c>
      <c r="M91" s="301">
        <v>2466001</v>
      </c>
      <c r="N91" s="306">
        <f>N49+N46+N35+N41+N36</f>
        <v>2027793</v>
      </c>
      <c r="O91" s="142">
        <f t="shared" ref="O91:Z91" si="44">O49+O46+O35+O41+O36+O37+O38</f>
        <v>3107701.3980484894</v>
      </c>
      <c r="P91" s="142">
        <f t="shared" si="44"/>
        <v>1874848.87398125</v>
      </c>
      <c r="Q91" s="142">
        <f t="shared" si="44"/>
        <v>1686467.5074263907</v>
      </c>
      <c r="R91" s="142">
        <f t="shared" si="44"/>
        <v>1683044.5200377863</v>
      </c>
      <c r="S91" s="142">
        <f t="shared" si="44"/>
        <v>1687990.187838353</v>
      </c>
      <c r="T91" s="142">
        <f t="shared" si="44"/>
        <v>1713310.0406559282</v>
      </c>
      <c r="U91" s="142">
        <f t="shared" si="44"/>
        <v>1739009.691265767</v>
      </c>
      <c r="V91" s="142">
        <f t="shared" si="44"/>
        <v>1756399.7881784246</v>
      </c>
      <c r="W91" s="142">
        <f t="shared" si="44"/>
        <v>0</v>
      </c>
      <c r="X91" s="142">
        <f t="shared" si="44"/>
        <v>0</v>
      </c>
      <c r="Y91" s="142">
        <f t="shared" si="44"/>
        <v>0</v>
      </c>
      <c r="Z91" s="142">
        <f t="shared" si="44"/>
        <v>0</v>
      </c>
      <c r="AM91" s="233"/>
    </row>
    <row r="92" spans="1:39" s="35" customFormat="1" x14ac:dyDescent="0.2">
      <c r="A92" s="141" t="s">
        <v>214</v>
      </c>
      <c r="B92" s="141"/>
      <c r="E92" s="141"/>
      <c r="F92" s="197"/>
      <c r="G92" s="197"/>
      <c r="H92" s="197"/>
      <c r="I92" s="197"/>
      <c r="J92" s="197"/>
      <c r="K92" s="197"/>
      <c r="L92" s="203">
        <f>L90+L34</f>
        <v>1336698</v>
      </c>
      <c r="M92" s="301">
        <v>1328805</v>
      </c>
      <c r="N92" s="310">
        <f>N90+N34</f>
        <v>1372787</v>
      </c>
      <c r="O92" s="143">
        <f t="shared" ref="O92:Z92" si="45">O90+O34</f>
        <v>1390610.1625906522</v>
      </c>
      <c r="P92" s="143">
        <f t="shared" si="45"/>
        <v>1418489.158978964</v>
      </c>
      <c r="Q92" s="143">
        <f t="shared" si="45"/>
        <v>1441583.4808422038</v>
      </c>
      <c r="R92" s="143">
        <f t="shared" si="45"/>
        <v>1483962.7404801806</v>
      </c>
      <c r="S92" s="143">
        <f t="shared" si="45"/>
        <v>1515727.7827888038</v>
      </c>
      <c r="T92" s="143">
        <f t="shared" si="45"/>
        <v>1506974.123618965</v>
      </c>
      <c r="U92" s="143">
        <f t="shared" si="45"/>
        <v>1540850.5361376633</v>
      </c>
      <c r="V92" s="143">
        <f t="shared" si="45"/>
        <v>1551631.6801380017</v>
      </c>
      <c r="W92" s="143">
        <f t="shared" si="45"/>
        <v>1091537.5543621723</v>
      </c>
      <c r="X92" s="143">
        <f t="shared" si="45"/>
        <v>1102537.0783156503</v>
      </c>
      <c r="Y92" s="143">
        <f t="shared" si="45"/>
        <v>1113647.4454798999</v>
      </c>
      <c r="Z92" s="143">
        <f t="shared" si="45"/>
        <v>0</v>
      </c>
      <c r="AM92" s="233"/>
    </row>
    <row r="93" spans="1:39" s="35" customFormat="1" x14ac:dyDescent="0.2">
      <c r="F93" s="197"/>
      <c r="G93" s="197"/>
      <c r="H93" s="197"/>
      <c r="I93" s="197"/>
      <c r="J93" s="197"/>
      <c r="K93" s="197"/>
      <c r="L93" s="197"/>
      <c r="M93" s="301"/>
      <c r="N93" s="301"/>
      <c r="AM93" s="233"/>
    </row>
    <row r="94" spans="1:39" s="35" customFormat="1" x14ac:dyDescent="0.2">
      <c r="A94" s="35" t="s">
        <v>15</v>
      </c>
      <c r="B94" s="35" t="s">
        <v>281</v>
      </c>
      <c r="C94" t="s">
        <v>318</v>
      </c>
      <c r="D94"/>
      <c r="F94" s="197">
        <v>728844</v>
      </c>
      <c r="G94" s="197">
        <v>738714</v>
      </c>
      <c r="H94" s="197">
        <v>755204</v>
      </c>
      <c r="I94" s="197">
        <v>763370</v>
      </c>
      <c r="J94" s="197">
        <v>760967</v>
      </c>
      <c r="K94" s="197">
        <v>767087</v>
      </c>
      <c r="L94" s="197">
        <v>812158</v>
      </c>
      <c r="M94" s="301">
        <v>828480</v>
      </c>
      <c r="N94" s="303">
        <f>VLOOKUP($C$94,'Haver NA'!$A$1:$J$34,10,0)</f>
        <v>818740</v>
      </c>
      <c r="O94" s="133">
        <f t="shared" ref="O94:U94" si="46">O95+O97</f>
        <v>833187.26602163713</v>
      </c>
      <c r="P94" s="133">
        <f t="shared" si="46"/>
        <v>842504.18011550407</v>
      </c>
      <c r="Q94" s="133">
        <f t="shared" si="46"/>
        <v>844415.87532647082</v>
      </c>
      <c r="R94" s="133">
        <f t="shared" si="46"/>
        <v>845998.19061933178</v>
      </c>
      <c r="S94" s="133">
        <f t="shared" si="46"/>
        <v>847741.96665636217</v>
      </c>
      <c r="T94" s="133">
        <f t="shared" si="46"/>
        <v>849375.94938735757</v>
      </c>
      <c r="U94" s="133">
        <f t="shared" si="46"/>
        <v>850848.47137418366</v>
      </c>
      <c r="V94" s="133">
        <f t="shared" ref="V94" si="47">V95+V97</f>
        <v>852146.61575730611</v>
      </c>
      <c r="AM94" s="233"/>
    </row>
    <row r="95" spans="1:39" s="35" customFormat="1" x14ac:dyDescent="0.2">
      <c r="A95" s="35" t="s">
        <v>230</v>
      </c>
      <c r="F95" s="203">
        <f t="shared" ref="F95:K95" si="48">F94-F97</f>
        <v>139025</v>
      </c>
      <c r="G95" s="203">
        <f t="shared" si="48"/>
        <v>139342</v>
      </c>
      <c r="H95" s="203">
        <f t="shared" si="48"/>
        <v>140228</v>
      </c>
      <c r="I95" s="203">
        <f t="shared" si="48"/>
        <v>141105</v>
      </c>
      <c r="J95" s="203">
        <f t="shared" si="48"/>
        <v>141335</v>
      </c>
      <c r="K95" s="203">
        <f t="shared" si="48"/>
        <v>142991</v>
      </c>
      <c r="L95" s="203">
        <f>L94-L97</f>
        <v>143335</v>
      </c>
      <c r="M95" s="301">
        <v>144777</v>
      </c>
      <c r="N95" s="303">
        <f>N94-N97</f>
        <v>145108</v>
      </c>
      <c r="O95" s="133">
        <f>N95*(1+O106)</f>
        <v>147407.20099697346</v>
      </c>
      <c r="P95" s="133">
        <f t="shared" ref="P95:V95" si="49">O95*(1+P106)</f>
        <v>149880.77959764996</v>
      </c>
      <c r="Q95" s="133">
        <f t="shared" si="49"/>
        <v>151792.47480861668</v>
      </c>
      <c r="R95" s="133">
        <f t="shared" si="49"/>
        <v>153374.79010147764</v>
      </c>
      <c r="S95" s="133">
        <f t="shared" si="49"/>
        <v>155118.56613850809</v>
      </c>
      <c r="T95" s="133">
        <f t="shared" si="49"/>
        <v>156752.54886950349</v>
      </c>
      <c r="U95" s="133">
        <f t="shared" si="49"/>
        <v>158225.07085632949</v>
      </c>
      <c r="V95" s="133">
        <f t="shared" si="49"/>
        <v>159523.21523945199</v>
      </c>
      <c r="AM95" s="233"/>
    </row>
    <row r="96" spans="1:39" s="35" customFormat="1" x14ac:dyDescent="0.2">
      <c r="F96" s="203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2">
      <c r="A97" s="35" t="s">
        <v>227</v>
      </c>
      <c r="B97" s="35" t="s">
        <v>281</v>
      </c>
      <c r="C97" t="s">
        <v>319</v>
      </c>
      <c r="D97"/>
      <c r="F97" s="197">
        <v>589819</v>
      </c>
      <c r="G97" s="197">
        <v>599372</v>
      </c>
      <c r="H97" s="197">
        <v>614976</v>
      </c>
      <c r="I97" s="197">
        <v>622265</v>
      </c>
      <c r="J97" s="197">
        <v>619632</v>
      </c>
      <c r="K97" s="197">
        <v>624096</v>
      </c>
      <c r="L97" s="197">
        <v>668823</v>
      </c>
      <c r="M97" s="301">
        <v>683703</v>
      </c>
      <c r="N97" s="310">
        <f>VLOOKUP($C$97,'Haver NA'!$A$1:$J$34,10,0)</f>
        <v>673632</v>
      </c>
      <c r="O97" s="135">
        <f>N97*(($AJ$97/$AI$97)^0.18)</f>
        <v>685780.06502466369</v>
      </c>
      <c r="P97" s="135">
        <f>O97*(($AJ$97/$AI$97)^0.1)</f>
        <v>692623.40051785414</v>
      </c>
      <c r="Q97" s="135">
        <f>P97*(1+Q98)</f>
        <v>692623.40051785414</v>
      </c>
      <c r="R97" s="135">
        <f t="shared" ref="R97:V97" si="50">Q97*(1+R98)</f>
        <v>692623.40051785414</v>
      </c>
      <c r="S97" s="135">
        <f t="shared" si="50"/>
        <v>692623.40051785414</v>
      </c>
      <c r="T97" s="135">
        <f t="shared" si="50"/>
        <v>692623.40051785414</v>
      </c>
      <c r="U97" s="135">
        <f t="shared" si="50"/>
        <v>692623.40051785414</v>
      </c>
      <c r="V97" s="135">
        <f t="shared" si="50"/>
        <v>692623.40051785414</v>
      </c>
      <c r="AD97" s="45">
        <f>AVERAGE(J97:M97)/1000</f>
        <v>649.06349999999998</v>
      </c>
      <c r="AE97" s="45">
        <f>AVERAGE(N97:Q97)/1000</f>
        <v>686.16471651509301</v>
      </c>
      <c r="AF97" s="45">
        <f>AVERAGE(R97:U97)/1000</f>
        <v>692.62340051785418</v>
      </c>
      <c r="AH97" s="84"/>
      <c r="AI97" s="84">
        <f>'figuring out Medicaid'!G13</f>
        <v>657.17435271149407</v>
      </c>
      <c r="AJ97" s="84">
        <f>'figuring out Medicaid'!H13</f>
        <v>725.7777402928042</v>
      </c>
      <c r="AK97" s="84">
        <f>'figuring out Medicaid'!I13</f>
        <v>727.33117238501666</v>
      </c>
      <c r="AL97" s="84"/>
      <c r="AM97" s="233"/>
    </row>
    <row r="98" spans="1:39" s="185" customFormat="1" x14ac:dyDescent="0.2">
      <c r="A98" s="169" t="s">
        <v>269</v>
      </c>
      <c r="F98" s="207"/>
      <c r="G98" s="207"/>
      <c r="H98" s="207"/>
      <c r="I98" s="207"/>
      <c r="J98" s="200"/>
      <c r="K98" s="200"/>
      <c r="L98" s="200"/>
      <c r="M98" s="301"/>
      <c r="N98" s="302"/>
      <c r="O98" s="175"/>
      <c r="P98" s="175"/>
      <c r="Q98" s="175">
        <v>0</v>
      </c>
      <c r="R98" s="175">
        <v>0</v>
      </c>
      <c r="S98" s="175">
        <v>0</v>
      </c>
      <c r="T98" s="175">
        <v>0</v>
      </c>
      <c r="U98" s="175">
        <v>0</v>
      </c>
      <c r="V98" s="175">
        <v>0</v>
      </c>
      <c r="W98" s="175"/>
      <c r="AM98" s="234"/>
    </row>
    <row r="99" spans="1:39" s="153" customFormat="1" ht="12" x14ac:dyDescent="0.15">
      <c r="A99" s="153" t="s">
        <v>222</v>
      </c>
      <c r="F99" s="208">
        <f t="shared" ref="F99:L99" si="51">F90/F97</f>
        <v>0.66058231423538405</v>
      </c>
      <c r="G99" s="208">
        <f t="shared" si="51"/>
        <v>0.6749214177505789</v>
      </c>
      <c r="H99" s="208">
        <f t="shared" si="51"/>
        <v>0.68242012696430432</v>
      </c>
      <c r="I99" s="208">
        <f t="shared" si="51"/>
        <v>0.6730637268687778</v>
      </c>
      <c r="J99" s="208">
        <f t="shared" si="51"/>
        <v>0.66395699382859508</v>
      </c>
      <c r="K99" s="208">
        <f t="shared" si="51"/>
        <v>0.67846773573296415</v>
      </c>
      <c r="L99" s="208">
        <f t="shared" si="51"/>
        <v>0.76648081779484256</v>
      </c>
      <c r="M99" s="208">
        <v>0.71094027669909299</v>
      </c>
      <c r="N99" s="208">
        <f t="shared" ref="N99" si="52">N90/N97</f>
        <v>0.76034541114436371</v>
      </c>
      <c r="AD99" s="154"/>
      <c r="AE99" s="154"/>
      <c r="AF99" s="154"/>
      <c r="AH99" s="155"/>
      <c r="AI99" s="155"/>
      <c r="AJ99" s="155"/>
      <c r="AM99" s="238"/>
    </row>
    <row r="100" spans="1:39" s="35" customFormat="1" x14ac:dyDescent="0.2">
      <c r="A100" s="35" t="s">
        <v>18</v>
      </c>
      <c r="B100" s="35" t="s">
        <v>281</v>
      </c>
      <c r="C100" t="s">
        <v>320</v>
      </c>
      <c r="D100"/>
      <c r="F100" s="197">
        <v>1997.1</v>
      </c>
      <c r="G100" s="197">
        <v>2012.7</v>
      </c>
      <c r="H100" s="197">
        <v>2025.5</v>
      </c>
      <c r="I100" s="197">
        <v>2028.3</v>
      </c>
      <c r="J100" s="197">
        <v>2035.6</v>
      </c>
      <c r="K100" s="197">
        <v>2041</v>
      </c>
      <c r="L100" s="197">
        <v>2013.1</v>
      </c>
      <c r="M100" s="301">
        <v>1993.0509999999999</v>
      </c>
      <c r="N100" s="301">
        <f>VLOOKUP($C$100,'Haver NA'!$A$1:$J$34,10,0)/1000</f>
        <v>1984.547</v>
      </c>
      <c r="O100" s="35">
        <f>N100*(1+O102)</f>
        <v>2009.5840333646127</v>
      </c>
      <c r="P100" s="35">
        <f t="shared" ref="P100:V100" si="53">O100*(1+P102)</f>
        <v>2031.5173022625379</v>
      </c>
      <c r="Q100" s="35">
        <f t="shared" si="53"/>
        <v>2046.001536440413</v>
      </c>
      <c r="R100" s="35">
        <f t="shared" si="53"/>
        <v>2056.0370415493694</v>
      </c>
      <c r="S100" s="35">
        <f t="shared" si="53"/>
        <v>2065.9690878427696</v>
      </c>
      <c r="T100" s="35">
        <f t="shared" si="53"/>
        <v>2073.2112049317075</v>
      </c>
      <c r="U100" s="35">
        <f t="shared" si="53"/>
        <v>2077.6599340006264</v>
      </c>
      <c r="V100" s="35">
        <f t="shared" si="53"/>
        <v>2079.3152750495265</v>
      </c>
      <c r="AM100" s="233"/>
    </row>
    <row r="101" spans="1:39" s="185" customFormat="1" x14ac:dyDescent="0.2">
      <c r="A101" s="169" t="s">
        <v>285</v>
      </c>
      <c r="B101" s="35"/>
      <c r="C101" s="35"/>
      <c r="D101" s="35"/>
      <c r="F101" s="200"/>
      <c r="G101" s="200">
        <f t="shared" ref="G101:L101" si="54">(G100/F100)-1</f>
        <v>7.8113264233139468E-3</v>
      </c>
      <c r="H101" s="200">
        <f t="shared" si="54"/>
        <v>6.3596164356336526E-3</v>
      </c>
      <c r="I101" s="200">
        <f t="shared" si="54"/>
        <v>1.3823747222907468E-3</v>
      </c>
      <c r="J101" s="200">
        <f t="shared" si="54"/>
        <v>3.5990731154167399E-3</v>
      </c>
      <c r="K101" s="200">
        <f t="shared" si="54"/>
        <v>2.6527805069758159E-3</v>
      </c>
      <c r="L101" s="200">
        <f t="shared" si="54"/>
        <v>-1.36697697207252E-2</v>
      </c>
      <c r="M101" s="302">
        <v>-9.9592668024439668E-3</v>
      </c>
      <c r="N101" s="313">
        <f>(N100/M100)-1</f>
        <v>-4.2668250837534227E-3</v>
      </c>
      <c r="O101" s="252"/>
      <c r="P101" s="252"/>
      <c r="Q101" s="252"/>
      <c r="R101" s="252"/>
      <c r="S101" s="252"/>
      <c r="T101" s="252"/>
      <c r="U101" s="252"/>
      <c r="V101" s="252"/>
      <c r="W101" s="252"/>
      <c r="X101" s="252"/>
      <c r="Y101" s="252"/>
      <c r="AM101" s="234"/>
    </row>
    <row r="102" spans="1:39" s="185" customFormat="1" x14ac:dyDescent="0.2">
      <c r="A102" s="169" t="s">
        <v>286</v>
      </c>
      <c r="B102" s="35" t="s">
        <v>281</v>
      </c>
      <c r="C102" s="35"/>
      <c r="D102" s="35"/>
      <c r="F102" s="207"/>
      <c r="G102" s="207"/>
      <c r="H102" s="207"/>
      <c r="I102" s="207"/>
      <c r="J102" s="200"/>
      <c r="K102" s="200"/>
      <c r="L102" s="200"/>
      <c r="M102" s="301"/>
      <c r="N102" s="302"/>
      <c r="O102" s="196">
        <v>1.26159941611927E-2</v>
      </c>
      <c r="P102" s="196">
        <v>1.0914332784184499E-2</v>
      </c>
      <c r="Q102" s="196">
        <v>7.1297616622529904E-3</v>
      </c>
      <c r="R102" s="196">
        <v>4.9049352750809598E-3</v>
      </c>
      <c r="S102" s="196">
        <v>4.8306747848840797E-3</v>
      </c>
      <c r="T102" s="196">
        <v>3.5054334218038701E-3</v>
      </c>
      <c r="U102" s="196">
        <v>2.14581565946403E-3</v>
      </c>
      <c r="V102" s="196">
        <v>7.9673339308827796E-4</v>
      </c>
      <c r="W102" s="196">
        <v>3.9804955716982198E-4</v>
      </c>
      <c r="X102" s="196">
        <v>1.1439371331942701E-3</v>
      </c>
      <c r="Y102" s="196">
        <v>8.9423220229512001E-4</v>
      </c>
      <c r="Z102" s="185">
        <v>8.4379808408208102E-4</v>
      </c>
      <c r="AM102" s="234"/>
    </row>
    <row r="103" spans="1:39" s="35" customFormat="1" x14ac:dyDescent="0.2">
      <c r="A103" s="35" t="s">
        <v>216</v>
      </c>
      <c r="B103" s="35" t="s">
        <v>281</v>
      </c>
      <c r="C103" t="s">
        <v>321</v>
      </c>
      <c r="D103"/>
      <c r="F103" s="197"/>
      <c r="G103" s="197"/>
      <c r="H103" s="197"/>
      <c r="I103" s="197"/>
      <c r="J103" s="197">
        <v>2357.4</v>
      </c>
      <c r="K103" s="197">
        <v>2381.6</v>
      </c>
      <c r="L103" s="197">
        <v>2334.5</v>
      </c>
      <c r="M103" s="301">
        <v>2329.605</v>
      </c>
      <c r="N103" s="301">
        <f>VLOOKUP($C$103,'Haver NA'!$A$1:$J$34,10,0)/1000</f>
        <v>2337.201</v>
      </c>
      <c r="O103">
        <v>2469.9411956560398</v>
      </c>
      <c r="P103">
        <v>2511.3882460388099</v>
      </c>
      <c r="Q103">
        <v>2543.4204311910298</v>
      </c>
      <c r="R103">
        <v>2569.93355741499</v>
      </c>
      <c r="S103">
        <v>2599.1521046822099</v>
      </c>
      <c r="T103">
        <v>2626.53096564002</v>
      </c>
      <c r="U103">
        <v>2651.2044055545698</v>
      </c>
      <c r="V103">
        <v>2672.95599074239</v>
      </c>
      <c r="W103">
        <v>2693.9500580381</v>
      </c>
      <c r="X103">
        <v>2717.3248958518798</v>
      </c>
      <c r="Y103">
        <v>2740.4832999822002</v>
      </c>
      <c r="AM103" s="233"/>
    </row>
    <row r="104" spans="1:39" s="35" customFormat="1" x14ac:dyDescent="0.2">
      <c r="F104" s="197"/>
      <c r="G104" s="197"/>
      <c r="H104" s="197"/>
      <c r="I104" s="197"/>
      <c r="J104" s="197"/>
      <c r="K104" s="197"/>
      <c r="L104" s="197"/>
      <c r="M104" s="301"/>
      <c r="N104" s="301"/>
      <c r="O104">
        <f>N104*(1+O107)</f>
        <v>0</v>
      </c>
      <c r="P104">
        <f t="shared" ref="P104:S104" si="55">O104*(1+P107)</f>
        <v>0</v>
      </c>
      <c r="Q104">
        <f t="shared" si="55"/>
        <v>0</v>
      </c>
      <c r="R104">
        <f t="shared" si="55"/>
        <v>0</v>
      </c>
      <c r="S104">
        <f t="shared" si="55"/>
        <v>0</v>
      </c>
      <c r="T104">
        <f>S104*(1+T106)</f>
        <v>0</v>
      </c>
      <c r="U104">
        <f t="shared" ref="U104:V104" si="56">T104*(1+U106)</f>
        <v>0</v>
      </c>
      <c r="V104">
        <f t="shared" si="56"/>
        <v>0</v>
      </c>
      <c r="W104"/>
      <c r="X104"/>
      <c r="Y104"/>
      <c r="AM104" s="233"/>
    </row>
    <row r="105" spans="1:39" s="185" customFormat="1" x14ac:dyDescent="0.2">
      <c r="A105" s="169" t="s">
        <v>285</v>
      </c>
      <c r="B105" s="35"/>
      <c r="C105" s="35"/>
      <c r="D105" s="35"/>
      <c r="F105" s="200"/>
      <c r="G105" s="200"/>
      <c r="H105" s="200"/>
      <c r="I105" s="200"/>
      <c r="J105" s="200"/>
      <c r="K105" s="200">
        <f t="shared" ref="K105" si="57">(K103/J103)-1</f>
        <v>1.0265546788835067E-2</v>
      </c>
      <c r="L105" s="200">
        <f t="shared" ref="L105" si="58">(L103/K103)-1</f>
        <v>-1.9776620759153429E-2</v>
      </c>
      <c r="M105" s="302">
        <v>-8.3608921686818549E-3</v>
      </c>
      <c r="N105" s="313">
        <f>(((N103/M103))^4)-1</f>
        <v>1.3106483787577172E-2</v>
      </c>
      <c r="O105" s="252"/>
      <c r="P105" s="252"/>
      <c r="Q105" s="252"/>
      <c r="R105" s="252"/>
      <c r="S105" s="252"/>
      <c r="T105" s="252"/>
      <c r="U105" s="252"/>
      <c r="V105" s="252"/>
      <c r="W105" s="252"/>
      <c r="X105" s="252"/>
      <c r="Y105" s="252"/>
      <c r="AM105" s="234"/>
    </row>
    <row r="106" spans="1:39" s="185" customFormat="1" x14ac:dyDescent="0.2">
      <c r="A106" s="169" t="s">
        <v>286</v>
      </c>
      <c r="F106" s="207"/>
      <c r="G106" s="207"/>
      <c r="H106" s="207"/>
      <c r="I106" s="207"/>
      <c r="J106" s="207"/>
      <c r="K106" s="200"/>
      <c r="L106" s="200"/>
      <c r="M106" s="301"/>
      <c r="N106" s="302"/>
      <c r="O106" s="196">
        <v>1.5844756987715813E-2</v>
      </c>
      <c r="P106" s="196">
        <v>1.6780581843673259E-2</v>
      </c>
      <c r="Q106" s="196">
        <v>1.2754772266988512E-2</v>
      </c>
      <c r="R106" s="196">
        <v>1.0424201165808666E-2</v>
      </c>
      <c r="S106" s="196">
        <v>1.1369378473976788E-2</v>
      </c>
      <c r="T106" s="175">
        <f>T103/S103-1</f>
        <v>1.053376634191161E-2</v>
      </c>
      <c r="U106" s="175">
        <f>U103/T103-1</f>
        <v>9.3939269086582566E-3</v>
      </c>
      <c r="V106" s="175">
        <f>V103/U103-1</f>
        <v>8.2044165067951536E-3</v>
      </c>
      <c r="AM106" s="234"/>
    </row>
    <row r="107" spans="1:39" s="185" customFormat="1" x14ac:dyDescent="0.2">
      <c r="A107" s="169" t="s">
        <v>373</v>
      </c>
      <c r="F107" s="207"/>
      <c r="G107" s="207"/>
      <c r="H107" s="207"/>
      <c r="I107" s="207"/>
      <c r="J107" s="207"/>
      <c r="K107" s="200"/>
      <c r="L107" s="200"/>
      <c r="M107" s="301"/>
      <c r="N107" s="302"/>
      <c r="O107" s="175">
        <v>2.5000000000000001E-3</v>
      </c>
      <c r="P107" s="175">
        <v>2.5000000000000001E-3</v>
      </c>
      <c r="Q107" s="175">
        <v>5.0000000000000001E-3</v>
      </c>
      <c r="R107" s="175">
        <v>7.4999999999999997E-3</v>
      </c>
      <c r="S107" s="175">
        <v>0.01</v>
      </c>
      <c r="T107" s="175"/>
      <c r="U107" s="175"/>
      <c r="V107" s="175"/>
      <c r="AM107" s="234"/>
    </row>
    <row r="108" spans="1:39" s="35" customFormat="1" x14ac:dyDescent="0.2">
      <c r="A108" s="35" t="s">
        <v>163</v>
      </c>
      <c r="F108" s="201">
        <f t="shared" ref="F108:L108" si="59">F94+F45-F90</f>
        <v>339220</v>
      </c>
      <c r="G108" s="201">
        <f t="shared" si="59"/>
        <v>334185</v>
      </c>
      <c r="H108" s="201">
        <f t="shared" si="59"/>
        <v>335532</v>
      </c>
      <c r="I108" s="201">
        <f t="shared" si="59"/>
        <v>344546</v>
      </c>
      <c r="J108" s="201">
        <f t="shared" si="59"/>
        <v>349558</v>
      </c>
      <c r="K108" s="201">
        <f t="shared" si="59"/>
        <v>343658</v>
      </c>
      <c r="L108" s="201">
        <f t="shared" si="59"/>
        <v>560584.66666666674</v>
      </c>
      <c r="M108" s="301">
        <v>528408</v>
      </c>
      <c r="N108" s="306">
        <f>N94+N45-N90</f>
        <v>343247</v>
      </c>
      <c r="O108" s="215">
        <f t="shared" ref="O108:Y108" si="60">O94+O45-O90</f>
        <v>385710.01790338597</v>
      </c>
      <c r="P108" s="215">
        <f t="shared" si="60"/>
        <v>373962.86373229203</v>
      </c>
      <c r="Q108" s="215">
        <f t="shared" si="60"/>
        <v>375874.55894325877</v>
      </c>
      <c r="R108" s="215">
        <f t="shared" si="60"/>
        <v>377456.87423611974</v>
      </c>
      <c r="S108" s="215">
        <f t="shared" si="60"/>
        <v>379200.65027315012</v>
      </c>
      <c r="T108" s="215">
        <f t="shared" si="60"/>
        <v>422392.03703521669</v>
      </c>
      <c r="U108" s="215">
        <f t="shared" si="60"/>
        <v>423864.55902204278</v>
      </c>
      <c r="V108" s="215">
        <f t="shared" si="60"/>
        <v>425162.70340516523</v>
      </c>
      <c r="W108" s="215">
        <f t="shared" si="60"/>
        <v>0</v>
      </c>
      <c r="X108" s="215">
        <f t="shared" si="60"/>
        <v>0</v>
      </c>
      <c r="Y108" s="215">
        <f t="shared" si="60"/>
        <v>0</v>
      </c>
      <c r="AM108" s="233"/>
    </row>
    <row r="109" spans="1:39" s="35" customFormat="1" x14ac:dyDescent="0.2">
      <c r="A109" s="141" t="s">
        <v>213</v>
      </c>
      <c r="B109" s="141"/>
      <c r="E109" s="141"/>
      <c r="F109" s="201">
        <f t="shared" ref="F109:L109" si="61">F97-F90</f>
        <v>200195</v>
      </c>
      <c r="G109" s="201">
        <f t="shared" si="61"/>
        <v>194843</v>
      </c>
      <c r="H109" s="201">
        <f t="shared" si="61"/>
        <v>195304</v>
      </c>
      <c r="I109" s="201">
        <f t="shared" si="61"/>
        <v>203441</v>
      </c>
      <c r="J109" s="201">
        <f t="shared" si="61"/>
        <v>208223</v>
      </c>
      <c r="K109" s="201">
        <f t="shared" si="61"/>
        <v>200667</v>
      </c>
      <c r="L109" s="201">
        <f t="shared" si="61"/>
        <v>156183</v>
      </c>
      <c r="M109" s="301">
        <v>197631</v>
      </c>
      <c r="N109" s="306">
        <f>N97-N90</f>
        <v>161439</v>
      </c>
      <c r="O109" s="142">
        <f t="shared" ref="O109:Y109" si="62">O97-O90</f>
        <v>178302.81690641254</v>
      </c>
      <c r="P109" s="142">
        <f t="shared" si="62"/>
        <v>180082.08413464209</v>
      </c>
      <c r="Q109" s="142">
        <f t="shared" si="62"/>
        <v>180082.08413464209</v>
      </c>
      <c r="R109" s="142">
        <f t="shared" si="62"/>
        <v>180082.08413464209</v>
      </c>
      <c r="S109" s="142">
        <f t="shared" si="62"/>
        <v>180082.08413464209</v>
      </c>
      <c r="T109" s="142">
        <f t="shared" si="62"/>
        <v>221639.48816571326</v>
      </c>
      <c r="U109" s="142">
        <f t="shared" si="62"/>
        <v>221639.48816571326</v>
      </c>
      <c r="V109" s="142">
        <f t="shared" si="62"/>
        <v>221639.48816571326</v>
      </c>
      <c r="W109" s="142">
        <f t="shared" si="62"/>
        <v>0</v>
      </c>
      <c r="X109" s="142">
        <f t="shared" si="62"/>
        <v>0</v>
      </c>
      <c r="Y109" s="142">
        <f t="shared" si="62"/>
        <v>0</v>
      </c>
      <c r="AM109" s="233"/>
    </row>
    <row r="110" spans="1:39" s="141" customFormat="1" x14ac:dyDescent="0.2">
      <c r="A110" s="141" t="s">
        <v>231</v>
      </c>
      <c r="C110" s="35"/>
      <c r="D110" s="35"/>
      <c r="F110" s="201">
        <f t="shared" ref="F110:K110" si="63">F108-F109</f>
        <v>139025</v>
      </c>
      <c r="G110" s="201">
        <f t="shared" si="63"/>
        <v>139342</v>
      </c>
      <c r="H110" s="201">
        <f t="shared" si="63"/>
        <v>140228</v>
      </c>
      <c r="I110" s="201">
        <f t="shared" si="63"/>
        <v>141105</v>
      </c>
      <c r="J110" s="201">
        <f t="shared" si="63"/>
        <v>141335</v>
      </c>
      <c r="K110" s="201">
        <f t="shared" si="63"/>
        <v>142991</v>
      </c>
      <c r="L110" s="201">
        <f>L108-L109</f>
        <v>404401.66666666674</v>
      </c>
      <c r="M110" s="306">
        <v>330777</v>
      </c>
      <c r="N110" s="306">
        <f>N108-N109</f>
        <v>181808</v>
      </c>
      <c r="O110" s="142">
        <f t="shared" ref="O110:Y110" si="64">O108-O109</f>
        <v>207407.20099697344</v>
      </c>
      <c r="P110" s="142">
        <f t="shared" si="64"/>
        <v>193880.77959764993</v>
      </c>
      <c r="Q110" s="142">
        <f t="shared" si="64"/>
        <v>195792.47480861668</v>
      </c>
      <c r="R110" s="142">
        <f t="shared" si="64"/>
        <v>197374.79010147764</v>
      </c>
      <c r="S110" s="142">
        <f t="shared" si="64"/>
        <v>199118.56613850803</v>
      </c>
      <c r="T110" s="142">
        <f t="shared" si="64"/>
        <v>200752.54886950343</v>
      </c>
      <c r="U110" s="142">
        <f t="shared" si="64"/>
        <v>202225.07085632952</v>
      </c>
      <c r="V110" s="142">
        <f t="shared" si="64"/>
        <v>203523.21523945197</v>
      </c>
      <c r="W110" s="142">
        <f t="shared" si="64"/>
        <v>0</v>
      </c>
      <c r="X110" s="142">
        <f t="shared" si="64"/>
        <v>0</v>
      </c>
      <c r="Y110" s="142">
        <f t="shared" si="64"/>
        <v>0</v>
      </c>
      <c r="AM110" s="256"/>
    </row>
    <row r="111" spans="1:39" s="35" customFormat="1" x14ac:dyDescent="0.2">
      <c r="A111"/>
      <c r="F111" s="213"/>
      <c r="G111" s="213"/>
      <c r="H111" s="213"/>
      <c r="I111" s="213"/>
      <c r="J111" s="213"/>
      <c r="K111" s="213"/>
      <c r="L111" s="135"/>
      <c r="M111" s="135"/>
      <c r="N111" s="94"/>
      <c r="O111" s="94"/>
      <c r="P111" s="94"/>
      <c r="Q111" s="94"/>
      <c r="R111" s="94"/>
      <c r="S111" s="94"/>
      <c r="T111" s="94"/>
      <c r="U111" s="94"/>
      <c r="V111"/>
      <c r="AM111" s="233"/>
    </row>
    <row r="112" spans="1:39" s="185" customFormat="1" x14ac:dyDescent="0.2">
      <c r="A112" s="169"/>
      <c r="F112" s="193"/>
      <c r="G112" s="193"/>
      <c r="H112" s="193"/>
      <c r="I112" s="193"/>
      <c r="J112" s="193"/>
      <c r="K112" s="193"/>
      <c r="L112" s="193"/>
      <c r="M112" s="214"/>
      <c r="N112" s="193"/>
      <c r="O112" s="193"/>
      <c r="P112" s="193"/>
      <c r="Q112" s="193"/>
      <c r="R112" s="193"/>
      <c r="S112" s="193"/>
      <c r="T112" s="193"/>
      <c r="U112" s="193"/>
      <c r="AM112" s="234"/>
    </row>
    <row r="113" spans="1:35" x14ac:dyDescent="0.2">
      <c r="A113" t="s">
        <v>158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:35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:35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  <row r="116" spans="1:35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5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5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0 AC16:AC17 AC11 AC13:AC14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89" t="s">
        <v>361</v>
      </c>
      <c r="B2" s="289">
        <v>325</v>
      </c>
      <c r="C2" s="290">
        <f>B2*1000</f>
        <v>325000</v>
      </c>
    </row>
    <row r="3" spans="1:3" x14ac:dyDescent="0.2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363</v>
      </c>
      <c r="B6" s="289">
        <v>63</v>
      </c>
      <c r="C6" s="290">
        <f t="shared" si="0"/>
        <v>63000</v>
      </c>
    </row>
    <row r="7" spans="1:3" x14ac:dyDescent="0.2">
      <c r="A7" s="291" t="s">
        <v>353</v>
      </c>
      <c r="B7">
        <v>22</v>
      </c>
      <c r="C7" s="290">
        <f>B7*1000</f>
        <v>22000</v>
      </c>
    </row>
    <row r="8" spans="1:3" x14ac:dyDescent="0.2">
      <c r="A8" s="176" t="s">
        <v>354</v>
      </c>
      <c r="B8">
        <v>20</v>
      </c>
      <c r="C8" s="290">
        <f>B8*1000</f>
        <v>20000</v>
      </c>
    </row>
    <row r="9" spans="1:3" x14ac:dyDescent="0.2">
      <c r="A9" s="176" t="s">
        <v>355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364</v>
      </c>
      <c r="B11" s="289">
        <v>45</v>
      </c>
      <c r="C11" s="290">
        <f t="shared" si="0"/>
        <v>45000</v>
      </c>
    </row>
    <row r="12" spans="1:3" x14ac:dyDescent="0.2">
      <c r="A12" s="291" t="s">
        <v>365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366</v>
      </c>
      <c r="B14" s="289">
        <v>80</v>
      </c>
      <c r="C14" s="290">
        <f t="shared" si="0"/>
        <v>80000</v>
      </c>
    </row>
    <row r="15" spans="1:3" x14ac:dyDescent="0.2">
      <c r="A15" s="291" t="s">
        <v>347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367</v>
      </c>
      <c r="B17">
        <v>30</v>
      </c>
      <c r="C17" s="290">
        <f t="shared" si="0"/>
        <v>30000</v>
      </c>
    </row>
    <row r="18" spans="1:3" x14ac:dyDescent="0.2">
      <c r="A18" s="291" t="s">
        <v>368</v>
      </c>
      <c r="B18">
        <v>20</v>
      </c>
      <c r="C18" s="290">
        <f t="shared" si="0"/>
        <v>20000</v>
      </c>
    </row>
    <row r="19" spans="1:3" x14ac:dyDescent="0.2">
      <c r="A19" s="291" t="s">
        <v>369</v>
      </c>
      <c r="B19">
        <v>5</v>
      </c>
      <c r="C19" s="290">
        <f t="shared" si="0"/>
        <v>5000</v>
      </c>
    </row>
    <row r="20" spans="1:3" ht="16" thickBot="1" x14ac:dyDescent="0.25">
      <c r="A20" s="293" t="s">
        <v>370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T73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15" sqref="E15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46" ht="19" x14ac:dyDescent="0.25">
      <c r="A1" s="336" t="s">
        <v>207</v>
      </c>
      <c r="B1" s="337"/>
      <c r="C1" s="35"/>
      <c r="H1"/>
      <c r="I1" s="240"/>
      <c r="J1" s="344" t="s">
        <v>280</v>
      </c>
      <c r="V1" s="328"/>
      <c r="W1" s="328"/>
      <c r="X1" s="328"/>
      <c r="Y1" s="328"/>
    </row>
    <row r="2" spans="1:46" x14ac:dyDescent="0.2">
      <c r="A2" s="338" t="s">
        <v>191</v>
      </c>
      <c r="B2" s="126"/>
      <c r="C2" t="s">
        <v>192</v>
      </c>
      <c r="I2" s="241"/>
      <c r="J2" s="344"/>
    </row>
    <row r="3" spans="1:46" x14ac:dyDescent="0.2">
      <c r="A3" s="339"/>
      <c r="B3" s="127"/>
      <c r="C3" t="s">
        <v>193</v>
      </c>
      <c r="I3" s="241"/>
      <c r="J3" s="344"/>
    </row>
    <row r="4" spans="1:46" x14ac:dyDescent="0.2">
      <c r="A4" s="339"/>
      <c r="B4" s="128"/>
      <c r="C4" t="s">
        <v>194</v>
      </c>
    </row>
    <row r="5" spans="1:46" x14ac:dyDescent="0.2">
      <c r="A5" s="340"/>
      <c r="B5" s="129"/>
      <c r="C5" t="s">
        <v>181</v>
      </c>
    </row>
    <row r="7" spans="1:46" x14ac:dyDescent="0.2">
      <c r="C7" s="341" t="s">
        <v>160</v>
      </c>
      <c r="D7" s="342"/>
      <c r="E7" s="342"/>
      <c r="F7" s="343"/>
      <c r="G7" s="341" t="s">
        <v>165</v>
      </c>
      <c r="H7" s="342"/>
      <c r="I7" s="342"/>
      <c r="J7" s="343"/>
      <c r="K7" s="341" t="s">
        <v>176</v>
      </c>
      <c r="L7" s="342"/>
      <c r="M7" s="342"/>
      <c r="N7" s="342"/>
      <c r="O7" s="341" t="s">
        <v>270</v>
      </c>
      <c r="P7" s="342"/>
      <c r="Q7" s="342"/>
      <c r="R7" s="342"/>
      <c r="S7" s="341" t="s">
        <v>274</v>
      </c>
      <c r="T7" s="342"/>
      <c r="U7" s="342"/>
      <c r="V7" s="342"/>
      <c r="W7" s="341" t="s">
        <v>275</v>
      </c>
      <c r="X7" s="342"/>
      <c r="Y7" s="342"/>
      <c r="Z7" s="342"/>
      <c r="AA7" s="222" t="s">
        <v>276</v>
      </c>
    </row>
    <row r="8" spans="1:46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6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6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167.34017428738599</v>
      </c>
      <c r="I10">
        <v>173.273348574773</v>
      </c>
      <c r="J10">
        <v>179.20652286215901</v>
      </c>
      <c r="K10">
        <v>177.42276079295601</v>
      </c>
      <c r="L10">
        <v>175.63899872375401</v>
      </c>
      <c r="M10">
        <v>173.85523665455199</v>
      </c>
      <c r="N10">
        <v>172.07147458534899</v>
      </c>
      <c r="O10">
        <v>170.30521917757301</v>
      </c>
      <c r="P10">
        <v>168.53896376979699</v>
      </c>
      <c r="Q10">
        <v>166.77270836202001</v>
      </c>
      <c r="R10">
        <v>165.006452954244</v>
      </c>
      <c r="S10">
        <v>166.865827127796</v>
      </c>
      <c r="T10">
        <v>168.72520130134799</v>
      </c>
      <c r="U10">
        <v>170.584575474899</v>
      </c>
      <c r="V10">
        <v>172.443949648451</v>
      </c>
      <c r="W10">
        <v>174.79934589574</v>
      </c>
      <c r="X10">
        <v>177.15474214302901</v>
      </c>
      <c r="Y10">
        <v>179.51013839031901</v>
      </c>
      <c r="Z10">
        <v>181.86553463760799</v>
      </c>
      <c r="AA10">
        <v>184.316550602305</v>
      </c>
      <c r="AB10">
        <v>186.76756656700101</v>
      </c>
      <c r="AC10">
        <v>189.21858253169799</v>
      </c>
      <c r="AD10">
        <v>191.669598496395</v>
      </c>
      <c r="AE10">
        <v>194.21548389301</v>
      </c>
      <c r="AF10">
        <v>196.76136928962501</v>
      </c>
      <c r="AG10">
        <v>199.30725468623999</v>
      </c>
      <c r="AH10">
        <v>201.85314008285499</v>
      </c>
      <c r="AI10">
        <v>204.49522875225901</v>
      </c>
      <c r="AJ10">
        <v>207.137317421663</v>
      </c>
      <c r="AK10">
        <v>209.77940609106699</v>
      </c>
      <c r="AL10">
        <v>212.42149476047001</v>
      </c>
      <c r="AM10">
        <v>215.21889252623899</v>
      </c>
      <c r="AN10">
        <v>218.01629029200799</v>
      </c>
      <c r="AO10">
        <v>220.813688057777</v>
      </c>
      <c r="AP10">
        <v>223.61108582354601</v>
      </c>
      <c r="AQ10">
        <v>226.66491449667799</v>
      </c>
      <c r="AR10">
        <v>229.71874316981101</v>
      </c>
      <c r="AS10">
        <v>232.77257184294399</v>
      </c>
      <c r="AT10">
        <v>235.826400516077</v>
      </c>
    </row>
    <row r="11" spans="1:46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46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46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46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1378.3579870429701</v>
      </c>
      <c r="I14">
        <v>1383.92297408593</v>
      </c>
      <c r="J14">
        <v>1389.4879611289</v>
      </c>
      <c r="K14">
        <v>1425.27167973107</v>
      </c>
      <c r="L14">
        <v>1461.05539833324</v>
      </c>
      <c r="M14">
        <v>1496.8391169353999</v>
      </c>
      <c r="N14">
        <v>1532.6228355375699</v>
      </c>
      <c r="O14">
        <v>1537.1112064838801</v>
      </c>
      <c r="P14">
        <v>1541.5995774302</v>
      </c>
      <c r="Q14">
        <v>1546.08794837651</v>
      </c>
      <c r="R14">
        <v>1550.5763193228199</v>
      </c>
      <c r="S14">
        <v>1562.34285068649</v>
      </c>
      <c r="T14">
        <v>1574.1093820501501</v>
      </c>
      <c r="U14">
        <v>1585.8759134138199</v>
      </c>
      <c r="V14">
        <v>1597.64244477749</v>
      </c>
      <c r="W14">
        <v>1635.9193257586801</v>
      </c>
      <c r="X14">
        <v>1674.1962067398799</v>
      </c>
      <c r="Y14">
        <v>1712.47308772108</v>
      </c>
      <c r="Z14">
        <v>1750.7499687022801</v>
      </c>
      <c r="AA14">
        <v>1779.2915341776099</v>
      </c>
      <c r="AB14">
        <v>1807.8330996529301</v>
      </c>
      <c r="AC14">
        <v>1836.3746651282599</v>
      </c>
      <c r="AD14">
        <v>1864.9162306035801</v>
      </c>
      <c r="AE14">
        <v>1895.35590123887</v>
      </c>
      <c r="AF14">
        <v>1925.79557187416</v>
      </c>
      <c r="AG14">
        <v>1956.23524250944</v>
      </c>
      <c r="AH14">
        <v>1986.67491314473</v>
      </c>
      <c r="AI14">
        <v>2036.3219928257399</v>
      </c>
      <c r="AJ14">
        <v>2085.9690725067599</v>
      </c>
      <c r="AK14">
        <v>2135.6161521877698</v>
      </c>
      <c r="AL14">
        <v>2185.2632318687802</v>
      </c>
      <c r="AM14">
        <v>2183.7826684679499</v>
      </c>
      <c r="AN14">
        <v>2182.30210506712</v>
      </c>
      <c r="AO14">
        <v>2180.8215416662802</v>
      </c>
      <c r="AP14">
        <v>2179.3409782654498</v>
      </c>
      <c r="AQ14">
        <v>2229.9276800644402</v>
      </c>
      <c r="AR14">
        <v>2280.5143818634301</v>
      </c>
      <c r="AS14">
        <v>2331.10108366242</v>
      </c>
      <c r="AT14">
        <v>2381.6877854613999</v>
      </c>
    </row>
    <row r="15" spans="1:46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46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611.96656992985299</v>
      </c>
      <c r="I16">
        <v>614.17827301508498</v>
      </c>
      <c r="J16">
        <v>616.56665994164803</v>
      </c>
      <c r="K16">
        <v>619.14119591532699</v>
      </c>
      <c r="L16">
        <v>621.81353901545697</v>
      </c>
      <c r="M16">
        <v>624.53005307592002</v>
      </c>
      <c r="N16">
        <v>627.28127289093095</v>
      </c>
      <c r="O16">
        <v>630.06719846048804</v>
      </c>
      <c r="P16">
        <v>632.89413992178299</v>
      </c>
      <c r="Q16">
        <v>635.73370165745905</v>
      </c>
      <c r="R16">
        <v>638.61427928487205</v>
      </c>
      <c r="S16">
        <v>641.53587280402303</v>
      </c>
      <c r="T16">
        <v>644.48901700912495</v>
      </c>
      <c r="U16">
        <v>647.44847135141902</v>
      </c>
      <c r="V16">
        <v>650.42370103668804</v>
      </c>
      <c r="W16">
        <v>653.41470606493294</v>
      </c>
      <c r="X16">
        <v>656.41202123036805</v>
      </c>
      <c r="Y16">
        <v>659.39356105282798</v>
      </c>
      <c r="Z16">
        <v>662.378255943883</v>
      </c>
      <c r="AA16">
        <v>665.36295083493701</v>
      </c>
      <c r="AB16">
        <v>668.34449065739705</v>
      </c>
      <c r="AC16">
        <v>671.31341020547598</v>
      </c>
      <c r="AD16">
        <v>674.27286454776902</v>
      </c>
      <c r="AE16">
        <v>677.24178409584704</v>
      </c>
      <c r="AF16">
        <v>680.22963405549694</v>
      </c>
      <c r="AG16">
        <v>683.22694922093297</v>
      </c>
      <c r="AH16">
        <v>686.24634986653496</v>
      </c>
      <c r="AI16">
        <v>689.29730119808801</v>
      </c>
      <c r="AJ16">
        <v>692.36402787261795</v>
      </c>
      <c r="AK16">
        <v>695.46861537028997</v>
      </c>
      <c r="AL16">
        <v>698.59844341672397</v>
      </c>
      <c r="AM16">
        <v>701.75351201191904</v>
      </c>
      <c r="AN16">
        <v>704.930666087281</v>
      </c>
      <c r="AO16">
        <v>708.12359550561803</v>
      </c>
      <c r="AP16">
        <v>711.30705971816997</v>
      </c>
      <c r="AQ16">
        <v>714.49052393072202</v>
      </c>
      <c r="AR16">
        <v>717.67398814327396</v>
      </c>
      <c r="AS16">
        <v>720.84798715004104</v>
      </c>
      <c r="AT16">
        <v>724.00621081383099</v>
      </c>
    </row>
    <row r="17" spans="1:46" x14ac:dyDescent="0.2">
      <c r="B17" t="s">
        <v>195</v>
      </c>
      <c r="D17">
        <v>204.37100000000001</v>
      </c>
      <c r="E17">
        <v>252.25</v>
      </c>
      <c r="F17">
        <v>300.60000000000002</v>
      </c>
      <c r="G17">
        <v>225.90700000000001</v>
      </c>
      <c r="H17">
        <v>210.041753543699</v>
      </c>
      <c r="I17">
        <v>194.61359749402999</v>
      </c>
      <c r="J17">
        <v>179.76822865320401</v>
      </c>
      <c r="K17">
        <v>191.17307594225301</v>
      </c>
      <c r="L17">
        <v>203.37638597069</v>
      </c>
      <c r="M17">
        <v>215.66199298865499</v>
      </c>
      <c r="N17">
        <v>228.68219662636</v>
      </c>
      <c r="O17">
        <v>241.058465892621</v>
      </c>
      <c r="P17">
        <v>254.184146750856</v>
      </c>
      <c r="Q17">
        <v>266.689343292064</v>
      </c>
      <c r="R17">
        <v>279.950983357084</v>
      </c>
      <c r="S17">
        <v>281.79554962604601</v>
      </c>
      <c r="T17">
        <v>283.71706522607298</v>
      </c>
      <c r="U17">
        <v>285.68404918742999</v>
      </c>
      <c r="V17">
        <v>287.70871148223603</v>
      </c>
      <c r="W17">
        <v>288.21732438002601</v>
      </c>
      <c r="X17">
        <v>289.46575636245899</v>
      </c>
      <c r="Y17">
        <v>290.04112911790401</v>
      </c>
      <c r="Z17">
        <v>290.65842277810202</v>
      </c>
      <c r="AA17">
        <v>291.010133711366</v>
      </c>
      <c r="AB17">
        <v>292.101911257719</v>
      </c>
      <c r="AC17">
        <v>292.51155268901601</v>
      </c>
      <c r="AD17">
        <v>293.65890846872298</v>
      </c>
      <c r="AE17">
        <v>293.84585947983402</v>
      </c>
      <c r="AF17">
        <v>294.09589892261499</v>
      </c>
      <c r="AG17">
        <v>295.11868063575798</v>
      </c>
      <c r="AH17">
        <v>295.49053185748102</v>
      </c>
      <c r="AI17">
        <v>296.36685128347699</v>
      </c>
      <c r="AJ17">
        <v>296.57827048587302</v>
      </c>
      <c r="AK17">
        <v>297.61562666972401</v>
      </c>
      <c r="AL17">
        <v>298.73385125359198</v>
      </c>
      <c r="AM17">
        <v>298.69918887254198</v>
      </c>
      <c r="AN17">
        <v>299.48022891622901</v>
      </c>
      <c r="AO17">
        <v>299.58227132131799</v>
      </c>
      <c r="AP17">
        <v>300.462957803032</v>
      </c>
      <c r="AQ17">
        <v>300.57698288786003</v>
      </c>
      <c r="AR17">
        <v>299.97982404121399</v>
      </c>
      <c r="AS17">
        <v>300.17107474528501</v>
      </c>
      <c r="AT17">
        <v>300.38652281002402</v>
      </c>
    </row>
    <row r="19" spans="1:46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6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6" x14ac:dyDescent="0.2">
      <c r="B21" t="s">
        <v>184</v>
      </c>
      <c r="D21" s="102">
        <f>main!L109/1000</f>
        <v>156.18299999999999</v>
      </c>
      <c r="E21" s="104">
        <f>main!M109/1000</f>
        <v>197.631</v>
      </c>
      <c r="F21" s="104">
        <f>main!N109/1000</f>
        <v>161.43899999999999</v>
      </c>
      <c r="G21" s="149">
        <f>main!O109/1000</f>
        <v>178.30281690641254</v>
      </c>
      <c r="H21" s="104">
        <f>main!P109/1000</f>
        <v>180.08208413464209</v>
      </c>
      <c r="I21" s="104">
        <f>main!Q109/1000</f>
        <v>180.08208413464209</v>
      </c>
      <c r="J21" s="104">
        <f>main!R109/1000</f>
        <v>180.08208413464209</v>
      </c>
      <c r="K21" s="149">
        <f>main!S109/1000</f>
        <v>180.08208413464209</v>
      </c>
      <c r="L21" s="104">
        <f>main!T109/1000</f>
        <v>221.63948816571326</v>
      </c>
      <c r="M21" s="223">
        <f>main!U109/1000</f>
        <v>221.63948816571326</v>
      </c>
      <c r="N21" s="104">
        <f>M21*(1+N23)</f>
        <v>219.36545765829101</v>
      </c>
      <c r="O21" s="149">
        <f t="shared" ref="O21:AA21" si="0">N21*(1+O23)</f>
        <v>217.11374553225801</v>
      </c>
      <c r="P21" s="104">
        <f t="shared" si="0"/>
        <v>214.86203340622495</v>
      </c>
      <c r="Q21" s="104">
        <f t="shared" si="0"/>
        <v>212.61032128019067</v>
      </c>
      <c r="R21" s="104">
        <f t="shared" si="0"/>
        <v>210.35860915415765</v>
      </c>
      <c r="S21" s="149">
        <f t="shared" si="0"/>
        <v>212.72903381357398</v>
      </c>
      <c r="T21" s="104">
        <f t="shared" si="0"/>
        <v>215.09945847299031</v>
      </c>
      <c r="U21" s="104">
        <f t="shared" si="0"/>
        <v>217.46988313240539</v>
      </c>
      <c r="V21" s="104">
        <f t="shared" si="0"/>
        <v>219.84030779182174</v>
      </c>
      <c r="W21" s="149">
        <f t="shared" si="0"/>
        <v>222.84308659056381</v>
      </c>
      <c r="X21" s="104">
        <f t="shared" si="0"/>
        <v>225.84586538930591</v>
      </c>
      <c r="Y21" s="104">
        <f t="shared" si="0"/>
        <v>228.84864418804926</v>
      </c>
      <c r="Z21" s="104">
        <f t="shared" si="0"/>
        <v>231.85142298679131</v>
      </c>
      <c r="AA21" s="149">
        <f t="shared" si="0"/>
        <v>234.97610265911464</v>
      </c>
      <c r="AB21" s="95"/>
    </row>
    <row r="22" spans="1:46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167.34017428738599</v>
      </c>
      <c r="I22" s="104">
        <f t="shared" si="1"/>
        <v>173.273348574773</v>
      </c>
      <c r="J22" s="104">
        <f t="shared" si="1"/>
        <v>179.20652286215901</v>
      </c>
      <c r="K22" s="149">
        <f t="shared" si="1"/>
        <v>177.42276079295601</v>
      </c>
      <c r="L22" s="104">
        <f t="shared" si="1"/>
        <v>175.63899872375401</v>
      </c>
      <c r="M22" s="223">
        <f t="shared" si="1"/>
        <v>173.85523665455199</v>
      </c>
      <c r="N22" s="104">
        <f t="shared" si="1"/>
        <v>172.07147458534899</v>
      </c>
      <c r="O22" s="149">
        <f t="shared" si="1"/>
        <v>170.30521917757301</v>
      </c>
      <c r="P22" s="104">
        <f t="shared" si="1"/>
        <v>168.53896376979699</v>
      </c>
      <c r="Q22" s="104">
        <f t="shared" si="1"/>
        <v>166.77270836202001</v>
      </c>
      <c r="R22" s="104">
        <f t="shared" si="1"/>
        <v>165.006452954244</v>
      </c>
      <c r="S22" s="149">
        <f t="shared" si="1"/>
        <v>166.865827127796</v>
      </c>
      <c r="T22" s="104">
        <f t="shared" si="1"/>
        <v>168.72520130134799</v>
      </c>
      <c r="U22" s="104">
        <f t="shared" si="1"/>
        <v>170.584575474899</v>
      </c>
      <c r="V22" s="104">
        <f t="shared" si="1"/>
        <v>172.443949648451</v>
      </c>
      <c r="W22" s="149">
        <f t="shared" si="1"/>
        <v>174.79934589574</v>
      </c>
      <c r="X22" s="104">
        <f t="shared" si="1"/>
        <v>177.15474214302901</v>
      </c>
      <c r="Y22" s="104">
        <f t="shared" si="1"/>
        <v>179.51013839031901</v>
      </c>
      <c r="Z22" s="104">
        <f t="shared" si="1"/>
        <v>181.86553463760799</v>
      </c>
      <c r="AA22" s="149">
        <f t="shared" si="1"/>
        <v>184.316550602305</v>
      </c>
      <c r="AB22" s="95"/>
    </row>
    <row r="23" spans="1:46" s="170" customFormat="1" ht="12" x14ac:dyDescent="0.15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-1.0260042225517241E-2</v>
      </c>
      <c r="O23" s="246">
        <f t="shared" ref="O23" si="3">(O22/N22)-1</f>
        <v>-1.0264661310262158E-2</v>
      </c>
      <c r="P23" s="230">
        <f t="shared" ref="P23" si="4">(P22/O22)-1</f>
        <v>-1.0371117316929634E-2</v>
      </c>
      <c r="Q23" s="230">
        <f t="shared" ref="Q23" si="5">(Q22/P22)-1</f>
        <v>-1.0479804599899278E-2</v>
      </c>
      <c r="R23" s="230">
        <f t="shared" ref="R23" si="6">(R22/Q22)-1</f>
        <v>-1.0590794052117491E-2</v>
      </c>
      <c r="S23" s="246">
        <f t="shared" ref="S23" si="7">(S22/R22)-1</f>
        <v>1.1268493687744519E-2</v>
      </c>
      <c r="T23" s="230">
        <f t="shared" ref="T23" si="8">(T22/S22)-1</f>
        <v>1.1142929655261202E-2</v>
      </c>
      <c r="U23" s="230">
        <f t="shared" ref="U23" si="9">(U22/T22)-1</f>
        <v>1.1020133087469963E-2</v>
      </c>
      <c r="V23" s="230">
        <f t="shared" ref="V23" si="10">(V22/U22)-1</f>
        <v>1.0900013488180926E-2</v>
      </c>
      <c r="W23" s="246">
        <f t="shared" ref="W23" si="11">(W22/V22)-1</f>
        <v>1.3658909182321377E-2</v>
      </c>
      <c r="X23" s="230">
        <f t="shared" ref="X23" si="12">(X22/W22)-1</f>
        <v>1.3474857329808909E-2</v>
      </c>
      <c r="Y23" s="230">
        <f t="shared" ref="Y23" si="13">(Y22/X22)-1</f>
        <v>1.329569967361266E-2</v>
      </c>
      <c r="Z23" s="230">
        <f t="shared" ref="Z23" si="14">(Z22/Y22)-1</f>
        <v>1.3121243559890194E-2</v>
      </c>
      <c r="AA23" s="246">
        <f t="shared" ref="AA23" si="15">(AA22/Z22)-1</f>
        <v>1.3477077828853101E-2</v>
      </c>
      <c r="AB23" s="243"/>
    </row>
    <row r="24" spans="1:46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12.741909847256096</v>
      </c>
      <c r="I24" s="217">
        <f t="shared" ref="I24" si="19">I21-I22</f>
        <v>6.808735559869092</v>
      </c>
      <c r="J24" s="217">
        <f t="shared" ref="J24" si="20">J21-J22</f>
        <v>0.87556127248308258</v>
      </c>
      <c r="K24" s="150">
        <f t="shared" ref="K24:AA24" si="21">K21-K22</f>
        <v>2.6593233416860755</v>
      </c>
      <c r="L24" s="217">
        <f t="shared" si="21"/>
        <v>46.000489441959246</v>
      </c>
      <c r="M24" s="239">
        <f t="shared" si="21"/>
        <v>47.784251511161273</v>
      </c>
      <c r="N24" s="217">
        <f t="shared" si="21"/>
        <v>47.293983072942012</v>
      </c>
      <c r="O24" s="150">
        <f t="shared" si="21"/>
        <v>46.808526354685</v>
      </c>
      <c r="P24" s="217">
        <f t="shared" si="21"/>
        <v>46.323069636427959</v>
      </c>
      <c r="Q24" s="217">
        <f t="shared" si="21"/>
        <v>45.837612918170663</v>
      </c>
      <c r="R24" s="217">
        <f t="shared" si="21"/>
        <v>45.352156199913651</v>
      </c>
      <c r="S24" s="150">
        <f t="shared" si="21"/>
        <v>45.863206685777982</v>
      </c>
      <c r="T24" s="217">
        <f t="shared" si="21"/>
        <v>46.374257171642313</v>
      </c>
      <c r="U24" s="217">
        <f t="shared" si="21"/>
        <v>46.885307657506388</v>
      </c>
      <c r="V24" s="217">
        <f t="shared" si="21"/>
        <v>47.396358143370747</v>
      </c>
      <c r="W24" s="150">
        <f t="shared" si="21"/>
        <v>48.043740694823811</v>
      </c>
      <c r="X24" s="217">
        <f t="shared" si="21"/>
        <v>48.691123246276902</v>
      </c>
      <c r="Y24" s="217">
        <f t="shared" si="21"/>
        <v>49.338505797730249</v>
      </c>
      <c r="Z24" s="217">
        <f t="shared" si="21"/>
        <v>49.985888349183313</v>
      </c>
      <c r="AA24" s="150">
        <f t="shared" si="21"/>
        <v>50.659552056809645</v>
      </c>
      <c r="AB24" s="244"/>
    </row>
    <row r="25" spans="1:46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6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6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6" x14ac:dyDescent="0.2">
      <c r="B28" t="s">
        <v>187</v>
      </c>
      <c r="D28" s="102"/>
      <c r="E28" s="104">
        <f>main!L110/1000</f>
        <v>404.40166666666676</v>
      </c>
      <c r="F28" s="104">
        <f>main!M110/1000</f>
        <v>330.77699999999999</v>
      </c>
      <c r="G28" s="104">
        <f>main!N110/1000</f>
        <v>181.80799999999999</v>
      </c>
      <c r="H28" s="104">
        <f>main!O110/1000</f>
        <v>207.40720099697344</v>
      </c>
      <c r="I28" s="104">
        <f>main!P110/1000</f>
        <v>193.88077959764993</v>
      </c>
      <c r="J28" s="104">
        <f>main!Q110/1000</f>
        <v>195.79247480861667</v>
      </c>
      <c r="K28" s="104">
        <f>main!R110/1000</f>
        <v>197.37479010147766</v>
      </c>
      <c r="L28" s="104">
        <f>main!S110/1000</f>
        <v>199.11856613850804</v>
      </c>
      <c r="M28" s="104">
        <f>L28*(1 + M30)</f>
        <v>228.85044559429022</v>
      </c>
      <c r="N28" s="104">
        <f t="shared" ref="N28:AA28" si="22">M28*(1 + N30)</f>
        <v>256.98478910496624</v>
      </c>
      <c r="O28" s="104">
        <f t="shared" si="22"/>
        <v>283.26066245431088</v>
      </c>
      <c r="P28" s="104">
        <f t="shared" si="22"/>
        <v>309.08922573902305</v>
      </c>
      <c r="Q28" s="104">
        <f t="shared" si="22"/>
        <v>336.32362065543219</v>
      </c>
      <c r="R28" s="104">
        <f t="shared" si="22"/>
        <v>363.43021269623142</v>
      </c>
      <c r="S28" s="104">
        <f t="shared" si="22"/>
        <v>363.09310697095026</v>
      </c>
      <c r="T28" s="104">
        <f t="shared" si="22"/>
        <v>363.52281849932069</v>
      </c>
      <c r="U28" s="104">
        <f t="shared" si="22"/>
        <v>364.65544584353779</v>
      </c>
      <c r="V28" s="104">
        <f t="shared" si="22"/>
        <v>366.8104961926241</v>
      </c>
      <c r="W28" s="104">
        <f t="shared" si="22"/>
        <v>365.38519620432089</v>
      </c>
      <c r="X28" s="104">
        <f t="shared" si="22"/>
        <v>363.83209334040981</v>
      </c>
      <c r="Y28" s="104">
        <f t="shared" si="22"/>
        <v>362.79020197893243</v>
      </c>
      <c r="Z28" s="104">
        <f t="shared" si="22"/>
        <v>362.32342355769362</v>
      </c>
      <c r="AA28" s="104">
        <f t="shared" si="22"/>
        <v>361.64070593561615</v>
      </c>
      <c r="AB28" s="95"/>
    </row>
    <row r="29" spans="1:46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6" s="170" customFormat="1" ht="12" x14ac:dyDescent="0.15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6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84.219373385614446</v>
      </c>
      <c r="I31" s="217">
        <f t="shared" ref="I31" si="42">I28-I29</f>
        <v>93.400002499931929</v>
      </c>
      <c r="J31" s="217">
        <f t="shared" ref="J31" si="43">J28-J29</f>
        <v>115.95460699016468</v>
      </c>
      <c r="K31" s="150">
        <f t="shared" ref="K31:N31" si="44">K28-K29</f>
        <v>103.88484143277356</v>
      </c>
      <c r="L31" s="239">
        <f t="shared" si="44"/>
        <v>89.845155984467041</v>
      </c>
      <c r="M31" s="217">
        <f t="shared" si="44"/>
        <v>103.26060688500222</v>
      </c>
      <c r="N31" s="217">
        <f t="shared" si="44"/>
        <v>115.95522662969725</v>
      </c>
      <c r="O31" s="150">
        <f t="shared" ref="O31:AA31" si="45">O28-O29</f>
        <v>127.81127795369989</v>
      </c>
      <c r="P31" s="150">
        <f t="shared" si="45"/>
        <v>139.46549655406605</v>
      </c>
      <c r="Q31" s="150">
        <f t="shared" si="45"/>
        <v>151.75404657157318</v>
      </c>
      <c r="R31" s="150">
        <f t="shared" si="45"/>
        <v>163.98493009661243</v>
      </c>
      <c r="S31" s="150">
        <f t="shared" si="45"/>
        <v>163.83282315320426</v>
      </c>
      <c r="T31" s="150">
        <f t="shared" si="45"/>
        <v>164.02671516459969</v>
      </c>
      <c r="U31" s="150">
        <f t="shared" si="45"/>
        <v>164.53777288456479</v>
      </c>
      <c r="V31" s="150">
        <f t="shared" si="45"/>
        <v>165.5101625442681</v>
      </c>
      <c r="W31" s="150">
        <f t="shared" si="45"/>
        <v>164.8670467250999</v>
      </c>
      <c r="X31" s="150">
        <f t="shared" si="45"/>
        <v>164.1662644134648</v>
      </c>
      <c r="Y31" s="150">
        <f t="shared" si="45"/>
        <v>163.69614807169842</v>
      </c>
      <c r="Z31" s="150">
        <f t="shared" si="45"/>
        <v>163.48553094603463</v>
      </c>
      <c r="AA31" s="150">
        <f t="shared" si="45"/>
        <v>163.17747895249914</v>
      </c>
      <c r="AB31" s="244"/>
    </row>
    <row r="32" spans="1:46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main!L25</f>
        <v>1779.8019999999999</v>
      </c>
      <c r="F35" s="104">
        <f>main!M25</f>
        <v>1871.3489999999999</v>
      </c>
      <c r="G35" s="149">
        <f>main!N25</f>
        <v>1871.3489999999999</v>
      </c>
      <c r="H35" s="104">
        <f>main!O25</f>
        <v>1902.3851612709568</v>
      </c>
      <c r="I35" s="104">
        <f>main!P25</f>
        <v>1932.635828171901</v>
      </c>
      <c r="J35" s="104">
        <f>main!Q25</f>
        <v>1964.9689685189253</v>
      </c>
      <c r="K35" s="149">
        <f>main!R25</f>
        <v>1986.6248656270586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-19.570276169563158</v>
      </c>
      <c r="I37" s="217">
        <f t="shared" si="47"/>
        <v>-19.881471776848912</v>
      </c>
      <c r="J37" s="217">
        <f t="shared" si="47"/>
        <v>-20.214090270154657</v>
      </c>
      <c r="K37" s="150">
        <f t="shared" si="47"/>
        <v>-20.436869492641335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main!L29</f>
        <v>54.2</v>
      </c>
      <c r="F41" s="104">
        <f>main!M29</f>
        <v>90.2</v>
      </c>
      <c r="G41" s="149">
        <f>main!N29</f>
        <v>91.517404099138886</v>
      </c>
      <c r="H41" s="104">
        <f>main!O29</f>
        <v>93.035212328774406</v>
      </c>
      <c r="I41" s="104">
        <f>main!P29</f>
        <v>94.514606341885894</v>
      </c>
      <c r="J41" s="104">
        <f>main!Q29</f>
        <v>96.095842696479707</v>
      </c>
      <c r="K41" s="149">
        <f>main!R29</f>
        <v>97.154913712508474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22.85696713431571</v>
      </c>
      <c r="I43" s="217">
        <f t="shared" si="49"/>
        <v>23.220425866659994</v>
      </c>
      <c r="J43" s="217">
        <f t="shared" si="49"/>
        <v>23.60890530883951</v>
      </c>
      <c r="K43" s="150">
        <f t="shared" si="49"/>
        <v>23.869098743135368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main!L92/1000</f>
        <v>1336.6980000000001</v>
      </c>
      <c r="F47" s="104">
        <f>main!M92/1000</f>
        <v>1328.8050000000001</v>
      </c>
      <c r="G47" s="149">
        <f>main!N92/1000</f>
        <v>1372.787</v>
      </c>
      <c r="H47" s="104">
        <f>main!O92/1000</f>
        <v>1390.6101625906522</v>
      </c>
      <c r="I47" s="104">
        <f>main!P92/1000</f>
        <v>1418.489158978964</v>
      </c>
      <c r="J47" s="223">
        <f>main!Q92/1000</f>
        <v>1441.5834808422039</v>
      </c>
      <c r="K47" s="149">
        <f>J47*(1+K49)</f>
        <v>1478.7088241795318</v>
      </c>
      <c r="L47" s="104">
        <f t="shared" ref="L47:AA47" si="50">K47*(1+L49)</f>
        <v>1515.8341675168599</v>
      </c>
      <c r="M47" s="104">
        <f t="shared" si="50"/>
        <v>1552.9595108541773</v>
      </c>
      <c r="N47" s="104">
        <f t="shared" si="50"/>
        <v>1590.0848541915052</v>
      </c>
      <c r="O47" s="149">
        <f t="shared" si="50"/>
        <v>1594.7415058452814</v>
      </c>
      <c r="P47" s="104">
        <f t="shared" si="50"/>
        <v>1599.3981574990676</v>
      </c>
      <c r="Q47" s="104">
        <f t="shared" si="50"/>
        <v>1604.0548091528433</v>
      </c>
      <c r="R47" s="104">
        <f t="shared" si="50"/>
        <v>1608.711460806619</v>
      </c>
      <c r="S47" s="149">
        <f t="shared" si="50"/>
        <v>1620.9191500527331</v>
      </c>
      <c r="T47" s="104">
        <f t="shared" si="50"/>
        <v>1633.126839298837</v>
      </c>
      <c r="U47" s="104">
        <f t="shared" si="50"/>
        <v>1645.3345285449511</v>
      </c>
      <c r="V47" s="104">
        <f t="shared" si="50"/>
        <v>1657.5422177910655</v>
      </c>
      <c r="W47" s="149">
        <f t="shared" si="50"/>
        <v>1697.2541986532933</v>
      </c>
      <c r="X47" s="104">
        <f t="shared" si="50"/>
        <v>1736.9661795155312</v>
      </c>
      <c r="Y47" s="104">
        <f t="shared" si="50"/>
        <v>1776.6781603777692</v>
      </c>
      <c r="Z47" s="104">
        <f t="shared" si="50"/>
        <v>1816.3901412400076</v>
      </c>
      <c r="AA47" s="149">
        <f t="shared" si="50"/>
        <v>1846.0018042825452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1378.3579870429701</v>
      </c>
      <c r="I48" s="104">
        <f t="shared" si="51"/>
        <v>1383.92297408593</v>
      </c>
      <c r="J48" s="223">
        <f t="shared" si="51"/>
        <v>1389.4879611289</v>
      </c>
      <c r="K48" s="149">
        <f t="shared" si="51"/>
        <v>1425.27167973107</v>
      </c>
      <c r="L48" s="104">
        <f t="shared" si="51"/>
        <v>1461.05539833324</v>
      </c>
      <c r="M48" s="104">
        <f t="shared" si="51"/>
        <v>1496.8391169353999</v>
      </c>
      <c r="N48" s="104">
        <f t="shared" si="51"/>
        <v>1532.6228355375699</v>
      </c>
      <c r="O48" s="149">
        <f t="shared" si="51"/>
        <v>1537.1112064838801</v>
      </c>
      <c r="P48" s="104">
        <f t="shared" si="51"/>
        <v>1541.5995774302</v>
      </c>
      <c r="Q48" s="104">
        <f t="shared" si="51"/>
        <v>1546.08794837651</v>
      </c>
      <c r="R48" s="104">
        <f t="shared" si="51"/>
        <v>1550.5763193228199</v>
      </c>
      <c r="S48" s="149">
        <f t="shared" si="51"/>
        <v>1562.34285068649</v>
      </c>
      <c r="T48" s="104">
        <f t="shared" si="51"/>
        <v>1574.1093820501501</v>
      </c>
      <c r="U48" s="104">
        <f t="shared" si="51"/>
        <v>1585.8759134138199</v>
      </c>
      <c r="V48" s="104">
        <f t="shared" si="51"/>
        <v>1597.64244477749</v>
      </c>
      <c r="W48" s="149">
        <f t="shared" si="51"/>
        <v>1635.9193257586801</v>
      </c>
      <c r="X48" s="104">
        <f t="shared" si="51"/>
        <v>1674.1962067398799</v>
      </c>
      <c r="Y48" s="104">
        <f t="shared" si="51"/>
        <v>1712.47308772108</v>
      </c>
      <c r="Z48" s="104">
        <f t="shared" si="51"/>
        <v>1750.7499687022801</v>
      </c>
      <c r="AA48" s="149">
        <f t="shared" si="51"/>
        <v>1779.2915341776099</v>
      </c>
      <c r="AB48" s="95"/>
    </row>
    <row r="49" spans="1:32" s="170" customFormat="1" ht="12" x14ac:dyDescent="0.15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2.5753169227243466E-2</v>
      </c>
      <c r="L49" s="230">
        <f t="shared" ref="L49" si="53">(L48/K48)-1</f>
        <v>2.5106594841568741E-2</v>
      </c>
      <c r="M49" s="230">
        <f t="shared" ref="M49" si="54">(M48/L48)-1</f>
        <v>2.4491691857120301E-2</v>
      </c>
      <c r="N49" s="230">
        <f t="shared" ref="N49" si="55">(N48/M48)-1</f>
        <v>2.3906188846422483E-2</v>
      </c>
      <c r="O49" s="246">
        <f t="shared" ref="O49" si="56">(O48/N48)-1</f>
        <v>2.9285554424980376E-3</v>
      </c>
      <c r="P49" s="230">
        <f t="shared" ref="P49" si="57">(P48/O48)-1</f>
        <v>2.9200040487551426E-3</v>
      </c>
      <c r="Q49" s="230">
        <f t="shared" ref="Q49" si="58">(Q48/P48)-1</f>
        <v>2.9115024498072017E-3</v>
      </c>
      <c r="R49" s="230">
        <f t="shared" ref="R49" si="59">(R48/Q48)-1</f>
        <v>2.9030502120030999E-3</v>
      </c>
      <c r="S49" s="246">
        <f t="shared" ref="S49" si="60">(S48/R48)-1</f>
        <v>7.5884890134325644E-3</v>
      </c>
      <c r="T49" s="230">
        <f t="shared" ref="T49" si="61">(T48/S48)-1</f>
        <v>7.5313375412380257E-3</v>
      </c>
      <c r="U49" s="230">
        <f t="shared" ref="U49" si="62">(U48/T48)-1</f>
        <v>7.475040488193363E-3</v>
      </c>
      <c r="V49" s="230">
        <f t="shared" ref="V49" si="63">(V48/U48)-1</f>
        <v>7.4195788359892045E-3</v>
      </c>
      <c r="W49" s="246">
        <f t="shared" ref="W49" si="64">(W48/V48)-1</f>
        <v>2.3958352575266684E-2</v>
      </c>
      <c r="X49" s="230">
        <f t="shared" ref="X49" si="65">(X48/W48)-1</f>
        <v>2.33977803052412E-2</v>
      </c>
      <c r="Y49" s="230">
        <f t="shared" ref="Y49" si="66">(Y48/X48)-1</f>
        <v>2.2862840584100708E-2</v>
      </c>
      <c r="Z49" s="230">
        <f t="shared" ref="Z49" si="67">(Z48/Y48)-1</f>
        <v>2.2351814609909093E-2</v>
      </c>
      <c r="AA49" s="246">
        <f t="shared" ref="AA49" si="68">(AA48/Z48)-1</f>
        <v>1.6302479500534206E-2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12.2521755476821</v>
      </c>
      <c r="I50" s="217">
        <f t="shared" ref="I50" si="72">I47-I48</f>
        <v>34.566184893034006</v>
      </c>
      <c r="J50" s="239">
        <f t="shared" ref="J50" si="73">J47-J48</f>
        <v>52.095519713303929</v>
      </c>
      <c r="K50" s="150">
        <f t="shared" ref="K50:AA50" si="74">K47-K48</f>
        <v>53.437144448461822</v>
      </c>
      <c r="L50" s="217">
        <f t="shared" si="74"/>
        <v>54.778769183619943</v>
      </c>
      <c r="M50" s="217">
        <f t="shared" si="74"/>
        <v>56.120393918777381</v>
      </c>
      <c r="N50" s="217">
        <f t="shared" si="74"/>
        <v>57.462018653935274</v>
      </c>
      <c r="O50" s="150">
        <f t="shared" si="74"/>
        <v>57.630299361401285</v>
      </c>
      <c r="P50" s="217">
        <f t="shared" si="74"/>
        <v>57.798580068867523</v>
      </c>
      <c r="Q50" s="217">
        <f t="shared" si="74"/>
        <v>57.966860776333306</v>
      </c>
      <c r="R50" s="217">
        <f t="shared" si="74"/>
        <v>58.135141483799089</v>
      </c>
      <c r="S50" s="150">
        <f t="shared" si="74"/>
        <v>58.57629936624312</v>
      </c>
      <c r="T50" s="217">
        <f t="shared" si="74"/>
        <v>59.017457248686924</v>
      </c>
      <c r="U50" s="217">
        <f t="shared" si="74"/>
        <v>59.458615131131182</v>
      </c>
      <c r="V50" s="217">
        <f t="shared" si="74"/>
        <v>59.899773013575441</v>
      </c>
      <c r="W50" s="150">
        <f t="shared" si="74"/>
        <v>61.334872894613227</v>
      </c>
      <c r="X50" s="217">
        <f t="shared" si="74"/>
        <v>62.76997277565124</v>
      </c>
      <c r="Y50" s="217">
        <f t="shared" si="74"/>
        <v>64.205072656689254</v>
      </c>
      <c r="Z50" s="217">
        <f t="shared" si="74"/>
        <v>65.640172537727494</v>
      </c>
      <c r="AA50" s="150">
        <f t="shared" si="74"/>
        <v>66.710270104935262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main!K91/1000</f>
        <v>1574.462</v>
      </c>
      <c r="E54" s="104">
        <f>main!L91/1000</f>
        <v>3729.5573333333332</v>
      </c>
      <c r="F54" s="104">
        <f>main!M91/1000</f>
        <v>2466.0010000000002</v>
      </c>
      <c r="G54" s="149">
        <f>main!N91/1000</f>
        <v>2027.7929999999999</v>
      </c>
      <c r="H54" s="104">
        <f>main!O91/1000</f>
        <v>3107.7013980484894</v>
      </c>
      <c r="I54" s="104">
        <f>main!P91/1000</f>
        <v>1874.8488739812499</v>
      </c>
      <c r="J54" s="104">
        <f>main!Q91/1000</f>
        <v>1686.4675074263907</v>
      </c>
      <c r="K54" s="263">
        <f>main!R91/1000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main!L53/1000</f>
        <v>1086.548</v>
      </c>
      <c r="F61" s="104">
        <f>main!M53/1000</f>
        <v>1213.48</v>
      </c>
      <c r="G61" s="149">
        <f>main!N53/1000</f>
        <v>610.53599999999994</v>
      </c>
      <c r="H61" s="104">
        <f>main!O53/1000</f>
        <v>794.08358333333342</v>
      </c>
      <c r="I61" s="104">
        <f>main!P53/1000</f>
        <v>794.08358333333342</v>
      </c>
      <c r="J61" s="104">
        <f>main!Q53/1000</f>
        <v>144.08358333333331</v>
      </c>
      <c r="K61" s="149">
        <f>main!R53/1000</f>
        <v>122.75024999999999</v>
      </c>
      <c r="L61" s="223">
        <f>main!S53/1000</f>
        <v>77.330250000000007</v>
      </c>
      <c r="M61" s="231">
        <f>L61*(1+M63)</f>
        <v>77.668082321497437</v>
      </c>
      <c r="N61" s="231">
        <f>M61*(1+N63)</f>
        <v>78.01023073537182</v>
      </c>
      <c r="O61" s="247">
        <f>N61*(1+O63)</f>
        <v>78.35669524162293</v>
      </c>
      <c r="P61" s="231">
        <f>O61*(1+P63)</f>
        <v>78.708260584319447</v>
      </c>
      <c r="Q61" s="231">
        <f t="shared" ref="Q61:AA61" si="100">P61*(1+Q63)</f>
        <v>79.061395415153044</v>
      </c>
      <c r="R61" s="231">
        <f t="shared" si="100"/>
        <v>79.419631082431948</v>
      </c>
      <c r="S61" s="247">
        <f t="shared" si="100"/>
        <v>79.782967586156261</v>
      </c>
      <c r="T61" s="231">
        <f t="shared" si="100"/>
        <v>80.150227810223058</v>
      </c>
      <c r="U61" s="231">
        <f t="shared" si="100"/>
        <v>80.518272778358593</v>
      </c>
      <c r="V61" s="231">
        <f t="shared" si="100"/>
        <v>80.888279606665293</v>
      </c>
      <c r="W61" s="247">
        <f t="shared" si="100"/>
        <v>81.260248295143285</v>
      </c>
      <c r="X61" s="231">
        <f t="shared" si="100"/>
        <v>81.633001727689759</v>
      </c>
      <c r="Y61" s="231">
        <f t="shared" si="100"/>
        <v>82.003793300065055</v>
      </c>
      <c r="Z61" s="231">
        <f t="shared" si="100"/>
        <v>82.374977244474579</v>
      </c>
      <c r="AA61" s="247">
        <f t="shared" si="100"/>
        <v>82.746161188883974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611.96656992985299</v>
      </c>
      <c r="I62" s="104">
        <f t="shared" si="101"/>
        <v>614.17827301508498</v>
      </c>
      <c r="J62" s="104">
        <f t="shared" si="101"/>
        <v>616.56665994164803</v>
      </c>
      <c r="K62" s="149">
        <f t="shared" si="101"/>
        <v>619.14119591532699</v>
      </c>
      <c r="L62" s="223">
        <f t="shared" si="101"/>
        <v>621.81353901545697</v>
      </c>
      <c r="M62" s="104">
        <f t="shared" si="101"/>
        <v>624.53005307592002</v>
      </c>
      <c r="N62" s="104">
        <f t="shared" si="101"/>
        <v>627.28127289093095</v>
      </c>
      <c r="O62" s="149">
        <f t="shared" si="101"/>
        <v>630.06719846048804</v>
      </c>
      <c r="P62" s="104">
        <f t="shared" si="101"/>
        <v>632.89413992178299</v>
      </c>
      <c r="Q62" s="104">
        <f t="shared" si="101"/>
        <v>635.73370165745905</v>
      </c>
      <c r="R62" s="104">
        <f t="shared" si="101"/>
        <v>638.61427928487205</v>
      </c>
      <c r="S62" s="149">
        <f t="shared" si="101"/>
        <v>641.53587280402303</v>
      </c>
      <c r="T62" s="104">
        <f t="shared" si="101"/>
        <v>644.48901700912495</v>
      </c>
      <c r="U62" s="104">
        <f t="shared" si="101"/>
        <v>647.44847135141902</v>
      </c>
      <c r="V62" s="104">
        <f t="shared" si="101"/>
        <v>650.42370103668804</v>
      </c>
      <c r="W62" s="149">
        <f t="shared" si="101"/>
        <v>653.41470606493294</v>
      </c>
      <c r="X62" s="104">
        <f t="shared" si="101"/>
        <v>656.41202123036805</v>
      </c>
      <c r="Y62" s="104">
        <f t="shared" si="101"/>
        <v>659.39356105282798</v>
      </c>
      <c r="Z62" s="104">
        <f t="shared" si="101"/>
        <v>662.378255943883</v>
      </c>
      <c r="AA62" s="149">
        <f t="shared" si="101"/>
        <v>665.36295083493701</v>
      </c>
      <c r="AB62" s="95"/>
    </row>
    <row r="63" spans="1:32" s="170" customFormat="1" ht="12" x14ac:dyDescent="0.15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4.3686955815793738E-3</v>
      </c>
      <c r="N63" s="230">
        <f t="shared" si="102"/>
        <v>4.4052640885106076E-3</v>
      </c>
      <c r="O63" s="246">
        <f t="shared" si="102"/>
        <v>4.4412701127163334E-3</v>
      </c>
      <c r="P63" s="230">
        <f t="shared" si="102"/>
        <v>4.4867300951427769E-3</v>
      </c>
      <c r="Q63" s="230">
        <f t="shared" si="102"/>
        <v>4.4866298430681351E-3</v>
      </c>
      <c r="R63" s="230">
        <f t="shared" si="102"/>
        <v>4.5311073172664695E-3</v>
      </c>
      <c r="S63" s="246">
        <f t="shared" si="102"/>
        <v>4.574895385086819E-3</v>
      </c>
      <c r="T63" s="230">
        <f t="shared" si="102"/>
        <v>4.6032409570400112E-3</v>
      </c>
      <c r="U63" s="230">
        <f t="shared" si="102"/>
        <v>4.5919391396738174E-3</v>
      </c>
      <c r="V63" s="230">
        <f t="shared" si="102"/>
        <v>4.5953150202961979E-3</v>
      </c>
      <c r="W63" s="246">
        <f t="shared" si="102"/>
        <v>4.5985486437190026E-3</v>
      </c>
      <c r="X63" s="230">
        <f t="shared" si="102"/>
        <v>4.5871559633021697E-3</v>
      </c>
      <c r="Y63" s="230">
        <f t="shared" si="102"/>
        <v>4.5421773612119853E-3</v>
      </c>
      <c r="Z63" s="230">
        <f t="shared" si="102"/>
        <v>4.5264240771314412E-3</v>
      </c>
      <c r="AA63" s="246">
        <f t="shared" si="102"/>
        <v>4.5060278840234336E-3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182.11701340348043</v>
      </c>
      <c r="I64" s="217">
        <f t="shared" si="103"/>
        <v>179.90531031824844</v>
      </c>
      <c r="J64" s="217">
        <f t="shared" si="103"/>
        <v>-472.48307660831472</v>
      </c>
      <c r="K64" s="150">
        <f t="shared" si="103"/>
        <v>-496.39094591532699</v>
      </c>
      <c r="L64" s="217">
        <f t="shared" si="103"/>
        <v>-544.48328901545699</v>
      </c>
      <c r="M64" s="217">
        <f t="shared" si="103"/>
        <v>-546.8619707544226</v>
      </c>
      <c r="N64" s="217">
        <f t="shared" si="103"/>
        <v>-549.27104215555914</v>
      </c>
      <c r="O64" s="150">
        <f t="shared" si="103"/>
        <v>-551.71050321886514</v>
      </c>
      <c r="P64" s="217">
        <f t="shared" si="103"/>
        <v>-554.18587933746358</v>
      </c>
      <c r="Q64" s="217">
        <f t="shared" si="103"/>
        <v>-556.67230624230604</v>
      </c>
      <c r="R64" s="217">
        <f t="shared" si="103"/>
        <v>-559.19464820244013</v>
      </c>
      <c r="S64" s="150">
        <f t="shared" si="103"/>
        <v>-561.75290521786678</v>
      </c>
      <c r="T64" s="217">
        <f t="shared" si="103"/>
        <v>-564.33878919890185</v>
      </c>
      <c r="U64" s="217">
        <f t="shared" si="103"/>
        <v>-566.93019857306047</v>
      </c>
      <c r="V64" s="217">
        <f t="shared" si="103"/>
        <v>-569.53542143002278</v>
      </c>
      <c r="W64" s="150">
        <f t="shared" si="103"/>
        <v>-572.1544577697897</v>
      </c>
      <c r="X64" s="217">
        <f t="shared" si="103"/>
        <v>-574.77901950267824</v>
      </c>
      <c r="Y64" s="217">
        <f t="shared" si="103"/>
        <v>-577.38976775276296</v>
      </c>
      <c r="Z64" s="217">
        <f t="shared" si="103"/>
        <v>-580.00327869940838</v>
      </c>
      <c r="AA64" s="150">
        <f t="shared" si="103"/>
        <v>-582.61678964605301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main!L81/1000</f>
        <v>279.25</v>
      </c>
      <c r="F68" s="218">
        <f>main!M81/1000</f>
        <v>300.60000000000002</v>
      </c>
      <c r="G68" s="151">
        <f>main!N81/1000</f>
        <v>303.95100000000002</v>
      </c>
      <c r="H68" s="218">
        <f>main!O81/1000</f>
        <v>346.74149947361497</v>
      </c>
      <c r="I68" s="218">
        <f>main!P81/1000</f>
        <v>319.64863001710751</v>
      </c>
      <c r="J68" s="218">
        <f>main!Q81/1000</f>
        <v>320.71126865377022</v>
      </c>
      <c r="K68" s="151">
        <f>main!R81/1000</f>
        <v>316.24408517867886</v>
      </c>
      <c r="L68" s="218">
        <f>main!S81/1000</f>
        <v>311.98995960222607</v>
      </c>
      <c r="M68" s="218">
        <f>main!T81/1000</f>
        <v>313.75779375261874</v>
      </c>
      <c r="N68" s="218">
        <f>main!U81/1000</f>
        <v>315.72164407812892</v>
      </c>
      <c r="O68" s="151">
        <f>main!V81/1000</f>
        <v>317.52849383340345</v>
      </c>
      <c r="P68" s="248">
        <f>main!W81/1000</f>
        <v>319.53531291864806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332.75911815065967</v>
      </c>
      <c r="U68" s="248">
        <f t="shared" si="104"/>
        <v>335.06610609259434</v>
      </c>
      <c r="V68" s="248">
        <f t="shared" si="104"/>
        <v>337.44074238468943</v>
      </c>
      <c r="W68" s="249">
        <f t="shared" si="104"/>
        <v>338.03727181521128</v>
      </c>
      <c r="X68" s="248">
        <f t="shared" si="104"/>
        <v>339.50150212231131</v>
      </c>
      <c r="Y68" s="248">
        <f t="shared" si="104"/>
        <v>340.17633121853515</v>
      </c>
      <c r="Z68" s="248">
        <f t="shared" si="104"/>
        <v>340.90032747813206</v>
      </c>
      <c r="AA68" s="249">
        <f t="shared" si="104"/>
        <v>341.31283357783951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252.25</v>
      </c>
      <c r="F69" s="104">
        <f t="shared" si="105"/>
        <v>300.60000000000002</v>
      </c>
      <c r="G69" s="149">
        <f t="shared" si="105"/>
        <v>225.90700000000001</v>
      </c>
      <c r="H69" s="104">
        <f t="shared" si="105"/>
        <v>210.041753543699</v>
      </c>
      <c r="I69" s="104">
        <f t="shared" si="105"/>
        <v>194.61359749402999</v>
      </c>
      <c r="J69" s="104">
        <f t="shared" si="105"/>
        <v>179.76822865320401</v>
      </c>
      <c r="K69" s="149">
        <f t="shared" si="105"/>
        <v>191.17307594225301</v>
      </c>
      <c r="L69" s="104">
        <f t="shared" si="105"/>
        <v>203.37638597069</v>
      </c>
      <c r="M69" s="104">
        <f t="shared" si="105"/>
        <v>215.66199298865499</v>
      </c>
      <c r="N69" s="104">
        <f t="shared" si="105"/>
        <v>228.68219662636</v>
      </c>
      <c r="O69" s="149">
        <f t="shared" si="105"/>
        <v>241.058465892621</v>
      </c>
      <c r="P69" s="231">
        <f t="shared" ref="P69:AA69" si="106">P17</f>
        <v>254.184146750856</v>
      </c>
      <c r="Q69" s="231">
        <f t="shared" si="106"/>
        <v>266.689343292064</v>
      </c>
      <c r="R69" s="231">
        <f t="shared" si="106"/>
        <v>279.950983357084</v>
      </c>
      <c r="S69" s="245">
        <f t="shared" si="106"/>
        <v>281.79554962604601</v>
      </c>
      <c r="T69" s="231">
        <f t="shared" si="106"/>
        <v>283.71706522607298</v>
      </c>
      <c r="U69" s="231">
        <f t="shared" si="106"/>
        <v>285.68404918742999</v>
      </c>
      <c r="V69" s="231">
        <f t="shared" si="106"/>
        <v>287.70871148223603</v>
      </c>
      <c r="W69" s="247">
        <f t="shared" si="106"/>
        <v>288.21732438002601</v>
      </c>
      <c r="X69" s="231">
        <f t="shared" si="106"/>
        <v>289.46575636245899</v>
      </c>
      <c r="Y69" s="231">
        <f t="shared" si="106"/>
        <v>290.04112911790401</v>
      </c>
      <c r="Z69" s="231">
        <f t="shared" si="106"/>
        <v>290.65842277810202</v>
      </c>
      <c r="AA69" s="247">
        <f t="shared" si="106"/>
        <v>291.010133711366</v>
      </c>
      <c r="AB69" s="95"/>
    </row>
    <row r="70" spans="1:28" s="170" customFormat="1" ht="12" x14ac:dyDescent="0.15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4.9197389770595068E-2</v>
      </c>
      <c r="R70" s="230">
        <f t="shared" ref="R70" si="108">(R69/Q69)-1</f>
        <v>4.9726921598425289E-2</v>
      </c>
      <c r="S70" s="246">
        <f t="shared" ref="S70" si="109">(S69/R69)-1</f>
        <v>6.5888901222725949E-3</v>
      </c>
      <c r="T70" s="230">
        <f t="shared" ref="T70" si="110">(T69/S69)-1</f>
        <v>6.8188287663766278E-3</v>
      </c>
      <c r="U70" s="230">
        <f t="shared" ref="U70" si="111">(U69/T69)-1</f>
        <v>6.9329067667807109E-3</v>
      </c>
      <c r="V70" s="230">
        <f t="shared" ref="V70" si="112">(V69/U69)-1</f>
        <v>7.0870680409520492E-3</v>
      </c>
      <c r="W70" s="246">
        <f t="shared" ref="W70" si="113">(W69/V69)-1</f>
        <v>1.767804996830602E-3</v>
      </c>
      <c r="X70" s="230">
        <f t="shared" ref="X70" si="114">(X69/W69)-1</f>
        <v>4.3315646799457763E-3</v>
      </c>
      <c r="Y70" s="230">
        <f t="shared" ref="Y70" si="115">(Y69/X69)-1</f>
        <v>1.9877057745114612E-3</v>
      </c>
      <c r="Z70" s="230">
        <f t="shared" ref="Z70" si="116">(Z69/Y69)-1</f>
        <v>2.1282969835187959E-3</v>
      </c>
      <c r="AA70" s="246">
        <f t="shared" ref="AA70" si="117">(AA69/Z69)-1</f>
        <v>1.2100489980724216E-3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78.044000000000011</v>
      </c>
      <c r="H71" s="217">
        <f t="shared" si="118"/>
        <v>136.69974592991596</v>
      </c>
      <c r="I71" s="217">
        <f t="shared" si="118"/>
        <v>125.03503252307752</v>
      </c>
      <c r="J71" s="217">
        <f t="shared" si="118"/>
        <v>140.94304000056621</v>
      </c>
      <c r="K71" s="150">
        <f t="shared" si="118"/>
        <v>125.07100923642585</v>
      </c>
      <c r="L71" s="217">
        <f t="shared" ref="L71:N71" si="119">L68-L69</f>
        <v>108.61357363153607</v>
      </c>
      <c r="M71" s="217">
        <f t="shared" si="119"/>
        <v>98.095800763963751</v>
      </c>
      <c r="N71" s="217">
        <f t="shared" si="119"/>
        <v>87.039447451768922</v>
      </c>
      <c r="O71" s="150">
        <f t="shared" ref="O71:AA71" si="120">O68-O69</f>
        <v>76.470027940782444</v>
      </c>
      <c r="P71" s="250">
        <f t="shared" si="120"/>
        <v>65.351166167792059</v>
      </c>
      <c r="Q71" s="250">
        <f t="shared" si="120"/>
        <v>63.816114733963332</v>
      </c>
      <c r="R71" s="250">
        <f t="shared" si="120"/>
        <v>50.554474668943328</v>
      </c>
      <c r="S71" s="239">
        <f t="shared" si="120"/>
        <v>48.709908399981316</v>
      </c>
      <c r="T71" s="250">
        <f t="shared" si="120"/>
        <v>49.042052924586699</v>
      </c>
      <c r="U71" s="250">
        <f t="shared" si="120"/>
        <v>49.382056905164347</v>
      </c>
      <c r="V71" s="250">
        <f t="shared" si="120"/>
        <v>49.732030902453403</v>
      </c>
      <c r="W71" s="251">
        <f t="shared" si="120"/>
        <v>49.81994743518527</v>
      </c>
      <c r="X71" s="250">
        <f t="shared" si="120"/>
        <v>50.035745759852318</v>
      </c>
      <c r="Y71" s="250">
        <f t="shared" si="120"/>
        <v>50.135202100631147</v>
      </c>
      <c r="Z71" s="250">
        <f t="shared" si="120"/>
        <v>50.241904700030034</v>
      </c>
      <c r="AA71" s="251">
        <f t="shared" si="120"/>
        <v>50.302699866473517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G1" activePane="topRight" state="frozen"/>
      <selection pane="topRight" activeCell="J5" sqref="J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main!L$39/1000</f>
        <v>1084</v>
      </c>
      <c r="L2" s="102">
        <f>main!L$41/1000</f>
        <v>822.93333333333328</v>
      </c>
      <c r="M2" s="102">
        <f>main!L$45/1000</f>
        <v>261.06666666666672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main!M$39/1000</f>
        <v>881.35400000000004</v>
      </c>
      <c r="L3" s="102">
        <f>main!M$41/1000</f>
        <v>695.2</v>
      </c>
      <c r="M3" s="102">
        <f>main!M$45/1000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78.044000000000011</v>
      </c>
      <c r="J4" s="151">
        <f>'add-ons calculations'!G68</f>
        <v>303.95100000000002</v>
      </c>
      <c r="K4" s="102">
        <f>main!N$39/1000</f>
        <v>338.26900000000001</v>
      </c>
      <c r="L4" s="102">
        <f>main!N$41/1000</f>
        <v>301.60000000000002</v>
      </c>
      <c r="M4" s="102">
        <f>main!N$45/1000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12.741909847256096</v>
      </c>
      <c r="C5">
        <v>84.219373385614446</v>
      </c>
      <c r="D5">
        <v>-19.570276169563158</v>
      </c>
      <c r="E5">
        <v>22.85696713431571</v>
      </c>
      <c r="F5">
        <v>12.2521755476821</v>
      </c>
      <c r="G5">
        <v>1287.8874972143794</v>
      </c>
      <c r="H5">
        <v>182.11701340348043</v>
      </c>
      <c r="I5">
        <v>136.69974592991596</v>
      </c>
      <c r="K5" s="102">
        <f>main!O$39/1000</f>
        <v>724</v>
      </c>
      <c r="L5" s="102">
        <f>main!O$41/1000</f>
        <v>664</v>
      </c>
      <c r="M5" s="102">
        <f>main!O$45/1000</f>
        <v>60</v>
      </c>
      <c r="N5">
        <v>59</v>
      </c>
      <c r="O5">
        <f>71400/1000</f>
        <v>71.400000000000006</v>
      </c>
      <c r="P5" s="296">
        <f>main!$O$36/1000</f>
        <v>664</v>
      </c>
    </row>
    <row r="6" spans="1:16" x14ac:dyDescent="0.2">
      <c r="A6" s="188">
        <v>44377</v>
      </c>
      <c r="B6">
        <v>6.808735559869092</v>
      </c>
      <c r="C6">
        <v>93.400002499931929</v>
      </c>
      <c r="D6">
        <v>-19.881471776848912</v>
      </c>
      <c r="E6">
        <v>23.220425866659994</v>
      </c>
      <c r="F6">
        <v>34.566184893034006</v>
      </c>
      <c r="G6">
        <v>251.22365666746987</v>
      </c>
      <c r="H6">
        <v>179.90531031824844</v>
      </c>
      <c r="I6">
        <v>125.03503252307752</v>
      </c>
      <c r="K6" s="326">
        <f>main!P$39/1000</f>
        <v>152</v>
      </c>
      <c r="L6" s="102">
        <f>main!P$41/1000</f>
        <v>108</v>
      </c>
      <c r="M6" s="102">
        <f>main!P$45/1000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0.87556127248308258</v>
      </c>
      <c r="C7">
        <v>115.95460699016468</v>
      </c>
      <c r="D7">
        <v>-20.214090270154657</v>
      </c>
      <c r="E7">
        <v>23.60890530883951</v>
      </c>
      <c r="F7">
        <v>52.095519713303929</v>
      </c>
      <c r="G7">
        <v>199.35773501319068</v>
      </c>
      <c r="H7">
        <v>-472.48307660831472</v>
      </c>
      <c r="I7">
        <v>140.94304000056621</v>
      </c>
      <c r="K7" s="102">
        <f>main!Q$39/1000</f>
        <v>44</v>
      </c>
      <c r="L7" s="102">
        <f>main!Q$41</f>
        <v>0</v>
      </c>
      <c r="M7" s="102">
        <f>main!Q$45/1000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2.6593233416860755</v>
      </c>
      <c r="C8">
        <v>103.88484143277356</v>
      </c>
      <c r="D8">
        <v>-20.436869492641335</v>
      </c>
      <c r="E8">
        <v>23.869098743135368</v>
      </c>
      <c r="F8">
        <v>53.437144448461822</v>
      </c>
      <c r="G8">
        <v>157.47974440731628</v>
      </c>
      <c r="H8">
        <v>-496.39094591532699</v>
      </c>
      <c r="I8">
        <v>125.07100923642585</v>
      </c>
      <c r="K8" s="102">
        <f>main!R$39/1000</f>
        <v>44</v>
      </c>
      <c r="L8" s="102">
        <f>main!R$41</f>
        <v>0</v>
      </c>
      <c r="M8" s="102">
        <f>main!R$45/1000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46.000489441959246</v>
      </c>
      <c r="C9">
        <v>89.845155984467041</v>
      </c>
      <c r="D9">
        <v>0</v>
      </c>
      <c r="E9">
        <v>0</v>
      </c>
      <c r="F9">
        <v>54.778769183619943</v>
      </c>
      <c r="G9">
        <v>158.70723906824014</v>
      </c>
      <c r="H9">
        <v>-544.48328901545699</v>
      </c>
      <c r="I9">
        <v>108.61357363153607</v>
      </c>
      <c r="K9" s="102">
        <f>main!S$39/1000</f>
        <v>44</v>
      </c>
      <c r="L9" s="102">
        <f>main!S$41</f>
        <v>0</v>
      </c>
      <c r="M9" s="102">
        <f>main!S$45/1000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47.784251511161273</v>
      </c>
      <c r="C10">
        <v>103.26060688500222</v>
      </c>
      <c r="D10">
        <v>0</v>
      </c>
      <c r="E10">
        <v>0</v>
      </c>
      <c r="F10">
        <v>56.120393918777381</v>
      </c>
      <c r="G10">
        <v>158.19073805116454</v>
      </c>
      <c r="H10">
        <v>-546.8619707544226</v>
      </c>
      <c r="I10">
        <v>98.095800763963751</v>
      </c>
      <c r="K10" s="102">
        <f>main!T$39/1000</f>
        <v>44</v>
      </c>
      <c r="L10" s="102">
        <f>main!T$41</f>
        <v>0</v>
      </c>
      <c r="M10" s="102">
        <f>main!T$45/1000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47.293983072942012</v>
      </c>
      <c r="C11">
        <v>115.95522662969725</v>
      </c>
      <c r="D11">
        <v>0</v>
      </c>
      <c r="E11">
        <v>0</v>
      </c>
      <c r="F11">
        <v>57.462018653935274</v>
      </c>
      <c r="G11">
        <v>155.25936244187733</v>
      </c>
      <c r="H11">
        <v>-549.27104215555914</v>
      </c>
      <c r="I11">
        <v>87.039447451768922</v>
      </c>
      <c r="K11" s="102">
        <f>main!U$39/1000</f>
        <v>44</v>
      </c>
      <c r="L11" s="102">
        <f>main!U$41</f>
        <v>0</v>
      </c>
      <c r="M11" s="102">
        <f>main!U$45/1000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46.808526354685</v>
      </c>
      <c r="C12">
        <v>127.81127795369989</v>
      </c>
      <c r="D12">
        <v>0</v>
      </c>
      <c r="E12">
        <v>0</v>
      </c>
      <c r="F12">
        <v>57.630299361401285</v>
      </c>
      <c r="G12">
        <v>155.33284803552056</v>
      </c>
      <c r="H12">
        <v>-551.71050321886514</v>
      </c>
      <c r="I12">
        <v>76.470027940782444</v>
      </c>
      <c r="K12" s="102">
        <f>main!V$39/1000</f>
        <v>44</v>
      </c>
      <c r="L12" s="102">
        <f>main!V$41</f>
        <v>0</v>
      </c>
      <c r="M12" s="102">
        <f>main!V$45/1000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46.323069636427959</v>
      </c>
      <c r="C13">
        <v>139.46549655406605</v>
      </c>
      <c r="D13">
        <v>0</v>
      </c>
      <c r="E13">
        <v>0</v>
      </c>
      <c r="F13">
        <v>57.798580068867523</v>
      </c>
      <c r="G13">
        <v>155.5071465700205</v>
      </c>
      <c r="H13">
        <v>-554.18587933746358</v>
      </c>
      <c r="I13">
        <v>65.351166167792059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45.837612918170663</v>
      </c>
      <c r="C14">
        <v>151.75404657157318</v>
      </c>
      <c r="D14">
        <v>0</v>
      </c>
      <c r="E14">
        <v>0</v>
      </c>
      <c r="F14">
        <v>57.966860776333306</v>
      </c>
      <c r="G14">
        <v>155.75039098680099</v>
      </c>
      <c r="H14">
        <v>-556.67230624230604</v>
      </c>
      <c r="I14">
        <v>63.816114733963332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45.352156199913651</v>
      </c>
      <c r="C15">
        <v>163.98493009661243</v>
      </c>
      <c r="D15">
        <v>0</v>
      </c>
      <c r="E15">
        <v>0</v>
      </c>
      <c r="F15">
        <v>58.135141483799089</v>
      </c>
      <c r="G15">
        <v>156.19117934771998</v>
      </c>
      <c r="H15">
        <v>-559.19464820244013</v>
      </c>
      <c r="I15">
        <v>50.554474668943328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45.863206685777982</v>
      </c>
      <c r="C16">
        <v>163.83282315320426</v>
      </c>
      <c r="D16">
        <v>0</v>
      </c>
      <c r="E16">
        <v>0</v>
      </c>
      <c r="F16">
        <v>58.57629936624312</v>
      </c>
      <c r="G16">
        <v>157.82060816439548</v>
      </c>
      <c r="H16">
        <v>-561.75290521786678</v>
      </c>
      <c r="I16">
        <v>48.709908399981316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46.374257171642313</v>
      </c>
      <c r="C17">
        <v>164.02671516459969</v>
      </c>
      <c r="D17">
        <v>0</v>
      </c>
      <c r="E17">
        <v>0</v>
      </c>
      <c r="F17">
        <v>59.017457248686924</v>
      </c>
      <c r="G17">
        <v>159.3837158227152</v>
      </c>
      <c r="H17">
        <v>-564.33878919890185</v>
      </c>
      <c r="I17">
        <v>49.042052924586699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46.885307657506388</v>
      </c>
      <c r="C18">
        <v>164.53777288456479</v>
      </c>
      <c r="D18">
        <v>0</v>
      </c>
      <c r="E18">
        <v>0</v>
      </c>
      <c r="F18">
        <v>59.458615131131182</v>
      </c>
      <c r="G18">
        <v>160.63759358658922</v>
      </c>
      <c r="H18">
        <v>-566.93019857306047</v>
      </c>
      <c r="I18">
        <v>49.382056905164347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47.396358143370747</v>
      </c>
      <c r="C19">
        <v>165.5101625442681</v>
      </c>
      <c r="D19">
        <v>0</v>
      </c>
      <c r="E19">
        <v>0</v>
      </c>
      <c r="F19">
        <v>59.899773013575441</v>
      </c>
      <c r="G19">
        <v>161.7019229101536</v>
      </c>
      <c r="H19">
        <v>-569.53542143002278</v>
      </c>
      <c r="I19">
        <v>49.732030902453403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48.043740694823811</v>
      </c>
      <c r="C20">
        <v>164.8670467250999</v>
      </c>
      <c r="D20">
        <v>0</v>
      </c>
      <c r="E20">
        <v>0</v>
      </c>
      <c r="F20">
        <v>61.334872894613227</v>
      </c>
      <c r="G20">
        <v>165.36037422478853</v>
      </c>
      <c r="H20">
        <v>-572.1544577697897</v>
      </c>
      <c r="I20">
        <v>49.81994743518527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48.691123246276902</v>
      </c>
      <c r="C21">
        <v>164.1662644134648</v>
      </c>
      <c r="D21">
        <v>0</v>
      </c>
      <c r="E21">
        <v>0</v>
      </c>
      <c r="F21">
        <v>62.76997277565124</v>
      </c>
      <c r="G21">
        <v>168.39490836958566</v>
      </c>
      <c r="H21">
        <v>-574.77901950267824</v>
      </c>
      <c r="I21">
        <v>50.035745759852318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49.338505797730249</v>
      </c>
      <c r="C22">
        <v>163.69614807169842</v>
      </c>
      <c r="D22">
        <v>0</v>
      </c>
      <c r="E22">
        <v>0</v>
      </c>
      <c r="F22">
        <v>64.205072656689254</v>
      </c>
      <c r="G22">
        <v>170.87673605644864</v>
      </c>
      <c r="H22">
        <v>-577.38976775276296</v>
      </c>
      <c r="I22">
        <v>50.135202100631147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49.985888349183313</v>
      </c>
      <c r="C23">
        <v>163.48553094603463</v>
      </c>
      <c r="D23">
        <v>0</v>
      </c>
      <c r="E23">
        <v>0</v>
      </c>
      <c r="F23">
        <v>65.640172537727494</v>
      </c>
      <c r="G23">
        <v>172.74637807665476</v>
      </c>
      <c r="H23">
        <v>-580.00327869940838</v>
      </c>
      <c r="I23">
        <v>50.241904700030034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50.659552056809645</v>
      </c>
      <c r="C24">
        <v>163.17747895249914</v>
      </c>
      <c r="D24">
        <v>0</v>
      </c>
      <c r="E24">
        <v>0</v>
      </c>
      <c r="F24">
        <v>66.710270104935262</v>
      </c>
      <c r="G24">
        <v>173.70686178614119</v>
      </c>
      <c r="H24">
        <v>-582.61678964605301</v>
      </c>
      <c r="I24">
        <v>50.302699866473517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28" t="s">
        <v>21</v>
      </c>
      <c r="E1" s="328"/>
      <c r="F1" s="328"/>
      <c r="G1" s="328"/>
      <c r="H1" s="328" t="s">
        <v>9</v>
      </c>
      <c r="I1" s="328"/>
      <c r="J1" s="328"/>
      <c r="K1" s="328"/>
      <c r="L1" s="328" t="s">
        <v>10</v>
      </c>
      <c r="M1" s="328"/>
      <c r="N1" s="328"/>
      <c r="O1" s="328"/>
      <c r="P1" s="328" t="s">
        <v>11</v>
      </c>
      <c r="Q1" s="328"/>
      <c r="R1" s="328"/>
      <c r="S1" s="328"/>
      <c r="T1" s="328" t="s">
        <v>266</v>
      </c>
      <c r="U1" s="328"/>
      <c r="V1" s="328"/>
      <c r="W1" s="328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main!F33</f>
        <v>2220523</v>
      </c>
      <c r="E3" s="197">
        <f>main!G33</f>
        <v>2298792</v>
      </c>
      <c r="F3" s="197">
        <f>main!H33</f>
        <v>2315842</v>
      </c>
      <c r="G3" s="197">
        <f>main!I33</f>
        <v>2331428</v>
      </c>
      <c r="H3" s="197">
        <f>main!J33</f>
        <v>2347737</v>
      </c>
      <c r="I3" s="197">
        <f>main!K33</f>
        <v>2422546</v>
      </c>
      <c r="J3" s="197">
        <f>main!L33</f>
        <v>4815254</v>
      </c>
      <c r="K3" s="197">
        <f>main!M33</f>
        <v>3494888</v>
      </c>
      <c r="L3" s="255">
        <f>main!N33</f>
        <v>2925056</v>
      </c>
      <c r="M3" s="255">
        <f>main!O33</f>
        <v>3270456.7169724014</v>
      </c>
      <c r="N3" s="255">
        <f>main!P33</f>
        <v>2708796.7165770018</v>
      </c>
      <c r="O3" s="255">
        <f>main!Q33</f>
        <v>2611509.6718853824</v>
      </c>
      <c r="P3" s="255">
        <f>main!R33</f>
        <v>2678465.9441347551</v>
      </c>
      <c r="Q3" s="255">
        <f>main!S33</f>
        <v>2735176.6542439447</v>
      </c>
      <c r="R3" s="255">
        <f>main!T33</f>
        <v>2793300.2519227522</v>
      </c>
      <c r="S3" s="255">
        <f>main!U33</f>
        <v>2852876.3150512893</v>
      </c>
      <c r="T3" s="255">
        <f>main!V33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main!F34</f>
        <v>753311</v>
      </c>
      <c r="E4" s="197">
        <f>main!G34</f>
        <v>767353</v>
      </c>
      <c r="F4" s="197">
        <f>main!H34</f>
        <v>779707</v>
      </c>
      <c r="G4" s="197">
        <f>main!I34</f>
        <v>789893</v>
      </c>
      <c r="H4" s="197">
        <f>main!J34</f>
        <v>797912</v>
      </c>
      <c r="I4" s="197">
        <f>main!K34</f>
        <v>804655</v>
      </c>
      <c r="J4" s="197">
        <f>main!L34</f>
        <v>824058</v>
      </c>
      <c r="K4" s="197">
        <f>main!M34</f>
        <v>842733</v>
      </c>
      <c r="L4" s="213">
        <f>main!N34</f>
        <v>860594</v>
      </c>
      <c r="M4" s="213">
        <f>main!O34</f>
        <v>883132.91447240114</v>
      </c>
      <c r="N4" s="213">
        <f>main!P34</f>
        <v>905947.84259575198</v>
      </c>
      <c r="O4" s="213">
        <f>main!Q34</f>
        <v>929042.16445899184</v>
      </c>
      <c r="P4" s="213">
        <f>main!R34</f>
        <v>971421.42409696849</v>
      </c>
      <c r="Q4" s="213">
        <f>main!S34</f>
        <v>1003186.4664055918</v>
      </c>
      <c r="R4" s="213">
        <f>main!T34</f>
        <v>1035990.2112668242</v>
      </c>
      <c r="S4" s="213">
        <f>main!U34</f>
        <v>1069866.6237855225</v>
      </c>
      <c r="T4" s="213">
        <f>main!V34</f>
        <v>1080647.7677858607</v>
      </c>
      <c r="U4" s="213">
        <f>main!W34</f>
        <v>1091537.5543621723</v>
      </c>
      <c r="V4" s="213">
        <f>main!X34</f>
        <v>1102537.0783156503</v>
      </c>
      <c r="W4" s="213">
        <f>main!Y34</f>
        <v>1113647.4454798999</v>
      </c>
      <c r="AJ4" s="233"/>
    </row>
    <row r="5" spans="1:36" s="35" customFormat="1" x14ac:dyDescent="0.2">
      <c r="A5" s="35" t="s">
        <v>15</v>
      </c>
      <c r="D5" s="197">
        <f>main!F94</f>
        <v>728844</v>
      </c>
      <c r="E5" s="197">
        <f>main!G94</f>
        <v>738714</v>
      </c>
      <c r="F5" s="197">
        <f>main!H94</f>
        <v>755204</v>
      </c>
      <c r="G5" s="197">
        <f>main!I94</f>
        <v>763370</v>
      </c>
      <c r="H5" s="197">
        <f>main!J94</f>
        <v>760967</v>
      </c>
      <c r="I5" s="197">
        <f>main!K94</f>
        <v>767087</v>
      </c>
      <c r="J5" s="197">
        <f>main!L94</f>
        <v>812158</v>
      </c>
      <c r="K5" s="197">
        <f>main!M94</f>
        <v>828480</v>
      </c>
      <c r="L5" s="262">
        <f>main!N94</f>
        <v>818740</v>
      </c>
      <c r="M5" s="262">
        <f>main!O94</f>
        <v>833187.26602163713</v>
      </c>
      <c r="N5" s="262">
        <f>main!P94</f>
        <v>842504.18011550407</v>
      </c>
      <c r="O5" s="262">
        <f>main!Q94</f>
        <v>844415.87532647082</v>
      </c>
      <c r="P5" s="262">
        <f>main!R94</f>
        <v>845998.19061933178</v>
      </c>
      <c r="Q5" s="262">
        <f>main!S94</f>
        <v>847741.96665636217</v>
      </c>
      <c r="R5" s="262">
        <f>main!T94</f>
        <v>849375.94938735757</v>
      </c>
      <c r="S5" s="262">
        <f>main!U94</f>
        <v>850848.47137418366</v>
      </c>
      <c r="T5" s="262">
        <f>main!V94</f>
        <v>852146.61575730611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main!F97</f>
        <v>589819</v>
      </c>
      <c r="E6" s="197">
        <f>main!G97</f>
        <v>599372</v>
      </c>
      <c r="F6" s="197">
        <f>main!H97</f>
        <v>614976</v>
      </c>
      <c r="G6" s="197">
        <f>main!I97</f>
        <v>622265</v>
      </c>
      <c r="H6" s="197">
        <f>main!J97</f>
        <v>619632</v>
      </c>
      <c r="I6" s="197">
        <f>main!K97</f>
        <v>624096</v>
      </c>
      <c r="J6" s="197">
        <f>main!L97</f>
        <v>668823</v>
      </c>
      <c r="K6" s="197">
        <f>main!M97</f>
        <v>683703</v>
      </c>
      <c r="L6" s="35">
        <f>main!N97</f>
        <v>673632</v>
      </c>
      <c r="M6" s="35">
        <f>main!O97</f>
        <v>685780.06502466369</v>
      </c>
      <c r="N6" s="35">
        <f>main!P97</f>
        <v>692623.40051785414</v>
      </c>
      <c r="O6" s="35">
        <f>main!Q97</f>
        <v>692623.40051785414</v>
      </c>
      <c r="P6" s="35">
        <f>main!R97</f>
        <v>692623.40051785414</v>
      </c>
      <c r="Q6" s="35">
        <f>main!S97</f>
        <v>692623.40051785414</v>
      </c>
      <c r="R6" s="35">
        <f>main!T97</f>
        <v>692623.40051785414</v>
      </c>
      <c r="S6" s="35">
        <f>main!U97</f>
        <v>692623.40051785414</v>
      </c>
      <c r="T6" s="35">
        <f>main!V97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36" t="s">
        <v>207</v>
      </c>
      <c r="B1" s="337"/>
      <c r="C1" s="35"/>
      <c r="I1" s="240"/>
      <c r="J1" s="344" t="s">
        <v>280</v>
      </c>
      <c r="V1" s="328"/>
      <c r="W1" s="328"/>
      <c r="X1" s="328"/>
      <c r="Y1" s="328"/>
    </row>
    <row r="2" spans="1:27" x14ac:dyDescent="0.2">
      <c r="A2" s="338" t="s">
        <v>191</v>
      </c>
      <c r="B2" s="126"/>
      <c r="C2" t="s">
        <v>192</v>
      </c>
      <c r="H2" s="95"/>
      <c r="I2" s="241"/>
      <c r="J2" s="344"/>
    </row>
    <row r="3" spans="1:27" x14ac:dyDescent="0.2">
      <c r="A3" s="339"/>
      <c r="B3" s="127"/>
      <c r="C3" t="s">
        <v>193</v>
      </c>
      <c r="H3" s="95"/>
      <c r="I3" s="241"/>
      <c r="J3" s="344"/>
    </row>
    <row r="4" spans="1:27" x14ac:dyDescent="0.2">
      <c r="A4" s="339"/>
      <c r="B4" s="128"/>
      <c r="C4" t="s">
        <v>194</v>
      </c>
      <c r="H4" s="95"/>
      <c r="I4" s="95"/>
      <c r="J4" s="95"/>
    </row>
    <row r="5" spans="1:27" x14ac:dyDescent="0.2">
      <c r="A5" s="340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41" t="s">
        <v>160</v>
      </c>
      <c r="D7" s="342"/>
      <c r="E7" s="342"/>
      <c r="F7" s="343"/>
      <c r="G7" s="341" t="s">
        <v>165</v>
      </c>
      <c r="H7" s="342"/>
      <c r="I7" s="342"/>
      <c r="J7" s="343"/>
      <c r="K7" s="341" t="s">
        <v>176</v>
      </c>
      <c r="L7" s="342"/>
      <c r="M7" s="342"/>
      <c r="N7" s="342"/>
      <c r="O7" s="341" t="s">
        <v>270</v>
      </c>
      <c r="P7" s="342"/>
      <c r="Q7" s="342"/>
      <c r="R7" s="342"/>
      <c r="S7" s="341" t="s">
        <v>274</v>
      </c>
      <c r="T7" s="342"/>
      <c r="U7" s="342"/>
      <c r="V7" s="342"/>
      <c r="W7" s="341" t="s">
        <v>275</v>
      </c>
      <c r="X7" s="342"/>
      <c r="Y7" s="342"/>
      <c r="Z7" s="342"/>
      <c r="AA7" s="222" t="s">
        <v>276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833.18726602163713</v>
      </c>
      <c r="I31" s="104">
        <f>main_nipas!N5/1000</f>
        <v>842.50418011550403</v>
      </c>
      <c r="J31" s="104">
        <f>main_nipas!O5/1000</f>
        <v>844.41587532647077</v>
      </c>
      <c r="K31" s="149">
        <f>main_nipas!P5/1000</f>
        <v>845.99819061933181</v>
      </c>
      <c r="L31" s="104">
        <f>main_nipas!Q5/1000</f>
        <v>847.74196665636214</v>
      </c>
      <c r="M31" s="104">
        <f>L31*(1 + M33)</f>
        <v>1030.7928322706473</v>
      </c>
      <c r="N31" s="104">
        <f t="shared" ref="N31:AA31" si="4">M31*(1 + N33)</f>
        <v>1204.2013394679993</v>
      </c>
      <c r="O31" s="149">
        <f t="shared" si="4"/>
        <v>1366.3572557338068</v>
      </c>
      <c r="P31" s="104">
        <f t="shared" si="4"/>
        <v>1525.8133116428717</v>
      </c>
      <c r="Q31" s="104">
        <f t="shared" si="4"/>
        <v>1693.7546429588408</v>
      </c>
      <c r="R31" s="104">
        <f t="shared" si="4"/>
        <v>1860.9245856014547</v>
      </c>
      <c r="S31" s="149">
        <f t="shared" si="4"/>
        <v>1855.1413573935588</v>
      </c>
      <c r="T31" s="104">
        <f t="shared" si="4"/>
        <v>1853.9864612257952</v>
      </c>
      <c r="U31" s="104">
        <f t="shared" si="4"/>
        <v>1857.074202761479</v>
      </c>
      <c r="V31" s="104">
        <f t="shared" si="4"/>
        <v>1866.3330536840044</v>
      </c>
      <c r="W31" s="149">
        <f t="shared" si="4"/>
        <v>1852.9817454476768</v>
      </c>
      <c r="X31" s="104">
        <f t="shared" si="4"/>
        <v>1838.8590485379941</v>
      </c>
      <c r="Y31" s="104">
        <f t="shared" si="4"/>
        <v>1827.8219063217305</v>
      </c>
      <c r="Z31" s="104">
        <f t="shared" si="4"/>
        <v>1820.2560131355626</v>
      </c>
      <c r="AA31" s="149">
        <f t="shared" si="4"/>
        <v>1811.1939894717718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737.71430902167583</v>
      </c>
      <c r="I34" s="217">
        <f t="shared" si="7"/>
        <v>771.5868226843121</v>
      </c>
      <c r="J34" s="217">
        <f t="shared" si="7"/>
        <v>795.92396149189187</v>
      </c>
      <c r="K34" s="150">
        <f t="shared" si="7"/>
        <v>783.08015684207442</v>
      </c>
      <c r="L34" s="239">
        <f t="shared" si="7"/>
        <v>768.1982671334772</v>
      </c>
      <c r="M34" s="217">
        <f t="shared" si="7"/>
        <v>934.07345474133319</v>
      </c>
      <c r="N34" s="217">
        <f t="shared" si="7"/>
        <v>1091.2110272277114</v>
      </c>
      <c r="O34" s="150">
        <f t="shared" si="7"/>
        <v>1238.1518403293105</v>
      </c>
      <c r="P34" s="150">
        <f t="shared" si="7"/>
        <v>1382.6461211968945</v>
      </c>
      <c r="Q34" s="150">
        <f t="shared" si="7"/>
        <v>1534.8295033713819</v>
      </c>
      <c r="R34" s="150">
        <f t="shared" si="7"/>
        <v>1686.3138763361505</v>
      </c>
      <c r="S34" s="150">
        <f t="shared" si="7"/>
        <v>1681.0732889139356</v>
      </c>
      <c r="T34" s="150">
        <f t="shared" si="7"/>
        <v>1680.0267567500341</v>
      </c>
      <c r="U34" s="150">
        <f t="shared" si="7"/>
        <v>1682.8247752395796</v>
      </c>
      <c r="V34" s="150">
        <f t="shared" si="7"/>
        <v>1691.2148674068753</v>
      </c>
      <c r="W34" s="150">
        <f t="shared" si="7"/>
        <v>1679.1163135372763</v>
      </c>
      <c r="X34" s="150">
        <f t="shared" si="7"/>
        <v>1666.3187504579587</v>
      </c>
      <c r="Y34" s="150">
        <f t="shared" si="7"/>
        <v>1656.3172242175142</v>
      </c>
      <c r="Z34" s="150">
        <f t="shared" si="7"/>
        <v>1649.4612394208018</v>
      </c>
      <c r="AA34" s="150">
        <f t="shared" si="7"/>
        <v>1641.2495061941177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78.044000000000011</v>
      </c>
    </row>
    <row r="4" spans="1:9" x14ac:dyDescent="0.2">
      <c r="A4" s="260">
        <v>44286</v>
      </c>
      <c r="B4" s="259">
        <v>-66.570250475374905</v>
      </c>
      <c r="C4" s="259">
        <v>737.71430902167583</v>
      </c>
      <c r="D4" s="259">
        <v>-19.570276169563158</v>
      </c>
      <c r="E4" s="259">
        <v>22.85696713431571</v>
      </c>
      <c r="F4" s="259">
        <v>66.012511731550148</v>
      </c>
      <c r="G4" s="259">
        <v>1201.8936191406992</v>
      </c>
      <c r="H4" s="259">
        <v>182.11701340348043</v>
      </c>
      <c r="I4" s="259">
        <v>136.69974592991596</v>
      </c>
    </row>
    <row r="5" spans="1:9" x14ac:dyDescent="0.2">
      <c r="A5" s="260">
        <v>44377</v>
      </c>
      <c r="B5" s="259">
        <v>-86.402072732203806</v>
      </c>
      <c r="C5" s="259">
        <v>771.5868226843121</v>
      </c>
      <c r="D5" s="259">
        <v>-19.881471776848912</v>
      </c>
      <c r="E5" s="259">
        <v>23.220425866659994</v>
      </c>
      <c r="F5" s="259">
        <v>101.61723848447548</v>
      </c>
      <c r="G5" s="259">
        <v>854.05661636033483</v>
      </c>
      <c r="H5" s="259">
        <v>179.90531031824844</v>
      </c>
      <c r="I5" s="259">
        <v>125.03503252307752</v>
      </c>
    </row>
    <row r="6" spans="1:9" x14ac:dyDescent="0.2">
      <c r="A6" s="260">
        <v>44469</v>
      </c>
      <c r="B6" s="259">
        <v>-113.07723048222294</v>
      </c>
      <c r="C6" s="259">
        <v>795.92396149189187</v>
      </c>
      <c r="D6" s="259">
        <v>-20.214090270154657</v>
      </c>
      <c r="E6" s="259">
        <v>23.60890530883951</v>
      </c>
      <c r="F6" s="259">
        <v>137.50135897728978</v>
      </c>
      <c r="G6" s="259">
        <v>906.03001879956446</v>
      </c>
      <c r="H6" s="259">
        <v>-472.48307660831472</v>
      </c>
      <c r="I6" s="259">
        <v>140.94304000056621</v>
      </c>
    </row>
    <row r="7" spans="1:9" x14ac:dyDescent="0.2">
      <c r="A7" s="260">
        <v>44561</v>
      </c>
      <c r="B7" s="259">
        <v>-105.05755462580441</v>
      </c>
      <c r="C7" s="259">
        <v>783.08015684207442</v>
      </c>
      <c r="D7" s="259">
        <v>-20.436869492641335</v>
      </c>
      <c r="E7" s="259">
        <v>23.869098743135368</v>
      </c>
      <c r="F7" s="259">
        <v>144.44402858127864</v>
      </c>
      <c r="G7" s="259">
        <v>926.50683572140088</v>
      </c>
      <c r="H7" s="259">
        <v>-496.39094591532699</v>
      </c>
      <c r="I7" s="259">
        <v>125.07100923642585</v>
      </c>
    </row>
    <row r="8" spans="1:9" x14ac:dyDescent="0.2">
      <c r="A8" s="260">
        <v>44651</v>
      </c>
      <c r="B8" s="259">
        <v>-97.037878769385998</v>
      </c>
      <c r="C8" s="259">
        <v>768.1982671334772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-544.48328901545699</v>
      </c>
      <c r="I8" s="259">
        <v>108.61357363153607</v>
      </c>
    </row>
    <row r="9" spans="1:9" x14ac:dyDescent="0.2">
      <c r="A9" s="260">
        <v>44742</v>
      </c>
      <c r="B9" s="259">
        <v>-89.018202912967581</v>
      </c>
      <c r="C9" s="259">
        <v>934.07345474133319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-546.8619707544226</v>
      </c>
      <c r="I9" s="259">
        <v>98.095800763963751</v>
      </c>
    </row>
    <row r="10" spans="1:9" x14ac:dyDescent="0.2">
      <c r="A10" s="260">
        <v>44834</v>
      </c>
      <c r="B10" s="259">
        <v>-88.104872392241191</v>
      </c>
      <c r="C10" s="259">
        <v>1091.2110272277114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-549.27104215555914</v>
      </c>
      <c r="I10" s="259">
        <v>87.039447451768922</v>
      </c>
    </row>
    <row r="11" spans="1:9" x14ac:dyDescent="0.2">
      <c r="A11" s="260">
        <v>44926</v>
      </c>
      <c r="B11" s="259">
        <v>-87.200505717350779</v>
      </c>
      <c r="C11" s="259">
        <v>1238.1518403293105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-551.71050321886514</v>
      </c>
      <c r="I11" s="259">
        <v>76.470027940782444</v>
      </c>
    </row>
    <row r="12" spans="1:9" x14ac:dyDescent="0.2">
      <c r="A12" s="260">
        <v>45016</v>
      </c>
      <c r="B12" s="259">
        <v>-86.296139042460368</v>
      </c>
      <c r="C12" s="259">
        <v>1382.6461211968945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-554.18587933746358</v>
      </c>
      <c r="I12" s="259">
        <v>65.351166167792059</v>
      </c>
    </row>
    <row r="13" spans="1:9" x14ac:dyDescent="0.2">
      <c r="A13" s="260">
        <v>45107</v>
      </c>
      <c r="B13" s="259">
        <v>-85.391772367569956</v>
      </c>
      <c r="C13" s="259">
        <v>1534.8295033713819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-556.67230624230604</v>
      </c>
      <c r="I13" s="259">
        <v>63.816114733963332</v>
      </c>
    </row>
    <row r="14" spans="1:9" x14ac:dyDescent="0.2">
      <c r="A14" s="260">
        <v>45199</v>
      </c>
      <c r="B14" s="259">
        <v>-84.487405692679545</v>
      </c>
      <c r="C14" s="259">
        <v>1686.3138763361505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-559.19464820244013</v>
      </c>
      <c r="I14" s="259">
        <v>50.554474668943328</v>
      </c>
    </row>
    <row r="15" spans="1:9" x14ac:dyDescent="0.2">
      <c r="A15" s="260">
        <v>45291</v>
      </c>
      <c r="B15" s="259">
        <v>-85.439451490421334</v>
      </c>
      <c r="C15" s="259">
        <v>1681.0732889139356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-561.75290521786678</v>
      </c>
      <c r="I15" s="259">
        <v>48.709908399981316</v>
      </c>
    </row>
    <row r="16" spans="1:9" x14ac:dyDescent="0.2">
      <c r="A16" s="260">
        <v>45382</v>
      </c>
      <c r="B16" s="259">
        <v>-86.391497288163123</v>
      </c>
      <c r="C16" s="259">
        <v>1680.0267567500341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-564.33878919890185</v>
      </c>
      <c r="I16" s="259">
        <v>49.042052924586699</v>
      </c>
    </row>
    <row r="17" spans="1:9" x14ac:dyDescent="0.2">
      <c r="A17" s="260">
        <v>45473</v>
      </c>
      <c r="B17" s="259">
        <v>-87.343543085905026</v>
      </c>
      <c r="C17" s="259">
        <v>1682.8247752395796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-566.93019857306047</v>
      </c>
      <c r="I17" s="259">
        <v>49.382056905164347</v>
      </c>
    </row>
    <row r="18" spans="1:9" x14ac:dyDescent="0.2">
      <c r="A18" s="260">
        <v>45565</v>
      </c>
      <c r="B18" s="259">
        <v>-88.295588883646928</v>
      </c>
      <c r="C18" s="259">
        <v>1691.2148674068753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-569.53542143002278</v>
      </c>
      <c r="I18" s="259">
        <v>49.732030902453403</v>
      </c>
    </row>
    <row r="19" spans="1:9" x14ac:dyDescent="0.2">
      <c r="A19" s="260">
        <v>45657</v>
      </c>
      <c r="B19" s="259">
        <v>-89.501610313408264</v>
      </c>
      <c r="C19" s="259">
        <v>1679.1163135372763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-572.1544577697897</v>
      </c>
      <c r="I19" s="259">
        <v>49.81994743518527</v>
      </c>
    </row>
    <row r="20" spans="1:9" x14ac:dyDescent="0.2">
      <c r="A20" s="260">
        <v>45747</v>
      </c>
      <c r="B20" s="259">
        <v>-90.707631743169713</v>
      </c>
      <c r="C20" s="259">
        <v>1666.3187504579587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-574.77901950267824</v>
      </c>
      <c r="I20" s="259">
        <v>50.035745759852318</v>
      </c>
    </row>
    <row r="21" spans="1:9" x14ac:dyDescent="0.2">
      <c r="A21" s="260">
        <v>45838</v>
      </c>
      <c r="B21" s="259">
        <v>-91.913653172931049</v>
      </c>
      <c r="C21" s="259">
        <v>1656.3172242175142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-577.38976775276296</v>
      </c>
      <c r="I21" s="259">
        <v>50.135202100631147</v>
      </c>
    </row>
    <row r="22" spans="1:9" x14ac:dyDescent="0.2">
      <c r="A22" s="260">
        <v>45930</v>
      </c>
      <c r="B22" s="259">
        <v>-93.119674602692498</v>
      </c>
      <c r="C22" s="259">
        <v>1649.4612394208018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-580.00327869940838</v>
      </c>
      <c r="I22" s="259">
        <v>50.241904700030034</v>
      </c>
    </row>
    <row r="23" spans="1:9" x14ac:dyDescent="0.2">
      <c r="A23" s="260">
        <v>46022</v>
      </c>
      <c r="B23" s="259">
        <v>-94.374655704710335</v>
      </c>
      <c r="C23" s="259">
        <v>1641.2495061941177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-582.61678964605301</v>
      </c>
      <c r="I23" s="259">
        <v>50.302699866473517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375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5" t="s">
        <v>32</v>
      </c>
      <c r="B5" s="346"/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</row>
    <row r="6" spans="1:19" s="6" customFormat="1" ht="15" customHeight="1" x14ac:dyDescent="0.15">
      <c r="A6" s="347" t="s">
        <v>33</v>
      </c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7"/>
      <c r="N6" s="347"/>
      <c r="O6" s="347"/>
      <c r="P6" s="347"/>
      <c r="Q6" s="347"/>
      <c r="R6" s="347"/>
      <c r="S6" s="347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8"/>
      <c r="S8" s="349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main!K99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29" t="s">
        <v>207</v>
      </c>
      <c r="B1" s="329"/>
      <c r="C1" s="35"/>
      <c r="H1"/>
      <c r="I1"/>
      <c r="J1"/>
      <c r="X1" t="s">
        <v>28</v>
      </c>
      <c r="Z1" s="350" t="s">
        <v>84</v>
      </c>
      <c r="AA1" s="350"/>
      <c r="AB1" s="350"/>
      <c r="AC1" s="328"/>
      <c r="AD1" s="328"/>
      <c r="AE1" s="328"/>
      <c r="AF1" s="328"/>
    </row>
    <row r="2" spans="1:32" x14ac:dyDescent="0.2">
      <c r="A2" s="351" t="s">
        <v>191</v>
      </c>
      <c r="B2" s="107"/>
      <c r="C2" t="s">
        <v>192</v>
      </c>
    </row>
    <row r="3" spans="1:32" x14ac:dyDescent="0.2">
      <c r="A3" s="351"/>
      <c r="B3" s="108"/>
      <c r="C3" t="s">
        <v>193</v>
      </c>
    </row>
    <row r="4" spans="1:32" x14ac:dyDescent="0.2">
      <c r="A4" s="351"/>
      <c r="B4" s="109"/>
      <c r="C4" t="s">
        <v>194</v>
      </c>
    </row>
    <row r="5" spans="1:32" x14ac:dyDescent="0.2">
      <c r="A5" s="351"/>
      <c r="B5" s="98"/>
      <c r="C5" t="s">
        <v>181</v>
      </c>
    </row>
    <row r="7" spans="1:32" x14ac:dyDescent="0.2">
      <c r="C7" s="341" t="s">
        <v>160</v>
      </c>
      <c r="D7" s="342"/>
      <c r="E7" s="342"/>
      <c r="F7" s="343"/>
      <c r="G7" s="341" t="s">
        <v>165</v>
      </c>
      <c r="H7" s="342"/>
      <c r="I7" s="342"/>
      <c r="J7" s="343"/>
      <c r="K7" s="341" t="s">
        <v>176</v>
      </c>
      <c r="L7" s="342"/>
      <c r="M7" s="342"/>
      <c r="N7" s="343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main!L53/1000</f>
        <v>1086.548</v>
      </c>
      <c r="F70" s="102">
        <f>main!M53/1000</f>
        <v>1213.48</v>
      </c>
      <c r="G70" s="102">
        <f>main!N53/1000</f>
        <v>610.53599999999994</v>
      </c>
      <c r="H70" s="102">
        <f>main!O53/1000</f>
        <v>794.08358333333342</v>
      </c>
      <c r="I70" s="102">
        <f>main!P53/1000</f>
        <v>794.08358333333342</v>
      </c>
      <c r="J70" s="102">
        <f>main!Q53/1000</f>
        <v>144.08358333333331</v>
      </c>
      <c r="K70" s="102">
        <f>main!R53/1000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abSelected="1"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52" t="s">
        <v>104</v>
      </c>
      <c r="B2" s="352"/>
      <c r="C2" s="352"/>
      <c r="D2" s="352"/>
      <c r="E2" s="352"/>
      <c r="F2" s="352"/>
      <c r="G2" s="352"/>
      <c r="H2" s="352"/>
      <c r="I2" s="352"/>
      <c r="J2" s="352"/>
      <c r="K2" s="77"/>
    </row>
    <row r="3" spans="1:24" x14ac:dyDescent="0.2">
      <c r="A3" s="352" t="s">
        <v>105</v>
      </c>
      <c r="B3" s="352"/>
      <c r="C3" s="352"/>
      <c r="D3" s="352"/>
      <c r="E3" s="352"/>
      <c r="F3" s="352"/>
      <c r="G3" s="352"/>
      <c r="H3" s="352"/>
      <c r="I3" s="352"/>
      <c r="J3" s="352"/>
      <c r="K3" s="77"/>
    </row>
    <row r="4" spans="1:24" ht="16" thickBot="1" x14ac:dyDescent="0.25">
      <c r="A4" s="353"/>
      <c r="B4" s="353"/>
      <c r="C4" s="353"/>
      <c r="D4" s="353"/>
      <c r="E4" s="353"/>
      <c r="F4" s="353"/>
      <c r="G4" s="353"/>
      <c r="H4" s="353"/>
      <c r="I4" s="353"/>
      <c r="J4" s="353"/>
      <c r="K4" s="358" t="s">
        <v>160</v>
      </c>
      <c r="L4" s="358"/>
      <c r="M4" s="358"/>
      <c r="N4" s="358"/>
    </row>
    <row r="5" spans="1:24" x14ac:dyDescent="0.2">
      <c r="A5" s="47"/>
      <c r="B5" s="48"/>
      <c r="C5" s="354" t="s">
        <v>106</v>
      </c>
      <c r="D5" s="355"/>
      <c r="E5" s="355"/>
      <c r="F5" s="355"/>
      <c r="G5" s="355"/>
      <c r="H5" s="355"/>
      <c r="I5" s="355"/>
      <c r="J5" s="356"/>
      <c r="K5" s="78"/>
      <c r="L5" s="357" t="s">
        <v>107</v>
      </c>
      <c r="M5" s="328"/>
      <c r="N5" s="328"/>
    </row>
    <row r="6" spans="1:24" x14ac:dyDescent="0.2">
      <c r="A6" s="1" t="s">
        <v>109</v>
      </c>
      <c r="B6" s="49"/>
      <c r="C6" s="360">
        <v>2020</v>
      </c>
      <c r="D6" s="361"/>
      <c r="E6" s="361"/>
      <c r="F6" s="361"/>
      <c r="G6" s="361"/>
      <c r="H6" s="361"/>
      <c r="I6" s="361"/>
      <c r="J6" s="362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8" t="s">
        <v>9</v>
      </c>
      <c r="L22" s="328"/>
      <c r="M22" s="328"/>
      <c r="N22" s="328"/>
      <c r="O22" s="328" t="s">
        <v>10</v>
      </c>
      <c r="P22" s="328"/>
      <c r="Q22" s="328"/>
      <c r="R22" s="328"/>
      <c r="S22" s="328" t="s">
        <v>11</v>
      </c>
      <c r="T22" s="328"/>
      <c r="U22" s="328"/>
      <c r="V22" s="328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3" t="s">
        <v>108</v>
      </c>
      <c r="L23" s="363"/>
      <c r="M23" s="363"/>
      <c r="N23" s="363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59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59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9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9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9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59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376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9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67" t="s">
        <v>87</v>
      </c>
      <c r="F6" s="367"/>
      <c r="G6" s="367"/>
      <c r="H6" s="367"/>
      <c r="I6" s="367"/>
      <c r="J6" s="367"/>
      <c r="K6" s="367"/>
      <c r="L6" s="367"/>
      <c r="M6" s="367"/>
      <c r="N6" s="367"/>
      <c r="O6" s="367"/>
      <c r="P6" s="367"/>
      <c r="Q6" s="367"/>
      <c r="R6" s="367"/>
    </row>
    <row r="7" spans="1:18" x14ac:dyDescent="0.2">
      <c r="A7" s="364" t="s">
        <v>88</v>
      </c>
      <c r="B7" s="364"/>
      <c r="C7" s="364"/>
      <c r="D7" s="364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64" t="s">
        <v>89</v>
      </c>
      <c r="C8" s="364"/>
      <c r="D8" s="364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64" t="s">
        <v>90</v>
      </c>
      <c r="C9" s="364"/>
      <c r="D9" s="364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64" t="s">
        <v>91</v>
      </c>
      <c r="C10" s="364"/>
      <c r="D10" s="364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64" t="s">
        <v>58</v>
      </c>
      <c r="C11" s="364"/>
      <c r="D11" s="364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64" t="s">
        <v>34</v>
      </c>
      <c r="D13" s="364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64" t="s">
        <v>89</v>
      </c>
      <c r="C19" s="364"/>
      <c r="D19" s="364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64" t="s">
        <v>90</v>
      </c>
      <c r="C20" s="364"/>
      <c r="D20" s="364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64" t="s">
        <v>91</v>
      </c>
      <c r="C21" s="364"/>
      <c r="D21" s="364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64" t="s">
        <v>58</v>
      </c>
      <c r="C22" s="364"/>
      <c r="D22" s="364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65" t="s">
        <v>95</v>
      </c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65"/>
      <c r="T27" s="365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66" t="s">
        <v>99</v>
      </c>
      <c r="G37" s="366"/>
      <c r="H37" s="366"/>
      <c r="I37" s="366"/>
      <c r="J37" s="366"/>
      <c r="K37" s="366"/>
      <c r="L37" s="366"/>
      <c r="M37" s="366"/>
      <c r="N37" s="366"/>
      <c r="O37" s="366"/>
      <c r="P37" s="366"/>
      <c r="Q37" s="366"/>
      <c r="R37" s="366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65" t="s">
        <v>101</v>
      </c>
      <c r="G48" s="365"/>
      <c r="H48" s="365"/>
      <c r="I48" s="365"/>
      <c r="J48" s="365"/>
      <c r="K48" s="365"/>
      <c r="L48" s="365"/>
      <c r="M48" s="365"/>
      <c r="N48" s="365"/>
      <c r="O48" s="365"/>
      <c r="P48" s="365"/>
      <c r="Q48" s="365"/>
      <c r="R48" s="365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5" t="s">
        <v>32</v>
      </c>
      <c r="B5" s="346"/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</row>
    <row r="6" spans="1:19" s="6" customFormat="1" ht="15" customHeight="1" x14ac:dyDescent="0.15">
      <c r="A6" s="347" t="s">
        <v>33</v>
      </c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7"/>
      <c r="N6" s="347"/>
      <c r="O6" s="347"/>
      <c r="P6" s="347"/>
      <c r="Q6" s="347"/>
      <c r="R6" s="347"/>
      <c r="S6" s="347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8" t="s">
        <v>34</v>
      </c>
      <c r="S8" s="349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68" t="s">
        <v>42</v>
      </c>
      <c r="E75" s="369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2021-02-01T23:07:44Z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