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0A0F388E-0628-4BF7-A8B8-BD8A5CC7DC3D}" xr6:coauthVersionLast="44" xr6:coauthVersionMax="46" xr10:uidLastSave="{00000000-0000-0000-0000-000000000000}"/>
  <bookViews>
    <workbookView xWindow="28680" yWindow="-120" windowWidth="29040" windowHeight="15840" xr2:uid="{BAFE3F49-3B7E-4387-938E-5F3D7AC6DAFE}"/>
  </bookViews>
  <sheets>
    <sheet name="main" sheetId="1" r:id="rId1"/>
    <sheet name="Stimulus Round 2" sheetId="16" state="hidden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6" i="4" l="1"/>
  <c r="N38" i="4"/>
  <c r="N26" i="4"/>
  <c r="M37" i="4"/>
  <c r="N37" i="4"/>
  <c r="L36" i="1"/>
  <c r="L106" i="1"/>
  <c r="K106" i="1"/>
  <c r="J106" i="1"/>
  <c r="I106" i="1"/>
  <c r="H106" i="1"/>
  <c r="H107" i="1" s="1"/>
  <c r="G106" i="1"/>
  <c r="G107" i="1" s="1"/>
  <c r="F106" i="1"/>
  <c r="K107" i="1"/>
  <c r="J107" i="1"/>
  <c r="I107" i="1"/>
  <c r="F107" i="1"/>
  <c r="AA107" i="1"/>
  <c r="Z107" i="1"/>
  <c r="Y107" i="1"/>
  <c r="K108" i="1"/>
  <c r="T31" i="1" l="1"/>
  <c r="S31" i="1"/>
  <c r="R31" i="1"/>
  <c r="Q31" i="1"/>
  <c r="P31" i="1"/>
  <c r="O53" i="1"/>
  <c r="N54" i="1"/>
  <c r="O54" i="1"/>
  <c r="O55" i="1"/>
  <c r="O57" i="1"/>
  <c r="O106" i="1"/>
  <c r="O102" i="1"/>
  <c r="O101" i="1"/>
  <c r="O100" i="1"/>
  <c r="O99" i="1"/>
  <c r="O98" i="1"/>
  <c r="O97" i="1"/>
  <c r="O96" i="1"/>
  <c r="O95" i="1"/>
  <c r="O94" i="1"/>
  <c r="O93" i="1"/>
  <c r="O89" i="1"/>
  <c r="O82" i="1"/>
  <c r="O81" i="1"/>
  <c r="O80" i="1"/>
  <c r="O78" i="1"/>
  <c r="O72" i="1"/>
  <c r="O71" i="1"/>
  <c r="O70" i="1"/>
  <c r="O68" i="1"/>
  <c r="O67" i="1"/>
  <c r="O66" i="1"/>
  <c r="O65" i="1"/>
  <c r="O64" i="1"/>
  <c r="O50" i="1"/>
  <c r="O48" i="1"/>
  <c r="O47" i="1"/>
  <c r="O46" i="1"/>
  <c r="O45" i="1"/>
  <c r="O44" i="1"/>
  <c r="O43" i="1"/>
  <c r="O40" i="1"/>
  <c r="O37" i="1"/>
  <c r="O36" i="1"/>
  <c r="O32" i="1"/>
  <c r="O31" i="1"/>
  <c r="O30" i="1"/>
  <c r="O26" i="1"/>
  <c r="O25" i="1"/>
  <c r="O24" i="1"/>
  <c r="O23" i="1"/>
  <c r="O22" i="1"/>
  <c r="O18" i="1"/>
  <c r="O16" i="1"/>
  <c r="O14" i="1"/>
  <c r="O12" i="1"/>
  <c r="O11" i="1"/>
  <c r="O7" i="1"/>
  <c r="O6" i="1"/>
  <c r="O5" i="1"/>
  <c r="P5" i="9" l="1"/>
  <c r="B21" i="16"/>
  <c r="AB76" i="1"/>
  <c r="AA76" i="1"/>
  <c r="Z76" i="1"/>
  <c r="Y76" i="1"/>
  <c r="X76" i="1"/>
  <c r="AB75" i="1"/>
  <c r="AA75" i="1"/>
  <c r="Z75" i="1"/>
  <c r="Y75" i="1"/>
  <c r="X75" i="1"/>
  <c r="W75" i="1"/>
  <c r="S75" i="1"/>
  <c r="R75" i="1"/>
  <c r="Q75" i="1"/>
  <c r="AB74" i="1"/>
  <c r="AA74" i="1"/>
  <c r="Z74" i="1"/>
  <c r="Y74" i="1"/>
  <c r="R74" i="1"/>
  <c r="Q74" i="1"/>
  <c r="V62" i="1"/>
  <c r="T61" i="1"/>
  <c r="S61" i="1"/>
  <c r="R61" i="1"/>
  <c r="Q61" i="1"/>
  <c r="Q59" i="1"/>
  <c r="Q33" i="1"/>
  <c r="C20" i="16"/>
  <c r="U62" i="1" s="1"/>
  <c r="U51" i="1" s="1"/>
  <c r="C19" i="16"/>
  <c r="T35" i="1" s="1"/>
  <c r="C18" i="16"/>
  <c r="C17" i="16"/>
  <c r="B16" i="16"/>
  <c r="C16" i="16" s="1"/>
  <c r="C15" i="16"/>
  <c r="R34" i="1" s="1"/>
  <c r="B13" i="16"/>
  <c r="C13" i="16" s="1"/>
  <c r="X74" i="1" s="1"/>
  <c r="B10" i="16"/>
  <c r="C10" i="16" s="1"/>
  <c r="W76" i="1" s="1"/>
  <c r="C9" i="16"/>
  <c r="R86" i="1" s="1"/>
  <c r="C8" i="16"/>
  <c r="S85" i="1" s="1"/>
  <c r="C7" i="16"/>
  <c r="Q84" i="1" s="1"/>
  <c r="C14" i="16"/>
  <c r="C12" i="16"/>
  <c r="R60" i="1" s="1"/>
  <c r="C11" i="16"/>
  <c r="C6" i="16"/>
  <c r="C5" i="16"/>
  <c r="V75" i="1" s="1"/>
  <c r="C4" i="16"/>
  <c r="C3" i="16"/>
  <c r="Q41" i="1" s="1"/>
  <c r="C2" i="16"/>
  <c r="R59" i="1" s="1"/>
  <c r="S86" i="1"/>
  <c r="T86" i="1"/>
  <c r="T84" i="1"/>
  <c r="S84" i="1"/>
  <c r="R84" i="1"/>
  <c r="M87" i="1"/>
  <c r="AF87" i="1" s="1"/>
  <c r="AE87" i="1"/>
  <c r="AK87" i="1"/>
  <c r="AL87" i="1"/>
  <c r="AM87" i="1"/>
  <c r="Y88" i="1"/>
  <c r="Z88" i="1"/>
  <c r="AA88" i="1"/>
  <c r="AB88" i="1"/>
  <c r="AB77" i="1" l="1"/>
  <c r="AA77" i="1"/>
  <c r="Z77" i="1"/>
  <c r="Z73" i="1" s="1"/>
  <c r="Z68" i="1" s="1"/>
  <c r="Y77" i="1"/>
  <c r="Y73" i="1" s="1"/>
  <c r="Y68" i="1" s="1"/>
  <c r="X77" i="1"/>
  <c r="Q77" i="1"/>
  <c r="W77" i="1"/>
  <c r="V77" i="1"/>
  <c r="V73" i="1" s="1"/>
  <c r="V68" i="1" s="1"/>
  <c r="U77" i="1"/>
  <c r="T77" i="1"/>
  <c r="S77" i="1"/>
  <c r="R77" i="1"/>
  <c r="Q60" i="1"/>
  <c r="Q51" i="1" s="1"/>
  <c r="W62" i="1"/>
  <c r="S60" i="1"/>
  <c r="X62" i="1"/>
  <c r="Q35" i="1"/>
  <c r="Q62" i="1"/>
  <c r="R35" i="1"/>
  <c r="T85" i="1"/>
  <c r="S35" i="1"/>
  <c r="Q76" i="1"/>
  <c r="Q73" i="1" s="1"/>
  <c r="Q68" i="1" s="1"/>
  <c r="S74" i="1"/>
  <c r="S73" i="1" s="1"/>
  <c r="S68" i="1" s="1"/>
  <c r="R76" i="1"/>
  <c r="R73" i="1" s="1"/>
  <c r="R68" i="1" s="1"/>
  <c r="Q34" i="1"/>
  <c r="T74" i="1"/>
  <c r="S76" i="1"/>
  <c r="Q86" i="1"/>
  <c r="T62" i="1"/>
  <c r="U74" i="1"/>
  <c r="T76" i="1"/>
  <c r="Q85" i="1"/>
  <c r="Q83" i="1" s="1"/>
  <c r="S62" i="1"/>
  <c r="V74" i="1"/>
  <c r="T75" i="1"/>
  <c r="U76" i="1"/>
  <c r="S59" i="1"/>
  <c r="R62" i="1"/>
  <c r="W74" i="1"/>
  <c r="W73" i="1" s="1"/>
  <c r="W68" i="1" s="1"/>
  <c r="U75" i="1"/>
  <c r="V76" i="1"/>
  <c r="R85" i="1"/>
  <c r="S83" i="1"/>
  <c r="R83" i="1"/>
  <c r="T83" i="1"/>
  <c r="Y50" i="1"/>
  <c r="Z50" i="1"/>
  <c r="AA50" i="1"/>
  <c r="AB50" i="1"/>
  <c r="AB89" i="1"/>
  <c r="P68" i="1"/>
  <c r="X73" i="1"/>
  <c r="X68" i="1" s="1"/>
  <c r="AA73" i="1"/>
  <c r="AA68" i="1" s="1"/>
  <c r="AB73" i="1"/>
  <c r="AB68" i="1" s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U73" i="1" l="1"/>
  <c r="U68" i="1" s="1"/>
  <c r="T73" i="1"/>
  <c r="T68" i="1" s="1"/>
  <c r="G20" i="15"/>
  <c r="D28" i="15"/>
  <c r="C15" i="15" s="1"/>
  <c r="O2" i="9" a="1"/>
  <c r="O2" i="9" s="1"/>
  <c r="F5" i="15"/>
  <c r="E7" i="15"/>
  <c r="E9" i="15"/>
  <c r="H18" i="15"/>
  <c r="F20" i="15"/>
  <c r="G18" i="15"/>
  <c r="E20" i="15"/>
  <c r="F18" i="15"/>
  <c r="D20" i="15"/>
  <c r="E18" i="15"/>
  <c r="D19" i="15"/>
  <c r="D18" i="15"/>
  <c r="D8" i="15"/>
  <c r="D9" i="15"/>
  <c r="H17" i="15"/>
  <c r="N2" i="9" a="1"/>
  <c r="N4" i="9" s="1"/>
  <c r="O8" i="9" l="1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O91" i="1" s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O26" i="11" l="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AA106" i="1"/>
  <c r="Z106" i="1"/>
  <c r="Y106" i="1"/>
  <c r="AA105" i="1"/>
  <c r="Z105" i="1"/>
  <c r="Y105" i="1"/>
  <c r="P101" i="1"/>
  <c r="Q101" i="1" s="1"/>
  <c r="R101" i="1" s="1"/>
  <c r="S101" i="1" s="1"/>
  <c r="T101" i="1" s="1"/>
  <c r="U101" i="1" s="1"/>
  <c r="M102" i="1"/>
  <c r="M98" i="1"/>
  <c r="G98" i="1"/>
  <c r="H98" i="1"/>
  <c r="I98" i="1"/>
  <c r="J98" i="1"/>
  <c r="K98" i="1"/>
  <c r="L98" i="1"/>
  <c r="L102" i="1"/>
  <c r="K102" i="1"/>
  <c r="M5" i="15" l="1"/>
  <c r="L7" i="15"/>
  <c r="L9" i="15"/>
  <c r="P40" i="1"/>
  <c r="N5" i="15" l="1"/>
  <c r="M7" i="15"/>
  <c r="M9" i="15"/>
  <c r="M54" i="1"/>
  <c r="M51" i="1" s="1"/>
  <c r="O51" i="1" s="1"/>
  <c r="L54" i="1"/>
  <c r="M92" i="1"/>
  <c r="O92" i="1" s="1"/>
  <c r="M65" i="1"/>
  <c r="P16" i="1"/>
  <c r="P6" i="1"/>
  <c r="P12" i="1"/>
  <c r="P14" i="1"/>
  <c r="O5" i="15" l="1"/>
  <c r="N9" i="15"/>
  <c r="N7" i="15"/>
  <c r="P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N31" i="1"/>
  <c r="AM31" i="1"/>
  <c r="AL31" i="1"/>
  <c r="AK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AA73" i="5" l="1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AB82" i="1"/>
  <c r="AA82" i="1"/>
  <c r="Z82" i="1"/>
  <c r="Y82" i="1"/>
  <c r="P72" i="5"/>
  <c r="Q72" i="5"/>
  <c r="L4" i="10" l="1"/>
  <c r="G38" i="11" s="1"/>
  <c r="G41" i="11" s="1"/>
  <c r="Q73" i="5"/>
  <c r="R73" i="5"/>
  <c r="O72" i="5"/>
  <c r="P53" i="1"/>
  <c r="P51" i="1" s="1"/>
  <c r="R53" i="1"/>
  <c r="R51" i="1" s="1"/>
  <c r="S53" i="1"/>
  <c r="S51" i="1" s="1"/>
  <c r="T53" i="1"/>
  <c r="T51" i="1" s="1"/>
  <c r="V53" i="1"/>
  <c r="W53" i="1"/>
  <c r="X53" i="1"/>
  <c r="V54" i="1"/>
  <c r="W54" i="1"/>
  <c r="X54" i="1"/>
  <c r="X51" i="1" l="1"/>
  <c r="V51" i="1"/>
  <c r="W5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N4" i="10" l="1"/>
  <c r="I38" i="11" s="1"/>
  <c r="I41" i="11" s="1"/>
  <c r="N33" i="5"/>
  <c r="M33" i="5"/>
  <c r="W18" i="4"/>
  <c r="X42" i="1" s="1"/>
  <c r="X36" i="1" s="1"/>
  <c r="V18" i="4"/>
  <c r="W42" i="1" s="1"/>
  <c r="W36" i="1" s="1"/>
  <c r="U18" i="4"/>
  <c r="V42" i="1" s="1"/>
  <c r="V36" i="1" s="1"/>
  <c r="T18" i="4"/>
  <c r="U42" i="1" s="1"/>
  <c r="U36" i="1" s="1"/>
  <c r="F29" i="4"/>
  <c r="V33" i="4"/>
  <c r="V26" i="4" s="1"/>
  <c r="U33" i="4"/>
  <c r="U26" i="4" s="1"/>
  <c r="T33" i="4"/>
  <c r="T26" i="4" s="1"/>
  <c r="S33" i="4"/>
  <c r="S37" i="4" s="1"/>
  <c r="X103" i="1"/>
  <c r="X50" i="1"/>
  <c r="W50" i="1"/>
  <c r="V50" i="1"/>
  <c r="U50" i="1"/>
  <c r="L64" i="5" s="1"/>
  <c r="O4" i="10" l="1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X6" i="1"/>
  <c r="W6" i="1"/>
  <c r="V6" i="1"/>
  <c r="U6" i="1"/>
  <c r="T6" i="1"/>
  <c r="S6" i="1"/>
  <c r="R6" i="1"/>
  <c r="Q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J41" i="11" l="1"/>
  <c r="K38" i="11"/>
  <c r="U31" i="1"/>
  <c r="P4" i="10"/>
  <c r="M67" i="5"/>
  <c r="N64" i="5"/>
  <c r="P24" i="1"/>
  <c r="Q24" i="1" s="1"/>
  <c r="R24" i="1" s="1"/>
  <c r="S24" i="1" s="1"/>
  <c r="T24" i="1" s="1"/>
  <c r="U24" i="1" s="1"/>
  <c r="V24" i="1" s="1"/>
  <c r="W24" i="1" s="1"/>
  <c r="X24" i="1" s="1"/>
  <c r="P25" i="1"/>
  <c r="Q25" i="1" s="1"/>
  <c r="R25" i="1" s="1"/>
  <c r="S25" i="1" s="1"/>
  <c r="T25" i="1" s="1"/>
  <c r="U25" i="1" s="1"/>
  <c r="V25" i="1" s="1"/>
  <c r="W25" i="1" s="1"/>
  <c r="X25" i="1" s="1"/>
  <c r="V31" i="1" l="1"/>
  <c r="Q4" i="10"/>
  <c r="L38" i="11"/>
  <c r="K41" i="11"/>
  <c r="N67" i="5"/>
  <c r="O64" i="5"/>
  <c r="F44" i="5"/>
  <c r="F46" i="5" s="1"/>
  <c r="P26" i="1"/>
  <c r="M22" i="1"/>
  <c r="P23" i="1"/>
  <c r="M38" i="11" l="1"/>
  <c r="L41" i="11"/>
  <c r="W31" i="1"/>
  <c r="R4" i="10"/>
  <c r="F38" i="5"/>
  <c r="P64" i="5"/>
  <c r="O67" i="5"/>
  <c r="Q26" i="1"/>
  <c r="G44" i="5"/>
  <c r="G46" i="5" s="1"/>
  <c r="Q23" i="1"/>
  <c r="P22" i="1"/>
  <c r="G38" i="5" s="1"/>
  <c r="X31" i="1" l="1"/>
  <c r="S4" i="10"/>
  <c r="N38" i="11"/>
  <c r="M41" i="11"/>
  <c r="Q64" i="5"/>
  <c r="P67" i="5"/>
  <c r="R26" i="1"/>
  <c r="H44" i="5"/>
  <c r="H46" i="5" s="1"/>
  <c r="R23" i="1"/>
  <c r="Q22" i="1"/>
  <c r="H38" i="5" s="1"/>
  <c r="O38" i="11" l="1"/>
  <c r="N41" i="11"/>
  <c r="Y31" i="1"/>
  <c r="Y89" i="1" s="1"/>
  <c r="T4" i="10"/>
  <c r="Q67" i="5"/>
  <c r="R64" i="5"/>
  <c r="S26" i="1"/>
  <c r="I44" i="5"/>
  <c r="I46" i="5" s="1"/>
  <c r="S23" i="1"/>
  <c r="R22" i="1"/>
  <c r="I38" i="5" s="1"/>
  <c r="Z31" i="1" l="1"/>
  <c r="Z89" i="1" s="1"/>
  <c r="U4" i="10"/>
  <c r="P38" i="11"/>
  <c r="O41" i="11"/>
  <c r="S64" i="5"/>
  <c r="R67" i="5"/>
  <c r="T26" i="1"/>
  <c r="J44" i="5"/>
  <c r="J46" i="5" s="1"/>
  <c r="T23" i="1"/>
  <c r="S22" i="1"/>
  <c r="J38" i="5" s="1"/>
  <c r="Q38" i="11" l="1"/>
  <c r="P41" i="11"/>
  <c r="AA31" i="1"/>
  <c r="V4" i="10"/>
  <c r="T64" i="5"/>
  <c r="S67" i="5"/>
  <c r="U26" i="1"/>
  <c r="V26" i="1" s="1"/>
  <c r="W26" i="1" s="1"/>
  <c r="X26" i="1" s="1"/>
  <c r="K44" i="5"/>
  <c r="K46" i="5" s="1"/>
  <c r="U23" i="1"/>
  <c r="T22" i="1"/>
  <c r="K38" i="5" s="1"/>
  <c r="W4" i="10" l="1"/>
  <c r="AA89" i="1"/>
  <c r="E3" i="9" a="1"/>
  <c r="E14" i="9" s="1"/>
  <c r="E2" i="12" a="1"/>
  <c r="R38" i="11"/>
  <c r="Q41" i="11"/>
  <c r="T67" i="5"/>
  <c r="U64" i="5"/>
  <c r="V23" i="1"/>
  <c r="U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W23" i="1"/>
  <c r="V22" i="1"/>
  <c r="T38" i="11" l="1"/>
  <c r="S41" i="11"/>
  <c r="W64" i="5"/>
  <c r="V67" i="5"/>
  <c r="W22" i="1"/>
  <c r="X23" i="1"/>
  <c r="X22" i="1" s="1"/>
  <c r="AF14" i="1"/>
  <c r="U38" i="11" l="1"/>
  <c r="T41" i="11"/>
  <c r="X64" i="5"/>
  <c r="W67" i="5"/>
  <c r="F25" i="5"/>
  <c r="AE18" i="1"/>
  <c r="AE16" i="1"/>
  <c r="AE14" i="1"/>
  <c r="AE12" i="1"/>
  <c r="L11" i="1"/>
  <c r="K11" i="1"/>
  <c r="J11" i="1"/>
  <c r="I11" i="1"/>
  <c r="H11" i="1"/>
  <c r="G11" i="1"/>
  <c r="F11" i="1"/>
  <c r="Q14" i="1"/>
  <c r="R14" i="1" s="1"/>
  <c r="S14" i="1" s="1"/>
  <c r="T14" i="1" s="1"/>
  <c r="U14" i="1" s="1"/>
  <c r="V14" i="1" s="1"/>
  <c r="W14" i="1" s="1"/>
  <c r="X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L94" i="1" s="1"/>
  <c r="K15" i="7"/>
  <c r="K13" i="7" s="1"/>
  <c r="F13" i="7"/>
  <c r="G15" i="7"/>
  <c r="G13" i="7" s="1"/>
  <c r="AK94" i="1" s="1"/>
  <c r="I15" i="7"/>
  <c r="I13" i="7" s="1"/>
  <c r="AM94" i="1" s="1"/>
  <c r="K78" i="1"/>
  <c r="P97" i="1"/>
  <c r="Q97" i="1" s="1"/>
  <c r="R97" i="1" s="1"/>
  <c r="S97" i="1" s="1"/>
  <c r="T97" i="1" s="1"/>
  <c r="U97" i="1" s="1"/>
  <c r="V97" i="1" s="1"/>
  <c r="W97" i="1" s="1"/>
  <c r="X97" i="1" s="1"/>
  <c r="V103" i="1"/>
  <c r="V101" i="1" s="1"/>
  <c r="W103" i="1"/>
  <c r="W101" i="1" l="1"/>
  <c r="X101" i="1" s="1"/>
  <c r="P94" i="1"/>
  <c r="L15" i="7"/>
  <c r="L13" i="7" s="1"/>
  <c r="AF94" i="1"/>
  <c r="D25" i="5"/>
  <c r="E50" i="5"/>
  <c r="M106" i="1"/>
  <c r="F105" i="1"/>
  <c r="D24" i="5"/>
  <c r="M43" i="1"/>
  <c r="L43" i="1"/>
  <c r="L6" i="10" l="1"/>
  <c r="G24" i="11" s="1"/>
  <c r="G27" i="11" s="1"/>
  <c r="P87" i="1"/>
  <c r="Q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P82" i="1"/>
  <c r="Q82" i="1"/>
  <c r="R82" i="1"/>
  <c r="S82" i="1"/>
  <c r="T82" i="1"/>
  <c r="U82" i="1"/>
  <c r="V82" i="1"/>
  <c r="W82" i="1"/>
  <c r="X82" i="1"/>
  <c r="M82" i="1"/>
  <c r="M66" i="1" s="1"/>
  <c r="Q43" i="1"/>
  <c r="R43" i="1"/>
  <c r="S43" i="1"/>
  <c r="T43" i="1"/>
  <c r="P43" i="1"/>
  <c r="M6" i="10" l="1"/>
  <c r="H24" i="11" s="1"/>
  <c r="H27" i="11" s="1"/>
  <c r="Q87" i="1"/>
  <c r="R94" i="1"/>
  <c r="P66" i="1"/>
  <c r="Q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R87" i="1"/>
  <c r="F54" i="6"/>
  <c r="S94" i="1"/>
  <c r="F71" i="5"/>
  <c r="J3" i="9" s="1"/>
  <c r="R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S87" i="1"/>
  <c r="AG87" i="1" s="1"/>
  <c r="G54" i="6"/>
  <c r="F56" i="6"/>
  <c r="F58" i="6" s="1"/>
  <c r="T94" i="1"/>
  <c r="AG94" i="1"/>
  <c r="S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T87" i="1"/>
  <c r="G56" i="6"/>
  <c r="G58" i="6" s="1"/>
  <c r="H54" i="6"/>
  <c r="U94" i="1"/>
  <c r="T66" i="1"/>
  <c r="U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U87" i="1"/>
  <c r="H56" i="6"/>
  <c r="H58" i="6" s="1"/>
  <c r="I54" i="6"/>
  <c r="V94" i="1"/>
  <c r="V66" i="1"/>
  <c r="U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V87" i="1"/>
  <c r="I56" i="6"/>
  <c r="I58" i="6" s="1"/>
  <c r="J54" i="6"/>
  <c r="W94" i="1"/>
  <c r="W66" i="1"/>
  <c r="V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W87" i="1"/>
  <c r="M27" i="11"/>
  <c r="AH87" i="1"/>
  <c r="K54" i="6"/>
  <c r="K56" i="6" s="1"/>
  <c r="K58" i="6" s="1"/>
  <c r="J56" i="6"/>
  <c r="J58" i="6" s="1"/>
  <c r="O24" i="11"/>
  <c r="N27" i="11"/>
  <c r="X94" i="1"/>
  <c r="AH94" i="1"/>
  <c r="X66" i="1"/>
  <c r="W78" i="1"/>
  <c r="N71" i="5" s="1"/>
  <c r="N74" i="5" s="1"/>
  <c r="P78" i="1"/>
  <c r="Q78" i="1"/>
  <c r="R78" i="1"/>
  <c r="S78" i="1"/>
  <c r="T78" i="1"/>
  <c r="P50" i="1"/>
  <c r="Q50" i="1"/>
  <c r="R50" i="1"/>
  <c r="S50" i="1"/>
  <c r="T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R32" i="1"/>
  <c r="Q32" i="1"/>
  <c r="T6" i="10" l="1"/>
  <c r="X87" i="1"/>
  <c r="D2" i="12" a="1"/>
  <c r="D3" i="12" s="1"/>
  <c r="P24" i="11"/>
  <c r="O27" i="11"/>
  <c r="X106" i="1"/>
  <c r="D3" i="9" a="1"/>
  <c r="D19" i="9" s="1"/>
  <c r="K52" i="5"/>
  <c r="L52" i="5"/>
  <c r="X78" i="1"/>
  <c r="O71" i="5" s="1"/>
  <c r="O74" i="5" s="1"/>
  <c r="Y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P64" i="1"/>
  <c r="Y78" i="1" l="1"/>
  <c r="P71" i="5" s="1"/>
  <c r="P74" i="5" s="1"/>
  <c r="Z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Q64" i="1"/>
  <c r="Z78" i="1" l="1"/>
  <c r="AA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R64" i="1"/>
  <c r="AB66" i="1" l="1"/>
  <c r="AB78" i="1" s="1"/>
  <c r="AA78" i="1"/>
  <c r="S24" i="11"/>
  <c r="R27" i="11"/>
  <c r="R74" i="5"/>
  <c r="T64" i="1"/>
  <c r="S64" i="1"/>
  <c r="T24" i="11" l="1"/>
  <c r="S27" i="11"/>
  <c r="T71" i="5"/>
  <c r="S74" i="5"/>
  <c r="G105" i="1"/>
  <c r="H105" i="1"/>
  <c r="I105" i="1"/>
  <c r="J105" i="1"/>
  <c r="K105" i="1"/>
  <c r="U24" i="11" l="1"/>
  <c r="T27" i="11"/>
  <c r="U71" i="5"/>
  <c r="T74" i="5"/>
  <c r="AG43" i="1"/>
  <c r="AH43" i="1"/>
  <c r="X42" i="2"/>
  <c r="F47" i="2"/>
  <c r="X41" i="2"/>
  <c r="X40" i="2"/>
  <c r="X38" i="2"/>
  <c r="X37" i="2"/>
  <c r="X36" i="2"/>
  <c r="X35" i="2"/>
  <c r="X34" i="2"/>
  <c r="U39" i="1"/>
  <c r="V39" i="1"/>
  <c r="W39" i="1"/>
  <c r="L46" i="1"/>
  <c r="K46" i="1"/>
  <c r="J46" i="1"/>
  <c r="AF43" i="1"/>
  <c r="G48" i="2"/>
  <c r="AK43" i="1" s="1"/>
  <c r="AK48" i="1" s="1"/>
  <c r="AF32" i="1"/>
  <c r="S18" i="4"/>
  <c r="T42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H42" i="1"/>
  <c r="Q18" i="4"/>
  <c r="R42" i="1" s="1"/>
  <c r="S17" i="4"/>
  <c r="T39" i="1" s="1"/>
  <c r="L26" i="4"/>
  <c r="M26" i="4"/>
  <c r="M28" i="4"/>
  <c r="Q17" i="4" l="1"/>
  <c r="R39" i="1" s="1"/>
  <c r="R38" i="1" s="1"/>
  <c r="W24" i="11"/>
  <c r="V27" i="11"/>
  <c r="R17" i="4"/>
  <c r="S39" i="1" s="1"/>
  <c r="S38" i="1" s="1"/>
  <c r="P17" i="4"/>
  <c r="Q39" i="1" s="1"/>
  <c r="Q38" i="1" s="1"/>
  <c r="O17" i="4"/>
  <c r="P39" i="1" s="1"/>
  <c r="P38" i="1" s="1"/>
  <c r="P46" i="1"/>
  <c r="W71" i="5"/>
  <c r="V74" i="5"/>
  <c r="T38" i="1"/>
  <c r="M33" i="4"/>
  <c r="AH39" i="1"/>
  <c r="L34" i="4"/>
  <c r="L38" i="4"/>
  <c r="L18" i="4" s="1"/>
  <c r="P18" i="4"/>
  <c r="Q42" i="1" s="1"/>
  <c r="O18" i="4"/>
  <c r="P42" i="1" s="1"/>
  <c r="R18" i="4"/>
  <c r="S42" i="1" s="1"/>
  <c r="M17" i="4" l="1"/>
  <c r="L39" i="1" s="1"/>
  <c r="L38" i="1" s="1"/>
  <c r="L88" i="1" s="1"/>
  <c r="E57" i="5" s="1"/>
  <c r="P88" i="1"/>
  <c r="Q46" i="1"/>
  <c r="Q88" i="1" s="1"/>
  <c r="R36" i="1"/>
  <c r="S36" i="1"/>
  <c r="AG39" i="1"/>
  <c r="X24" i="11"/>
  <c r="W27" i="11"/>
  <c r="P36" i="1"/>
  <c r="T36" i="1"/>
  <c r="AH36" i="1" s="1"/>
  <c r="Q36" i="1"/>
  <c r="M34" i="4"/>
  <c r="X71" i="5"/>
  <c r="W74" i="5"/>
  <c r="N33" i="4"/>
  <c r="N17" i="4" s="1"/>
  <c r="M39" i="1" s="1"/>
  <c r="N10" i="4"/>
  <c r="AG42" i="1"/>
  <c r="M38" i="4"/>
  <c r="M18" i="4" s="1"/>
  <c r="L42" i="1" s="1"/>
  <c r="N18" i="4"/>
  <c r="M42" i="1" s="1"/>
  <c r="K20" i="3"/>
  <c r="L20" i="3"/>
  <c r="M20" i="3"/>
  <c r="N20" i="3"/>
  <c r="O20" i="3"/>
  <c r="P20" i="3"/>
  <c r="Q20" i="3"/>
  <c r="R20" i="3"/>
  <c r="J20" i="3"/>
  <c r="I20" i="3"/>
  <c r="H20" i="3"/>
  <c r="AM16" i="1" s="1"/>
  <c r="G20" i="3"/>
  <c r="AL16" i="1" s="1"/>
  <c r="F20" i="3"/>
  <c r="AK16" i="1" s="1"/>
  <c r="G21" i="3"/>
  <c r="AL18" i="1" s="1"/>
  <c r="H21" i="3"/>
  <c r="AM18" i="1" s="1"/>
  <c r="I21" i="3"/>
  <c r="J21" i="3"/>
  <c r="K21" i="3"/>
  <c r="L21" i="3"/>
  <c r="M21" i="3"/>
  <c r="N21" i="3"/>
  <c r="O21" i="3"/>
  <c r="P21" i="3"/>
  <c r="Q21" i="3"/>
  <c r="R21" i="3"/>
  <c r="F21" i="3"/>
  <c r="AK18" i="1" s="1"/>
  <c r="G19" i="3"/>
  <c r="AL12" i="1" s="1"/>
  <c r="H19" i="3"/>
  <c r="AM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K12" i="1" s="1"/>
  <c r="AF12" i="1" s="1"/>
  <c r="G46" i="1"/>
  <c r="H88" i="1"/>
  <c r="I46" i="1"/>
  <c r="F46" i="1"/>
  <c r="AE36" i="1"/>
  <c r="I47" i="2"/>
  <c r="H47" i="2"/>
  <c r="F24" i="2"/>
  <c r="M105" i="1" l="1"/>
  <c r="O42" i="1"/>
  <c r="M38" i="1"/>
  <c r="O38" i="1" s="1"/>
  <c r="O39" i="1"/>
  <c r="M107" i="1"/>
  <c r="O105" i="1"/>
  <c r="L2" i="9" a="1"/>
  <c r="L2" i="9" s="1"/>
  <c r="R46" i="1"/>
  <c r="R88" i="1" s="1"/>
  <c r="M2" i="9" a="1"/>
  <c r="M2" i="9" s="1"/>
  <c r="K3" i="9" a="1"/>
  <c r="K3" i="9" s="1"/>
  <c r="P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Q16" i="1"/>
  <c r="R16" i="1" s="1"/>
  <c r="S16" i="1" s="1"/>
  <c r="T16" i="1" s="1"/>
  <c r="U16" i="1" s="1"/>
  <c r="V16" i="1" s="1"/>
  <c r="W16" i="1" s="1"/>
  <c r="X16" i="1" s="1"/>
  <c r="AF16" i="1"/>
  <c r="N34" i="4"/>
  <c r="N35" i="4" s="1"/>
  <c r="AF42" i="1"/>
  <c r="L105" i="1"/>
  <c r="L107" i="1" s="1"/>
  <c r="L108" i="1" s="1"/>
  <c r="AG36" i="1"/>
  <c r="H49" i="2"/>
  <c r="H50" i="2" s="1"/>
  <c r="AF39" i="1"/>
  <c r="I49" i="2"/>
  <c r="I50" i="2" s="1"/>
  <c r="M108" i="1" l="1"/>
  <c r="O107" i="1"/>
  <c r="F31" i="5"/>
  <c r="S46" i="1"/>
  <c r="S88" i="1" s="1"/>
  <c r="Z24" i="11"/>
  <c r="Y27" i="11"/>
  <c r="AF36" i="1"/>
  <c r="Z71" i="5"/>
  <c r="Y74" i="5"/>
  <c r="E31" i="5"/>
  <c r="AG14" i="1"/>
  <c r="AH16" i="1"/>
  <c r="AG16" i="1"/>
  <c r="AE64" i="1"/>
  <c r="AE50" i="1"/>
  <c r="AE31" i="1"/>
  <c r="AE30" i="1"/>
  <c r="AI18" i="1"/>
  <c r="AI16" i="1"/>
  <c r="AI14" i="1"/>
  <c r="AI12" i="1"/>
  <c r="T46" i="1" l="1"/>
  <c r="T88" i="1" s="1"/>
  <c r="AA24" i="11"/>
  <c r="AA27" i="11" s="1"/>
  <c r="Z27" i="11"/>
  <c r="AL28" i="1"/>
  <c r="AL29" i="1" s="1"/>
  <c r="AK28" i="1"/>
  <c r="AK29" i="1" s="1"/>
  <c r="AK30" i="1"/>
  <c r="AM28" i="1"/>
  <c r="AA71" i="5"/>
  <c r="AA74" i="5" s="1"/>
  <c r="Z74" i="5"/>
  <c r="AL30" i="1"/>
  <c r="AL46" i="1" s="1"/>
  <c r="AM30" i="1"/>
  <c r="AM46" i="1" s="1"/>
  <c r="AH14" i="1"/>
  <c r="M89" i="1"/>
  <c r="U46" i="1" l="1"/>
  <c r="U88" i="1" s="1"/>
  <c r="B2" i="12" a="1"/>
  <c r="B2" i="12" s="1"/>
  <c r="F50" i="5"/>
  <c r="F53" i="5" s="1"/>
  <c r="P18" i="1"/>
  <c r="AF18" i="1"/>
  <c r="AK46" i="1"/>
  <c r="M11" i="1"/>
  <c r="AF31" i="1"/>
  <c r="AF48" i="1" s="1"/>
  <c r="V46" i="1" l="1"/>
  <c r="V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X89" i="1"/>
  <c r="AE46" i="1"/>
  <c r="Q18" i="1"/>
  <c r="M88" i="1"/>
  <c r="O88" i="1" s="1"/>
  <c r="AF46" i="1"/>
  <c r="AQ46" i="1" s="1"/>
  <c r="AG31" i="1"/>
  <c r="W46" i="1" l="1"/>
  <c r="W88" i="1" s="1"/>
  <c r="F57" i="5"/>
  <c r="F60" i="5" s="1"/>
  <c r="AP46" i="1"/>
  <c r="G57" i="5"/>
  <c r="G60" i="5" s="1"/>
  <c r="R18" i="1"/>
  <c r="Q12" i="1"/>
  <c r="AH31" i="1"/>
  <c r="X46" i="1" l="1"/>
  <c r="X88" i="1" s="1"/>
  <c r="S18" i="1"/>
  <c r="AG18" i="1" s="1"/>
  <c r="R12" i="1"/>
  <c r="Q11" i="1"/>
  <c r="H57" i="5"/>
  <c r="H60" i="5" s="1"/>
  <c r="Q30" i="1"/>
  <c r="M3" i="10" s="1"/>
  <c r="H45" i="11" s="1"/>
  <c r="H48" i="11" s="1"/>
  <c r="T18" i="1" l="1"/>
  <c r="S12" i="1"/>
  <c r="AG12" i="1" s="1"/>
  <c r="R11" i="1"/>
  <c r="R30" i="1"/>
  <c r="N3" i="10" s="1"/>
  <c r="I45" i="11" s="1"/>
  <c r="I48" i="11" s="1"/>
  <c r="I57" i="5"/>
  <c r="I60" i="5" s="1"/>
  <c r="U18" i="1" l="1"/>
  <c r="T12" i="1"/>
  <c r="S11" i="1"/>
  <c r="S30" i="1"/>
  <c r="O3" i="10" s="1"/>
  <c r="J45" i="11" s="1"/>
  <c r="J48" i="11" s="1"/>
  <c r="J57" i="5"/>
  <c r="J60" i="5" s="1"/>
  <c r="AG46" i="1"/>
  <c r="V18" i="1" l="1"/>
  <c r="U12" i="1"/>
  <c r="T11" i="1"/>
  <c r="T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W18" i="1"/>
  <c r="V12" i="1"/>
  <c r="U11" i="1"/>
  <c r="U30" i="1"/>
  <c r="Q3" i="10" s="1"/>
  <c r="L48" i="11" l="1"/>
  <c r="M60" i="5"/>
  <c r="X18" i="1"/>
  <c r="AH18" i="1"/>
  <c r="W12" i="1"/>
  <c r="V11" i="1"/>
  <c r="V30" i="1"/>
  <c r="R3" i="10" s="1"/>
  <c r="M48" i="11" l="1"/>
  <c r="N60" i="5"/>
  <c r="W11" i="1"/>
  <c r="X12" i="1"/>
  <c r="X11" i="1" s="1"/>
  <c r="AH12" i="1"/>
  <c r="AH46" i="1"/>
  <c r="W30" i="1"/>
  <c r="S3" i="10" s="1"/>
  <c r="N48" i="11" l="1"/>
  <c r="O60" i="5"/>
  <c r="G71" i="5"/>
  <c r="G74" i="5" s="1"/>
  <c r="P89" i="1"/>
  <c r="G50" i="5" s="1"/>
  <c r="G53" i="5" s="1"/>
  <c r="P106" i="1"/>
  <c r="F24" i="5" s="1"/>
  <c r="F27" i="5" s="1"/>
  <c r="O48" i="11" l="1"/>
  <c r="P60" i="5"/>
  <c r="Q106" i="1"/>
  <c r="G24" i="5" s="1"/>
  <c r="G27" i="5" s="1"/>
  <c r="H71" i="5"/>
  <c r="H74" i="5" s="1"/>
  <c r="Q89" i="1"/>
  <c r="H50" i="5" s="1"/>
  <c r="H53" i="5" s="1"/>
  <c r="P48" i="11" l="1"/>
  <c r="Q60" i="5"/>
  <c r="I71" i="5"/>
  <c r="I74" i="5" s="1"/>
  <c r="R106" i="1"/>
  <c r="H24" i="5" s="1"/>
  <c r="H27" i="5" s="1"/>
  <c r="R89" i="1"/>
  <c r="I50" i="5" s="1"/>
  <c r="I53" i="5" s="1"/>
  <c r="Q48" i="11" l="1"/>
  <c r="R60" i="5"/>
  <c r="J71" i="5"/>
  <c r="J74" i="5" s="1"/>
  <c r="S106" i="1"/>
  <c r="I24" i="5" s="1"/>
  <c r="I27" i="5" s="1"/>
  <c r="S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T89" i="1"/>
  <c r="T106" i="1"/>
  <c r="J24" i="5" s="1"/>
  <c r="J27" i="5" s="1"/>
  <c r="I3" i="9" l="1" a="1"/>
  <c r="I5" i="9" s="1"/>
  <c r="I2" i="12" a="1"/>
  <c r="S48" i="11"/>
  <c r="K53" i="5"/>
  <c r="P50" i="5"/>
  <c r="O53" i="5"/>
  <c r="T60" i="5"/>
  <c r="U106" i="1"/>
  <c r="K24" i="5" s="1"/>
  <c r="K27" i="5" s="1"/>
  <c r="U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V106" i="1"/>
  <c r="L24" i="5" s="1"/>
  <c r="L27" i="5" s="1"/>
  <c r="V89" i="1"/>
  <c r="M53" i="5" s="1"/>
  <c r="U48" i="11" l="1"/>
  <c r="R50" i="5"/>
  <c r="Q53" i="5"/>
  <c r="V60" i="5"/>
  <c r="W89" i="1"/>
  <c r="N53" i="5" s="1"/>
  <c r="W106" i="1"/>
  <c r="M24" i="5" s="1"/>
  <c r="V48" i="11" l="1"/>
  <c r="M27" i="5"/>
  <c r="N24" i="5"/>
  <c r="S50" i="5"/>
  <c r="R53" i="5"/>
  <c r="W60" i="5"/>
  <c r="P92" i="1"/>
  <c r="Q92" i="1" s="1"/>
  <c r="W48" i="11" l="1"/>
  <c r="O24" i="5"/>
  <c r="N27" i="5"/>
  <c r="S53" i="5"/>
  <c r="T50" i="5"/>
  <c r="X60" i="5"/>
  <c r="P91" i="1"/>
  <c r="Q91" i="1"/>
  <c r="R92" i="1"/>
  <c r="X48" i="11" l="1"/>
  <c r="Q105" i="1"/>
  <c r="M5" i="10"/>
  <c r="H31" i="11" s="1"/>
  <c r="H34" i="11" s="1"/>
  <c r="P105" i="1"/>
  <c r="L5" i="10"/>
  <c r="G31" i="11" s="1"/>
  <c r="G34" i="11" s="1"/>
  <c r="F34" i="5"/>
  <c r="O27" i="5"/>
  <c r="P24" i="5"/>
  <c r="T53" i="5"/>
  <c r="U50" i="5"/>
  <c r="Y60" i="5"/>
  <c r="S92" i="1"/>
  <c r="R91" i="1"/>
  <c r="Q107" i="1" l="1"/>
  <c r="H31" i="5" s="1"/>
  <c r="H34" i="5" s="1"/>
  <c r="P107" i="1"/>
  <c r="G31" i="5" s="1"/>
  <c r="G34" i="5" s="1"/>
  <c r="Y48" i="11"/>
  <c r="R105" i="1"/>
  <c r="N5" i="10"/>
  <c r="I31" i="11" s="1"/>
  <c r="I34" i="11" s="1"/>
  <c r="Q24" i="5"/>
  <c r="P27" i="5"/>
  <c r="U53" i="5"/>
  <c r="V50" i="5"/>
  <c r="AA60" i="5"/>
  <c r="Z60" i="5"/>
  <c r="T92" i="1"/>
  <c r="S91" i="1"/>
  <c r="R107" i="1" l="1"/>
  <c r="I31" i="5" s="1"/>
  <c r="I34" i="5" s="1"/>
  <c r="AA48" i="11"/>
  <c r="Z48" i="11"/>
  <c r="S105" i="1"/>
  <c r="O5" i="10"/>
  <c r="J31" i="11" s="1"/>
  <c r="J34" i="11" s="1"/>
  <c r="R24" i="5"/>
  <c r="Q27" i="5"/>
  <c r="W50" i="5"/>
  <c r="V53" i="5"/>
  <c r="U92" i="1"/>
  <c r="T91" i="1"/>
  <c r="S107" i="1" l="1"/>
  <c r="J31" i="5" s="1"/>
  <c r="J34" i="5" s="1"/>
  <c r="G2" i="12" a="1"/>
  <c r="G2" i="12" s="1"/>
  <c r="T105" i="1"/>
  <c r="P5" i="10"/>
  <c r="K31" i="11" s="1"/>
  <c r="K34" i="11" s="1"/>
  <c r="R27" i="5"/>
  <c r="S24" i="5"/>
  <c r="X50" i="5"/>
  <c r="W53" i="5"/>
  <c r="U91" i="1"/>
  <c r="V92" i="1"/>
  <c r="T107" i="1" l="1"/>
  <c r="K31" i="5" s="1"/>
  <c r="K34" i="5" s="1"/>
  <c r="G6" i="12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U105" i="1"/>
  <c r="Q5" i="10"/>
  <c r="L31" i="11" s="1"/>
  <c r="S27" i="5"/>
  <c r="T24" i="5"/>
  <c r="Y50" i="5"/>
  <c r="X53" i="5"/>
  <c r="V91" i="1"/>
  <c r="W92" i="1"/>
  <c r="U107" i="1" l="1"/>
  <c r="L31" i="5" s="1"/>
  <c r="L34" i="11"/>
  <c r="M31" i="11"/>
  <c r="V105" i="1"/>
  <c r="V107" i="1" s="1"/>
  <c r="R5" i="10"/>
  <c r="W91" i="1"/>
  <c r="X92" i="1"/>
  <c r="X91" i="1" s="1"/>
  <c r="T27" i="5"/>
  <c r="U24" i="5"/>
  <c r="Z50" i="5"/>
  <c r="Y53" i="5"/>
  <c r="M31" i="5" l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L34" i="5"/>
  <c r="N31" i="11"/>
  <c r="M34" i="11"/>
  <c r="X105" i="1"/>
  <c r="X107" i="1" s="1"/>
  <c r="T5" i="10"/>
  <c r="W105" i="1"/>
  <c r="W107" i="1" s="1"/>
  <c r="S5" i="10"/>
  <c r="U27" i="5"/>
  <c r="V24" i="5"/>
  <c r="N34" i="5"/>
  <c r="M34" i="5"/>
  <c r="AA50" i="5"/>
  <c r="AA53" i="5" s="1"/>
  <c r="Z53" i="5"/>
  <c r="O34" i="5" l="1"/>
  <c r="O31" i="1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K12" i="9"/>
  <c r="K11" i="9"/>
  <c r="K10" i="9"/>
  <c r="K9" i="9"/>
  <c r="K8" i="9"/>
  <c r="K7" i="9"/>
  <c r="K6" i="9"/>
  <c r="K5" i="9"/>
  <c r="K4" i="9"/>
  <c r="M12" i="9"/>
  <c r="M11" i="9"/>
  <c r="M10" i="9"/>
  <c r="M9" i="9"/>
  <c r="M8" i="9"/>
  <c r="M7" i="9"/>
  <c r="M6" i="9"/>
  <c r="M5" i="9"/>
  <c r="M4" i="9"/>
  <c r="M3" i="9"/>
  <c r="L6" i="9"/>
  <c r="L5" i="9"/>
  <c r="L4" i="9"/>
  <c r="L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Q31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Q33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Q34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R34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Q35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S35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T35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Q41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Q59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Q60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Q74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Q75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Q76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Q77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P92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P99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1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P103" authorId="22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Q103" authorId="23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R103" authorId="24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<sst xmlns="http://schemas.openxmlformats.org/spreadsheetml/2006/main" count="1001" uniqueCount="377">
  <si>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</si>
  <si>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</si>
  <si>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</si>
  <si>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</si>
  <si>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</si>
  <si>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</si>
  <si>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</si>
  <si>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</si>
  <si>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</si>
  <si>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</si>
  <si>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</si>
  <si>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</si>
  <si>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</si>
  <si>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</si>
  <si>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</si>
  <si>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</si>
  <si>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</si>
  <si>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</si>
  <si>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</si>
  <si>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</si>
  <si>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</si>
  <si>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</si>
  <si>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</si>
  <si>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</si>
  <si>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</si>
  <si>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</si>
  <si>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</si>
  <si>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</si>
  <si>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</si>
  <si>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</si>
  <si>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</si>
  <si>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</si>
  <si>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</si>
  <si>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</si>
  <si>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</si>
  <si>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</si>
  <si>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</si>
  <si>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</si>
  <si>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</si>
  <si>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</si>
  <si>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</si>
  <si>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</si>
  <si>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</si>
  <si>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</si>
  <si>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</si>
  <si>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</si>
  <si>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</si>
  <si>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</si>
  <si>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</si>
  <si>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</si>
  <si>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</si>
  <si>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</si>
  <si>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</si>
  <si>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</si>
  <si>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</si>
  <si>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</si>
  <si>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</si>
  <si>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</si>
  <si>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</si>
  <si>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</si>
  <si>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</si>
  <si>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</si>
  <si>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</si>
  <si>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</si>
  <si>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</si>
  <si>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</si>
  <si>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</si>
  <si>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</si>
  <si>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</si>
  <si>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</si>
  <si>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</si>
  <si>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</si>
  <si>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</si>
  <si>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</si>
  <si>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</si>
  <si>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</si>
  <si>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</si>
  <si>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</si>
  <si>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</si>
  <si>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</si>
  <si>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</si>
  <si>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</si>
  <si>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</si>
  <si>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</si>
  <si>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</si>
  <si>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</si>
  <si>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</si>
  <si>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</si>
  <si>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</si>
  <si>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</si>
  <si>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</si>
  <si>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</si>
  <si>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</si>
  <si>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</si>
  <si>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</si>
  <si>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</si>
  <si>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</si>
  <si>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</si>
  <si>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</si>
  <si>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</si>
  <si>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</si>
  <si>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</si>
  <si>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</si>
  <si>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</si>
  <si>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</si>
  <si>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</si>
  <si>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</si>
  <si>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</si>
  <si>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</si>
  <si>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</si>
  <si>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</si>
  <si>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</si>
  <si>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</si>
  <si>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</si>
  <si>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</si>
  <si>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</si>
  <si>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</si>
  <si>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</si>
  <si>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</si>
  <si>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</si>
  <si>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</si>
  <si>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</si>
  <si>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</si>
  <si>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</si>
  <si>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</si>
  <si>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</si>
  <si>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</si>
  <si>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</si>
  <si>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</si>
  <si>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</si>
  <si>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</si>
  <si>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</si>
  <si>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</si>
  <si>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</si>
  <si>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</si>
  <si>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</si>
  <si>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</si>
  <si>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</si>
  <si>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</si>
  <si>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</si>
  <si>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</si>
  <si>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</si>
  <si>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</si>
  <si>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</si>
  <si>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</si>
  <si>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</si>
  <si>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</si>
  <si>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</si>
  <si>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</si>
  <si>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</si>
  <si>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</si>
  <si>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</si>
  <si>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</si>
  <si>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</si>
  <si>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</si>
  <si>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</si>
  <si>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</si>
  <si>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</si>
  <si>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</si>
  <si>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</si>
  <si>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</si>
  <si>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</si>
  <si>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</si>
  <si>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</si>
  <si>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</si>
  <si>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</si>
  <si>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</si>
  <si>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</si>
  <si>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</si>
  <si>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</si>
  <si>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</si>
  <si>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</si>
  <si>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</si>
  <si>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</si>
  <si>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</si>
  <si>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</si>
  <si>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</si>
  <si>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</si>
  <si>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</si>
  <si>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</si>
  <si>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</si>
  <si>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</si>
  <si>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</si>
  <si>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</si>
  <si>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</si>
  <si>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</si>
  <si>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</si>
  <si>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</si>
  <si>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</si>
  <si>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</si>
  <si>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</si>
  <si>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</si>
  <si>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</si>
  <si>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</si>
  <si>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</si>
  <si>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</si>
  <si>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</si>
  <si>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</si>
  <si>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</si>
  <si>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</si>
  <si>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</si>
  <si>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</si>
  <si>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</si>
  <si>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</si>
  <si>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</si>
  <si>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</si>
  <si>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</si>
  <si>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</si>
  <si>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</si>
  <si>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</si>
  <si>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</si>
  <si>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</si>
  <si>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</si>
  <si>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</si>
  <si>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</si>
  <si>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</si>
  <si>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</si>
  <si>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</si>
  <si>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</si>
  <si>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</si>
  <si>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</si>
  <si>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</si>
  <si>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</si>
  <si>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</si>
  <si>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</si>
  <si>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</si>
  <si>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</si>
  <si>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</si>
  <si>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</si>
  <si>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</si>
  <si>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</si>
  <si>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</si>
  <si>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</si>
  <si>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</si>
  <si>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</si>
  <si>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</si>
  <si>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</si>
  <si>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</si>
  <si>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</si>
  <si>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</si>
  <si>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</si>
  <si>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</si>
  <si>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</si>
  <si>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</si>
  <si>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</si>
  <si>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</si>
  <si>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</si>
  <si>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</si>
  <si>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</si>
  <si>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</si>
  <si>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</si>
  <si>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</si>
  <si>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</si>
  <si>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</si>
  <si>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</si>
  <si>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</si>
  <si>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</si>
  <si>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</si>
  <si>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</si>
  <si>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</si>
  <si>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</si>
  <si>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</si>
  <si>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</si>
  <si>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</si>
  <si>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</si>
  <si>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</si>
  <si>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</si>
  <si>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</si>
  <si>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</si>
  <si>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</si>
  <si>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</si>
  <si>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</si>
  <si>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</si>
  <si>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</si>
  <si>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</si>
  <si>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</si>
  <si>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</si>
  <si>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</si>
  <si>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</si>
  <si>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</si>
  <si>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</si>
  <si>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</si>
  <si>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</si>
  <si>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</si>
  <si>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</si>
  <si>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</si>
  <si>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</si>
  <si>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</si>
  <si>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</si>
  <si>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</si>
  <si>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</si>
  <si>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</si>
  <si>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</si>
  <si>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</si>
  <si>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</si>
  <si>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</si>
  <si>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</si>
  <si>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</si>
  <si>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</si>
  <si>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</si>
  <si>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</si>
  <si>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</si>
  <si>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</si>
  <si>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</si>
  <si>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</si>
  <si>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</si>
  <si>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</si>
  <si>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</si>
  <si>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</si>
  <si>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</si>
  <si>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</si>
  <si>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</si>
  <si>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</si>
  <si>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</si>
  <si>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</si>
  <si>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</si>
  <si>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</si>
  <si>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</si>
  <si>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</si>
  <si>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</si>
  <si>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</si>
  <si>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</si>
  <si>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</si>
  <si>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</si>
  <si>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</si>
  <si>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</si>
  <si>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</si>
  <si>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</si>
  <si>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</si>
  <si>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</si>
  <si>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</si>
  <si>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</si>
  <si>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</si>
  <si>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</si>
  <si>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</si>
  <si>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</si>
  <si>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</si>
  <si>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</si>
  <si>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</si>
  <si>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</si>
  <si>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</si>
  <si>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</si>
  <si>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</si>
  <si>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</si>
  <si>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</si>
  <si>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</si>
  <si>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</si>
  <si>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</si>
  <si>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</si>
  <si>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</si>
  <si>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</si>
  <si>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</si>
  <si>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</si>
  <si>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</si>
  <si>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</si>
  <si>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</si>
  <si>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</si>
  <si>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</si>
  <si>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</si>
  <si>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</si>
  <si>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</si>
  <si>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</si>
  <si>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</si>
  <si>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</si>
  <si>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</si>
  <si>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</si>
  <si>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</si>
  <si>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</si>
  <si>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</si>
  <si>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</si>
  <si>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</si>
  <si>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</si>
  <si>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</si>
  <si>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</si>
  <si>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</si>
  <si>
    <t>second estimate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</si>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</sst>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0" fontId="0" fillId="0" borderId="0" xfId="0" applyAlignment="1">
      <alignment horizontal="center"/>
    </xf>
    <xf numFmtId="0" fontId="0" fillId="16" borderId="0" xfId="0" applyFill="1" applyBorder="1"/>
    <xf numFmtId="10" fontId="27" fillId="16" borderId="0" xfId="7" applyNumberFormat="1" applyFont="1" applyFill="1" applyBorder="1"/>
    <xf numFmtId="0" fontId="0" fillId="17" borderId="0" xfId="0" applyFill="1" applyBorder="1"/>
    <xf numFmtId="169" fontId="0" fillId="16" borderId="0" xfId="1" applyNumberFormat="1" applyFont="1" applyFill="1" applyBorder="1"/>
    <xf numFmtId="169" fontId="25" fillId="16" borderId="0" xfId="1" applyNumberFormat="1" applyFont="1" applyFill="1" applyBorder="1"/>
    <xf numFmtId="173" fontId="0" fillId="16" borderId="0" xfId="1" applyNumberFormat="1" applyFont="1" applyFill="1" applyBorder="1"/>
    <xf numFmtId="10" fontId="27" fillId="17" borderId="0" xfId="7" applyNumberFormat="1" applyFont="1" applyFill="1" applyBorder="1" applyAlignment="1">
      <alignment horizontal="left" indent="1"/>
    </xf>
    <xf numFmtId="169" fontId="0" fillId="16" borderId="0" xfId="0" applyNumberFormat="1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1" dT="2020-12-22T23:07:42.60" personId="{2D35AFA9-F227-4AE7-B9A7-D673D9D18C70}" id="{D4AA3B3B-1162-4A8A-A155-4B50A107D1DD}">
    <text>adding $12B for the medicare sequester (12B over 4 quarters and then annuzlied)</text>
  </threadedComment>
  <threadedComment ref="Q33" dT="2020-12-21T20:20:09.37" personId="{2D35AFA9-F227-4AE7-B9A7-D673D9D18C70}" id="{6CD6C4CA-E498-4D54-9079-67C6684A7737}">
    <text>fiscal hawk: estimate of $166B. and then annualized</text>
  </threadedComment>
  <threadedComment ref="Q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R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Q35" dT="2020-12-22T18:00:08.03" personId="{2D35AFA9-F227-4AE7-B9A7-D673D9D18C70}" id="{4DB7FB29-2B61-4AD8-B269-05A7FEEBC5BD}">
    <text>CRFB estimates $5B over calendar year 2021</text>
  </threadedComment>
  <threadedComment ref="R35" dT="2020-12-22T18:00:08.03" personId="{2D35AFA9-F227-4AE7-B9A7-D673D9D18C70}" id="{ECAA649D-FAFF-415D-BBA3-8558E7EB5AD8}">
    <text>CRFB estimates $5B over calendar year 2021</text>
  </threadedComment>
  <threadedComment ref="S35" dT="2020-12-22T18:00:08.03" personId="{2D35AFA9-F227-4AE7-B9A7-D673D9D18C70}" id="{7B8EF2ED-F5A7-446F-B87D-74CEED3214DC}">
    <text>CRFB estimates $5B over calendar year 2021</text>
  </threadedComment>
  <threadedComment ref="T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Q41" dT="2020-12-21T20:20:53.19" personId="{2D35AFA9-F227-4AE7-B9A7-D673D9D18C70}" id="{299B58A4-BA69-464A-9D14-5A970E50857A}">
    <text>CRFB: estimate of $120B. And then annualized</text>
  </threadedComment>
  <threadedComment ref="Q59" dT="2020-12-17T16:13:31.41" personId="{2D35AFA9-F227-4AE7-B9A7-D673D9D18C70}" id="{C5311C2D-4764-4363-AE1C-A82227666FB7}">
    <text>estimated $300 billion next year. over three quarters = 100. annualized ( x4).</text>
  </threadedComment>
  <threadedComment ref="Q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Q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Q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Q75" dT="2020-12-21T21:00:34.35" personId="{2D35AFA9-F227-4AE7-B9A7-D673D9D18C70}" id="{DA48DE65-66E5-4DD8-819A-2F757A61D389}">
    <text>CRFB: estimates $82B. According to the Louise x Wendy, MPC is 100% over 3 years.</text>
  </threadedComment>
  <threadedComment ref="Q76" dT="2020-12-21T21:03:38.65" personId="{2D35AFA9-F227-4AE7-B9A7-D673D9D18C70}" id="{1FC8F5D3-F5DD-4502-A8BF-AD36B99CFAF5}">
    <text>CRFB: estimates $63B. MPC is 100% over 12 quarters and then annualize</text>
  </threadedComment>
  <threadedComment ref="Q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P92" dT="2020-09-11T20:43:00.49" personId="{2D35AFA9-F227-4AE7-B9A7-D673D9D18C70}" id="{11731043-8530-4DAC-9476-3C98D0D836BB}">
    <text>grow with S&amp;L nom purchases</text>
  </threadedComment>
  <threadedComment ref="P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P103" dT="2020-09-30T15:34:25.90" personId="{2D35AFA9-F227-4AE7-B9A7-D673D9D18C70}" id="{5A5A9177-799E-4FBA-A407-831B591270CB}">
    <text>overide in the fim with 4%</text>
  </threadedComment>
  <threadedComment ref="P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Q103" dT="2020-09-30T15:34:25.90" personId="{2D35AFA9-F227-4AE7-B9A7-D673D9D18C70}" id="{6E4225DC-7AF1-4149-8AFD-DF5FEAFAE0CE}">
    <text>overide in the fim with 4%</text>
  </threadedComment>
  <threadedComment ref="Q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R103" dT="2020-09-30T15:34:25.90" personId="{2D35AFA9-F227-4AE7-B9A7-D673D9D18C70}" id="{E0AA59A4-D972-4354-844E-3B08443F6713}">
    <text>overide in the fim with 4%</text>
  </threadedComment>
  <threadedComment ref="R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S115"/>
  <sheetViews>
    <sheetView tabSelected="1" zoomScale="110" zoomScaleNormal="110" workbookViewId="0">
      <pane xSplit="2" ySplit="3" topLeftCell="K85" activePane="bottomRight" state="frozen"/>
      <selection pane="topRight" activeCell="C1" sqref="C1"/>
      <selection pane="bottomLeft" activeCell="A4" sqref="A4"/>
      <selection pane="bottomRight" activeCell="M107" sqref="M107"/>
    </sheetView>
  </sheetViews>
  <sheetFormatPr defaultColWidth="8.81640625" defaultRowHeight="14.5" x14ac:dyDescent="0.35"/>
  <cols>
    <col min="1" max="1" width="29.81640625" customWidth="1"/>
    <col min="2" max="2" width="10.81640625" customWidth="1"/>
    <col min="3" max="4" width="10.81640625" style="35" customWidth="1"/>
    <col min="6" max="13" width="16.1796875" bestFit="1" customWidth="1"/>
    <col min="14" max="15" width="16.1796875" customWidth="1"/>
    <col min="16" max="16" width="16.1796875" bestFit="1" customWidth="1"/>
    <col min="17" max="17" width="13.36328125" customWidth="1"/>
    <col min="18" max="24" width="16.1796875" bestFit="1" customWidth="1"/>
    <col min="25" max="25" width="16.1796875" style="35" customWidth="1"/>
    <col min="26" max="27" width="12.453125" bestFit="1" customWidth="1"/>
    <col min="28" max="28" width="11.81640625" bestFit="1" customWidth="1"/>
    <col min="29" max="29" width="11.81640625" customWidth="1"/>
    <col min="30" max="34" width="8.81640625" customWidth="1"/>
    <col min="35" max="35" width="15.453125" hidden="1" customWidth="1"/>
    <col min="36" max="36" width="10.453125" hidden="1" customWidth="1"/>
    <col min="41" max="41" width="8.6328125" style="146"/>
  </cols>
  <sheetData>
    <row r="1" spans="1:45" ht="18.5" x14ac:dyDescent="0.45">
      <c r="A1" s="325" t="s">
        <v>163</v>
      </c>
      <c r="B1" s="325"/>
      <c r="C1" s="279"/>
      <c r="D1" s="279"/>
      <c r="E1" s="35"/>
      <c r="M1" t="s">
        <v>373</v>
      </c>
      <c r="N1" t="s">
        <v>375</v>
      </c>
      <c r="O1" t="s">
        <v>376</v>
      </c>
      <c r="AE1" s="179" t="s">
        <v>249</v>
      </c>
      <c r="AF1" s="327" t="s">
        <v>247</v>
      </c>
      <c r="AG1" s="327"/>
      <c r="AH1" s="327"/>
      <c r="AI1" t="s">
        <v>28</v>
      </c>
      <c r="AK1" s="328" t="s">
        <v>281</v>
      </c>
      <c r="AL1" s="328"/>
      <c r="AM1" s="328"/>
      <c r="AN1" s="328"/>
      <c r="AO1" s="326" t="s">
        <v>279</v>
      </c>
      <c r="AP1" s="326"/>
      <c r="AQ1" s="326"/>
      <c r="AR1" s="326"/>
    </row>
    <row r="2" spans="1:45" x14ac:dyDescent="0.35">
      <c r="F2" s="324" t="s">
        <v>21</v>
      </c>
      <c r="G2" s="324"/>
      <c r="H2" s="324"/>
      <c r="I2" s="324"/>
      <c r="J2" s="324" t="s">
        <v>9</v>
      </c>
      <c r="K2" s="324"/>
      <c r="L2" s="324"/>
      <c r="M2" s="324"/>
      <c r="N2" s="314"/>
      <c r="O2" s="314"/>
      <c r="P2" s="324" t="s">
        <v>10</v>
      </c>
      <c r="Q2" s="324"/>
      <c r="R2" s="324"/>
      <c r="S2" s="324"/>
      <c r="T2" s="324" t="s">
        <v>11</v>
      </c>
      <c r="U2" s="324"/>
      <c r="V2" s="324"/>
      <c r="W2" s="324"/>
      <c r="X2" s="324" t="s">
        <v>268</v>
      </c>
      <c r="Y2" s="324"/>
      <c r="Z2" s="324"/>
      <c r="AA2" s="324"/>
      <c r="AB2" s="229"/>
      <c r="AC2" s="296"/>
      <c r="AD2" s="229"/>
      <c r="AE2" s="156"/>
      <c r="AF2" s="324" t="s">
        <v>102</v>
      </c>
      <c r="AG2" s="324"/>
      <c r="AH2" s="324"/>
      <c r="AI2" s="156"/>
      <c r="AJ2" s="156" t="s">
        <v>21</v>
      </c>
      <c r="AK2" s="324" t="s">
        <v>102</v>
      </c>
      <c r="AL2" s="324"/>
      <c r="AM2" s="324"/>
      <c r="AN2" s="230"/>
    </row>
    <row r="3" spans="1:45" x14ac:dyDescent="0.35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s="315"/>
      <c r="O3" s="315"/>
      <c r="P3" t="s">
        <v>5</v>
      </c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X3" t="s">
        <v>5</v>
      </c>
      <c r="Y3" t="s">
        <v>6</v>
      </c>
      <c r="Z3" t="s">
        <v>7</v>
      </c>
      <c r="AA3" t="s">
        <v>8</v>
      </c>
      <c r="AB3" t="s">
        <v>5</v>
      </c>
      <c r="AE3" s="157" t="s">
        <v>21</v>
      </c>
      <c r="AF3" s="180" t="s">
        <v>9</v>
      </c>
      <c r="AG3" s="132" t="s">
        <v>12</v>
      </c>
      <c r="AH3" s="132" t="s">
        <v>11</v>
      </c>
      <c r="AI3" s="2" t="s">
        <v>248</v>
      </c>
      <c r="AJ3" s="2" t="s">
        <v>159</v>
      </c>
      <c r="AK3" s="183" t="s">
        <v>9</v>
      </c>
      <c r="AL3" s="97" t="s">
        <v>12</v>
      </c>
      <c r="AM3" s="97" t="s">
        <v>11</v>
      </c>
      <c r="AN3" s="97" t="s">
        <v>268</v>
      </c>
      <c r="AP3" s="97" t="s">
        <v>12</v>
      </c>
      <c r="AQ3" s="97" t="s">
        <v>11</v>
      </c>
      <c r="AR3" s="97" t="s">
        <v>268</v>
      </c>
    </row>
    <row r="4" spans="1:45" ht="18.5" x14ac:dyDescent="0.45">
      <c r="A4" s="323" t="s">
        <v>264</v>
      </c>
      <c r="B4" s="323"/>
      <c r="C4" s="279"/>
      <c r="D4" s="279"/>
      <c r="F4" s="199"/>
      <c r="G4" s="199"/>
      <c r="H4" s="199"/>
      <c r="I4" s="199"/>
      <c r="J4" s="199"/>
      <c r="K4" s="199"/>
      <c r="L4" s="199"/>
      <c r="M4" s="199"/>
      <c r="N4" s="315"/>
      <c r="O4" s="315"/>
      <c r="AE4" s="192"/>
      <c r="AF4" s="180"/>
      <c r="AG4" s="192"/>
      <c r="AH4" s="192"/>
      <c r="AI4" s="191"/>
      <c r="AJ4" s="191"/>
      <c r="AK4" s="183"/>
      <c r="AL4" s="97"/>
      <c r="AM4" s="97"/>
      <c r="AN4" s="97"/>
    </row>
    <row r="5" spans="1:45" x14ac:dyDescent="0.35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 s="315">
        <v>21157.1</v>
      </c>
      <c r="O5" s="315">
        <f>N5-M5</f>
        <v>-13.200000000000728</v>
      </c>
      <c r="P5">
        <v>21598.399172907619</v>
      </c>
      <c r="Q5">
        <v>21956.606754670749</v>
      </c>
      <c r="R5">
        <v>22305.748458849539</v>
      </c>
      <c r="S5">
        <v>22678.925280344971</v>
      </c>
      <c r="T5">
        <v>22928.869417001941</v>
      </c>
      <c r="U5">
        <v>23157.624700235021</v>
      </c>
      <c r="V5">
        <v>23384.060805481411</v>
      </c>
      <c r="W5">
        <v>23620.8277944867</v>
      </c>
      <c r="X5">
        <v>23861.073550472051</v>
      </c>
      <c r="Y5">
        <v>24102.584312631949</v>
      </c>
      <c r="Z5">
        <v>24334.080442576571</v>
      </c>
      <c r="AA5">
        <v>24582.12706997171</v>
      </c>
      <c r="AB5">
        <v>24844.299599649439</v>
      </c>
      <c r="AE5" s="192"/>
      <c r="AF5" s="180"/>
      <c r="AG5" s="192"/>
      <c r="AH5" s="192"/>
      <c r="AI5" s="191"/>
      <c r="AJ5" s="191"/>
      <c r="AK5" s="183"/>
      <c r="AL5" s="97"/>
      <c r="AM5" s="97"/>
      <c r="AN5" s="97"/>
    </row>
    <row r="6" spans="1:45" s="171" customFormat="1" x14ac:dyDescent="0.35">
      <c r="A6" s="170" t="s">
        <v>216</v>
      </c>
      <c r="C6" s="280"/>
      <c r="D6" s="280"/>
      <c r="F6" s="201"/>
      <c r="G6" s="202">
        <f>G5/F5-1</f>
        <v>9.8230981496802983E-3</v>
      </c>
      <c r="H6" s="202">
        <f t="shared" ref="H6:X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316">
        <v>8.3862275295720767E-2</v>
      </c>
      <c r="O6" s="315">
        <f t="shared" ref="O6:O68" si="1">N6-M6</f>
        <v>-6.7622604392414409E-4</v>
      </c>
      <c r="P6" s="198">
        <f>P5/M5-1</f>
        <v>2.0221686650997883E-2</v>
      </c>
      <c r="Q6" s="198">
        <f t="shared" si="0"/>
        <v>1.6584913488054021E-2</v>
      </c>
      <c r="R6" s="198">
        <f t="shared" si="0"/>
        <v>1.5901441788336301E-2</v>
      </c>
      <c r="S6" s="198">
        <f t="shared" si="0"/>
        <v>1.673007396204973E-2</v>
      </c>
      <c r="T6" s="198">
        <f t="shared" si="0"/>
        <v>1.1020986822227741E-2</v>
      </c>
      <c r="U6" s="198">
        <f t="shared" si="0"/>
        <v>9.9767362739417997E-3</v>
      </c>
      <c r="V6" s="198">
        <f t="shared" si="0"/>
        <v>9.778036745024643E-3</v>
      </c>
      <c r="W6" s="198">
        <f t="shared" si="0"/>
        <v>1.0125144258510854E-2</v>
      </c>
      <c r="X6" s="198">
        <f t="shared" si="0"/>
        <v>1.0170928727630146E-2</v>
      </c>
      <c r="Y6" s="176"/>
      <c r="Z6" s="173"/>
      <c r="AA6" s="173"/>
      <c r="AB6" s="173"/>
      <c r="AC6" s="173"/>
      <c r="AD6" s="173"/>
      <c r="AE6" s="173"/>
      <c r="AF6" s="174"/>
      <c r="AG6" s="174"/>
      <c r="AH6" s="174"/>
      <c r="AI6" s="175"/>
      <c r="AK6" s="175"/>
      <c r="AL6" s="175"/>
      <c r="AM6" s="175"/>
      <c r="AN6" s="175"/>
      <c r="AO6" s="241"/>
    </row>
    <row r="7" spans="1:45" x14ac:dyDescent="0.35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 s="315">
        <v>18583.5</v>
      </c>
      <c r="O7" s="315">
        <f t="shared" si="1"/>
        <v>-13</v>
      </c>
      <c r="P7">
        <v>18955.122607058929</v>
      </c>
      <c r="Q7">
        <v>19232.840289322561</v>
      </c>
      <c r="R7">
        <v>19474.29747420385</v>
      </c>
      <c r="S7">
        <v>19726.02497337263</v>
      </c>
      <c r="T7">
        <v>19869.914172522811</v>
      </c>
      <c r="U7">
        <v>19985.088411318178</v>
      </c>
      <c r="V7">
        <v>20089.049143697619</v>
      </c>
      <c r="W7">
        <v>20196.887443716219</v>
      </c>
      <c r="X7">
        <v>20307.13612361862</v>
      </c>
      <c r="Y7">
        <v>20417.59440177177</v>
      </c>
      <c r="Z7">
        <v>20514.428793625211</v>
      </c>
      <c r="AA7">
        <v>20622.057495393041</v>
      </c>
      <c r="AB7">
        <v>20739.956511448359</v>
      </c>
      <c r="AE7" s="192"/>
      <c r="AF7" s="180"/>
      <c r="AG7" s="192"/>
      <c r="AH7" s="192"/>
      <c r="AI7" s="191"/>
      <c r="AJ7" s="191"/>
      <c r="AK7" s="183"/>
      <c r="AL7" s="97"/>
      <c r="AM7" s="97"/>
      <c r="AN7" s="97"/>
    </row>
    <row r="8" spans="1:45" s="213" customFormat="1" x14ac:dyDescent="0.35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315"/>
      <c r="O8" s="315"/>
      <c r="P8" s="216"/>
      <c r="Q8" s="216"/>
      <c r="R8" s="216"/>
      <c r="S8" s="216"/>
      <c r="T8" s="216"/>
      <c r="U8" s="216"/>
      <c r="V8" s="216"/>
      <c r="W8" s="216"/>
      <c r="X8" s="216"/>
      <c r="Y8" s="222"/>
      <c r="AE8" s="214"/>
      <c r="AF8" s="215"/>
      <c r="AG8" s="214"/>
      <c r="AH8" s="214"/>
      <c r="AK8" s="215"/>
      <c r="AL8" s="214"/>
      <c r="AM8" s="214"/>
      <c r="AN8" s="214"/>
      <c r="AO8" s="242"/>
    </row>
    <row r="9" spans="1:45" x14ac:dyDescent="0.35">
      <c r="F9" s="199"/>
      <c r="G9" s="199"/>
      <c r="H9" s="199"/>
      <c r="I9" s="199"/>
      <c r="J9" s="199"/>
      <c r="K9" s="199"/>
      <c r="L9" s="199"/>
      <c r="M9" s="199"/>
      <c r="N9" s="315"/>
      <c r="O9" s="315"/>
      <c r="AE9" s="192"/>
      <c r="AF9" s="180"/>
      <c r="AG9" s="192"/>
      <c r="AH9" s="192"/>
      <c r="AI9" s="191"/>
      <c r="AJ9" s="191"/>
      <c r="AK9" s="183"/>
      <c r="AL9" s="97"/>
      <c r="AM9" s="97"/>
      <c r="AN9" s="97"/>
    </row>
    <row r="10" spans="1:45" x14ac:dyDescent="0.35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N10" s="315"/>
      <c r="O10" s="315"/>
      <c r="AF10" s="146"/>
      <c r="AK10" s="146"/>
    </row>
    <row r="11" spans="1:45" x14ac:dyDescent="0.35">
      <c r="A11" s="177" t="s">
        <v>258</v>
      </c>
      <c r="F11" s="200">
        <f>F12+F14+F16</f>
        <v>3178</v>
      </c>
      <c r="G11" s="200">
        <f t="shared" ref="G11:X11" si="2">G12+G14+G16</f>
        <v>3259.5</v>
      </c>
      <c r="H11" s="200">
        <f t="shared" si="2"/>
        <v>3269.2</v>
      </c>
      <c r="I11" s="200">
        <f t="shared" si="2"/>
        <v>3290.6</v>
      </c>
      <c r="J11" s="200">
        <f t="shared" si="2"/>
        <v>3336.3</v>
      </c>
      <c r="K11" s="200">
        <f t="shared" si="2"/>
        <v>3376.8</v>
      </c>
      <c r="L11" s="200">
        <f t="shared" si="2"/>
        <v>3091.4840000000004</v>
      </c>
      <c r="M11" s="199">
        <f t="shared" si="2"/>
        <v>3262.3</v>
      </c>
      <c r="N11" s="315">
        <v>3261.5</v>
      </c>
      <c r="O11" s="315">
        <f t="shared" si="1"/>
        <v>-0.8000000000001819</v>
      </c>
      <c r="P11" s="168">
        <f t="shared" si="2"/>
        <v>3387.9246000000003</v>
      </c>
      <c r="Q11" s="168">
        <f t="shared" si="2"/>
        <v>3522.3746648000006</v>
      </c>
      <c r="R11" s="168">
        <f t="shared" si="2"/>
        <v>3555.7521195904001</v>
      </c>
      <c r="S11" s="168">
        <f t="shared" si="2"/>
        <v>3589.6045323180033</v>
      </c>
      <c r="T11" s="168">
        <f t="shared" si="2"/>
        <v>3653.0294515032065</v>
      </c>
      <c r="U11" s="168">
        <f t="shared" si="2"/>
        <v>3695.0418313299106</v>
      </c>
      <c r="V11" s="168">
        <f t="shared" si="2"/>
        <v>3737.6936183673488</v>
      </c>
      <c r="W11" s="168">
        <f t="shared" si="2"/>
        <v>3780.9999780241274</v>
      </c>
      <c r="X11" s="168">
        <f t="shared" si="2"/>
        <v>3856.6199775846098</v>
      </c>
      <c r="Y11" s="169"/>
      <c r="AF11" s="146"/>
      <c r="AK11" s="146"/>
    </row>
    <row r="12" spans="1:45" x14ac:dyDescent="0.35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315">
        <v>1687.2</v>
      </c>
      <c r="O12" s="315">
        <f t="shared" si="1"/>
        <v>-0.20000000000004547</v>
      </c>
      <c r="P12" s="169">
        <f>M12*(1+P13)</f>
        <v>1788.6440000000002</v>
      </c>
      <c r="Q12" s="169">
        <f t="shared" ref="Q12:W12" si="3">P12*(1+Q13)</f>
        <v>1899.5399280000004</v>
      </c>
      <c r="R12" s="169">
        <f t="shared" si="3"/>
        <v>1914.7362474240003</v>
      </c>
      <c r="S12" s="169">
        <f t="shared" si="3"/>
        <v>1930.0541374033924</v>
      </c>
      <c r="T12" s="169">
        <f t="shared" si="3"/>
        <v>1949.3546787774262</v>
      </c>
      <c r="U12" s="169">
        <f t="shared" si="3"/>
        <v>1968.8482255652004</v>
      </c>
      <c r="V12" s="169">
        <f t="shared" si="3"/>
        <v>1988.5367078208524</v>
      </c>
      <c r="W12" s="169">
        <f t="shared" si="3"/>
        <v>2008.4220748990608</v>
      </c>
      <c r="X12" s="169">
        <f t="shared" ref="Q12:X14" si="4">W12*(1+X13)</f>
        <v>2048.5905163970419</v>
      </c>
      <c r="Y12" s="169"/>
      <c r="Z12" s="44"/>
      <c r="AA12" s="44"/>
      <c r="AB12" s="44"/>
      <c r="AC12" s="44"/>
      <c r="AD12" s="44"/>
      <c r="AE12" s="44">
        <f>AVERAGE(F12:I12)</f>
        <v>1686.4999999999998</v>
      </c>
      <c r="AF12" s="181">
        <f>AVERAGE(J12,K12,L12,M12)</f>
        <v>1695.875</v>
      </c>
      <c r="AG12" s="45">
        <f>AVERAGE(P12:S12)</f>
        <v>1883.2435782068483</v>
      </c>
      <c r="AH12" s="45">
        <f>AVERAGE(T12:W12)</f>
        <v>1978.7904217656351</v>
      </c>
      <c r="AI12" s="3">
        <f>AVERAGE(F12:I12)</f>
        <v>1686.4999999999998</v>
      </c>
      <c r="AJ12">
        <v>1653</v>
      </c>
      <c r="AK12" s="184">
        <f>$AE12/'figuring NIPA tax changes'!$E19*'figuring NIPA tax changes'!F19</f>
        <v>1649.4616519302829</v>
      </c>
      <c r="AL12" s="3">
        <f>$AE12/'figuring NIPA tax changes'!$E19*'figuring NIPA tax changes'!G19</f>
        <v>1678.1639909491882</v>
      </c>
      <c r="AM12" s="3">
        <f>$AE12/'figuring NIPA tax changes'!$E19*'figuring NIPA tax changes'!H19</f>
        <v>1762.3300952873258</v>
      </c>
      <c r="AN12" s="3"/>
    </row>
    <row r="13" spans="1:45" s="171" customFormat="1" x14ac:dyDescent="0.35">
      <c r="A13" s="219" t="s">
        <v>216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315"/>
      <c r="O13" s="315"/>
      <c r="P13" s="176">
        <v>0.06</v>
      </c>
      <c r="Q13" s="176">
        <v>6.2E-2</v>
      </c>
      <c r="R13" s="176">
        <v>8.0000000000000002E-3</v>
      </c>
      <c r="S13" s="176">
        <v>8.0000000000000002E-3</v>
      </c>
      <c r="T13" s="176">
        <v>0.01</v>
      </c>
      <c r="U13" s="176">
        <v>0.01</v>
      </c>
      <c r="V13" s="176">
        <v>0.01</v>
      </c>
      <c r="W13" s="176">
        <v>0.01</v>
      </c>
      <c r="X13" s="176">
        <v>0.02</v>
      </c>
      <c r="Y13" s="176"/>
      <c r="Z13" s="173"/>
      <c r="AA13" s="173"/>
      <c r="AB13" s="173"/>
      <c r="AC13" s="173"/>
      <c r="AD13" s="173"/>
      <c r="AE13" s="173"/>
      <c r="AF13" s="182"/>
      <c r="AG13" s="174"/>
      <c r="AH13" s="174"/>
      <c r="AI13" s="175"/>
      <c r="AK13" s="185"/>
      <c r="AL13" s="175"/>
      <c r="AM13" s="175"/>
      <c r="AN13" s="175"/>
      <c r="AO13" s="241"/>
    </row>
    <row r="14" spans="1:45" x14ac:dyDescent="0.35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315">
        <v>144.69999999999999</v>
      </c>
      <c r="O14" s="315">
        <f t="shared" si="1"/>
        <v>0</v>
      </c>
      <c r="P14" s="169">
        <f>M14*(1+P15)</f>
        <v>150.488</v>
      </c>
      <c r="Q14" s="169">
        <f t="shared" si="4"/>
        <v>162.45179599999997</v>
      </c>
      <c r="R14" s="169">
        <f t="shared" si="4"/>
        <v>168.94986783999997</v>
      </c>
      <c r="S14" s="169">
        <f t="shared" si="4"/>
        <v>175.70786255359997</v>
      </c>
      <c r="T14" s="169">
        <f t="shared" si="4"/>
        <v>182.73617705574398</v>
      </c>
      <c r="U14" s="169">
        <f t="shared" si="4"/>
        <v>190.04562413797373</v>
      </c>
      <c r="V14" s="169">
        <f t="shared" si="4"/>
        <v>197.64744910349268</v>
      </c>
      <c r="W14" s="169">
        <f t="shared" si="4"/>
        <v>205.55334706763239</v>
      </c>
      <c r="X14" s="169">
        <f t="shared" si="4"/>
        <v>209.66441400898503</v>
      </c>
      <c r="Y14" s="169"/>
      <c r="Z14" s="44"/>
      <c r="AA14" s="44"/>
      <c r="AB14" s="44"/>
      <c r="AC14" s="44"/>
      <c r="AD14" s="44"/>
      <c r="AE14" s="44">
        <f>AVERAGE(F14:I14)</f>
        <v>174.75000000000003</v>
      </c>
      <c r="AF14" s="181">
        <f>AVERAGE(J14,K14,L14,M14)</f>
        <v>159.77499999999998</v>
      </c>
      <c r="AG14" s="45">
        <f>AVERAGE(P14:S14)</f>
        <v>164.3993815984</v>
      </c>
      <c r="AH14" s="45">
        <f>AVERAGE(T14:W14)</f>
        <v>193.99564934121071</v>
      </c>
      <c r="AI14" s="3">
        <f>AVERAGE(F14:I14)</f>
        <v>174.75000000000003</v>
      </c>
      <c r="AJ14">
        <v>173</v>
      </c>
      <c r="AK14" s="184"/>
      <c r="AL14" s="3"/>
      <c r="AM14" s="3"/>
      <c r="AN14" s="3"/>
      <c r="AO14" s="243"/>
      <c r="AP14" s="35"/>
      <c r="AQ14" s="35"/>
      <c r="AR14" s="35"/>
      <c r="AS14" s="35"/>
    </row>
    <row r="15" spans="1:45" s="171" customFormat="1" x14ac:dyDescent="0.35">
      <c r="A15" s="219" t="s">
        <v>216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315"/>
      <c r="O15" s="315"/>
      <c r="P15" s="176">
        <v>0.04</v>
      </c>
      <c r="Q15" s="176">
        <v>7.9500000000000001E-2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0.04</v>
      </c>
      <c r="W15" s="176">
        <v>0.04</v>
      </c>
      <c r="X15" s="176">
        <v>0.02</v>
      </c>
      <c r="Y15" s="176"/>
      <c r="Z15" s="173"/>
      <c r="AA15" s="173"/>
      <c r="AB15" s="173"/>
      <c r="AC15" s="173"/>
      <c r="AD15" s="173"/>
      <c r="AE15" s="173"/>
      <c r="AF15" s="182"/>
      <c r="AG15" s="186"/>
      <c r="AH15" s="186"/>
      <c r="AI15" s="175"/>
      <c r="AK15" s="184"/>
      <c r="AL15" s="186"/>
      <c r="AM15" s="186"/>
      <c r="AN15" s="186"/>
      <c r="AO15" s="241"/>
    </row>
    <row r="16" spans="1:45" x14ac:dyDescent="0.35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315">
        <v>1429.6</v>
      </c>
      <c r="O16" s="315">
        <f t="shared" si="1"/>
        <v>-0.60000000000013642</v>
      </c>
      <c r="P16" s="169">
        <f>M16*(1+P17)</f>
        <v>1448.7926</v>
      </c>
      <c r="Q16" s="169">
        <f t="shared" ref="Q16:X16" si="5">P16*(1+Q17)</f>
        <v>1460.3829407999999</v>
      </c>
      <c r="R16" s="169">
        <f t="shared" si="5"/>
        <v>1472.0660043263999</v>
      </c>
      <c r="S16" s="169">
        <f t="shared" si="5"/>
        <v>1483.8425323610111</v>
      </c>
      <c r="T16" s="169">
        <f t="shared" si="5"/>
        <v>1520.9385956700362</v>
      </c>
      <c r="U16" s="169">
        <f t="shared" si="5"/>
        <v>1536.1479816267365</v>
      </c>
      <c r="V16" s="169">
        <f t="shared" si="5"/>
        <v>1551.5094614430038</v>
      </c>
      <c r="W16" s="169">
        <f t="shared" si="5"/>
        <v>1567.024556057434</v>
      </c>
      <c r="X16" s="169">
        <f t="shared" si="5"/>
        <v>1598.3650471785827</v>
      </c>
      <c r="Y16" s="169"/>
      <c r="Z16" s="44"/>
      <c r="AA16" s="44"/>
      <c r="AB16" s="44"/>
      <c r="AC16" s="44"/>
      <c r="AD16" s="44"/>
      <c r="AE16" s="44">
        <f>AVERAGE(F16:I16)</f>
        <v>1388.075</v>
      </c>
      <c r="AF16" s="181">
        <f>AVERAGE(J16,K16,L16,M16)</f>
        <v>1411.0710000000001</v>
      </c>
      <c r="AG16" s="45">
        <f>AVERAGE(P16:S16)</f>
        <v>1466.2710193718526</v>
      </c>
      <c r="AH16" s="45">
        <f>AVERAGE(T16:W16)</f>
        <v>1543.9051486993026</v>
      </c>
      <c r="AI16" s="3">
        <f>AVERAGE(F16:I16)</f>
        <v>1388.075</v>
      </c>
      <c r="AJ16">
        <v>1395</v>
      </c>
      <c r="AK16" s="184">
        <f>$AE16/'figuring NIPA tax changes'!$E20*'figuring NIPA tax changes'!F20</f>
        <v>1354.69413685124</v>
      </c>
      <c r="AL16" s="3">
        <f>$AE16/'figuring NIPA tax changes'!$E20*'figuring NIPA tax changes'!G20</f>
        <v>1429.6567868867883</v>
      </c>
      <c r="AM16" s="3">
        <f>$AE16/'figuring NIPA tax changes'!$E20*'figuring NIPA tax changes'!H20</f>
        <v>1517.5549260800469</v>
      </c>
      <c r="AN16" s="3"/>
    </row>
    <row r="17" spans="1:41" s="171" customFormat="1" x14ac:dyDescent="0.35">
      <c r="A17" s="219" t="s">
        <v>216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315"/>
      <c r="O17" s="315"/>
      <c r="P17" s="176">
        <v>1.2999999999999999E-2</v>
      </c>
      <c r="Q17" s="176">
        <v>8.0000000000000002E-3</v>
      </c>
      <c r="R17" s="176">
        <v>8.0000000000000002E-3</v>
      </c>
      <c r="S17" s="176">
        <v>8.0000000000000002E-3</v>
      </c>
      <c r="T17" s="176">
        <v>2.5000000000000001E-2</v>
      </c>
      <c r="U17" s="176">
        <v>0.01</v>
      </c>
      <c r="V17" s="176">
        <v>0.01</v>
      </c>
      <c r="W17" s="176">
        <v>0.01</v>
      </c>
      <c r="X17" s="176">
        <v>0.02</v>
      </c>
      <c r="Y17" s="176"/>
      <c r="Z17" s="173"/>
      <c r="AA17" s="173"/>
      <c r="AB17" s="173"/>
      <c r="AC17" s="173"/>
      <c r="AD17" s="173"/>
      <c r="AE17" s="173"/>
      <c r="AF17" s="182"/>
      <c r="AG17" s="174"/>
      <c r="AH17" s="174"/>
      <c r="AI17" s="175"/>
      <c r="AK17" s="185"/>
      <c r="AL17" s="175"/>
      <c r="AM17" s="175"/>
      <c r="AN17" s="175"/>
      <c r="AO17" s="241"/>
    </row>
    <row r="18" spans="1:41" x14ac:dyDescent="0.35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315">
        <v>205.3</v>
      </c>
      <c r="O18" s="315">
        <f t="shared" si="1"/>
        <v>-1.6999999999999886</v>
      </c>
      <c r="P18" s="169">
        <f>M18*(1+P19)</f>
        <v>212.17499999999998</v>
      </c>
      <c r="Q18" s="169">
        <f t="shared" ref="Q18" si="6">P18*(1+Q19)</f>
        <v>215.35762499999996</v>
      </c>
      <c r="R18" s="169">
        <f t="shared" ref="R18" si="7">Q18*(1+R19)</f>
        <v>218.58798937499992</v>
      </c>
      <c r="S18" s="169">
        <f t="shared" ref="S18" si="8">R18*(1+S19)</f>
        <v>221.8668092156249</v>
      </c>
      <c r="T18" s="169">
        <f t="shared" ref="T18" si="9">S18*(1+T19)</f>
        <v>235.1788177685624</v>
      </c>
      <c r="U18" s="169">
        <f t="shared" ref="U18" si="10">T18*(1+U19)</f>
        <v>249.28954683467614</v>
      </c>
      <c r="V18" s="169">
        <f t="shared" ref="V18" si="11">U18*(1+V19)</f>
        <v>264.2469196447567</v>
      </c>
      <c r="W18" s="169">
        <f t="shared" ref="W18:X18" si="12">V18*(1+W19)</f>
        <v>280.10173482344214</v>
      </c>
      <c r="X18" s="169">
        <f t="shared" si="12"/>
        <v>296.90783891284866</v>
      </c>
      <c r="Y18" s="169"/>
      <c r="Z18" s="44"/>
      <c r="AA18" s="44"/>
      <c r="AB18" s="44"/>
      <c r="AC18" s="44"/>
      <c r="AD18" s="44"/>
      <c r="AE18" s="44">
        <f>AVERAGE(F18:I18)</f>
        <v>218.57500000000002</v>
      </c>
      <c r="AF18" s="181">
        <f>AVERAGE(J18,K18,L18,M18)</f>
        <v>197.17500000000001</v>
      </c>
      <c r="AG18" s="45">
        <f>AVERAGE(P18:S18)</f>
        <v>216.99685589765619</v>
      </c>
      <c r="AH18" s="45">
        <f>AVERAGE(T18:W18)</f>
        <v>257.20425476785931</v>
      </c>
      <c r="AI18" s="33">
        <f>AVERAGE(F18:I18)</f>
        <v>218.57500000000002</v>
      </c>
      <c r="AJ18" s="34">
        <v>166</v>
      </c>
      <c r="AK18" s="146">
        <f>AE18/'figuring NIPA tax changes'!E10*'figuring NIPA tax changes'!F21</f>
        <v>193.42290277747617</v>
      </c>
      <c r="AL18">
        <f>AE18/'figuring NIPA tax changes'!E21*'figuring NIPA tax changes'!G21</f>
        <v>200.10987665313039</v>
      </c>
      <c r="AM18">
        <f>AE18/'figuring NIPA tax changes'!E21*'figuring NIPA tax changes'!H21</f>
        <v>237.052464440053</v>
      </c>
    </row>
    <row r="19" spans="1:41" s="171" customFormat="1" x14ac:dyDescent="0.35">
      <c r="A19" s="178" t="s">
        <v>216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315"/>
      <c r="O19" s="315"/>
      <c r="P19" s="176">
        <v>2.5000000000000001E-2</v>
      </c>
      <c r="Q19" s="176">
        <v>1.4999999999999999E-2</v>
      </c>
      <c r="R19" s="176">
        <v>1.4999999999999999E-2</v>
      </c>
      <c r="S19" s="176">
        <v>1.4999999999999999E-2</v>
      </c>
      <c r="T19" s="176">
        <v>0.06</v>
      </c>
      <c r="U19" s="176">
        <v>0.06</v>
      </c>
      <c r="V19" s="176">
        <v>0.06</v>
      </c>
      <c r="W19" s="176">
        <v>0.06</v>
      </c>
      <c r="X19" s="176">
        <v>0.06</v>
      </c>
      <c r="Y19" s="172"/>
      <c r="Z19" s="173"/>
      <c r="AA19" s="173"/>
      <c r="AB19" s="173"/>
      <c r="AC19" s="173"/>
      <c r="AD19" s="173"/>
      <c r="AE19" s="173"/>
      <c r="AF19" s="174"/>
      <c r="AG19" s="174"/>
      <c r="AH19" s="174"/>
      <c r="AI19" s="175"/>
      <c r="AK19" s="175"/>
      <c r="AL19" s="175"/>
      <c r="AM19" s="175"/>
      <c r="AN19" s="175"/>
      <c r="AO19" s="241"/>
    </row>
    <row r="20" spans="1:41" s="171" customFormat="1" x14ac:dyDescent="0.35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315"/>
      <c r="O20" s="315"/>
      <c r="P20" s="176"/>
      <c r="Q20" s="176"/>
      <c r="R20" s="176"/>
      <c r="S20" s="176"/>
      <c r="T20" s="176"/>
      <c r="U20" s="176"/>
      <c r="V20" s="176"/>
      <c r="W20" s="176"/>
      <c r="X20" s="172"/>
      <c r="Y20" s="172"/>
      <c r="Z20" s="173"/>
      <c r="AA20" s="173"/>
      <c r="AB20" s="173"/>
      <c r="AC20" s="173"/>
      <c r="AD20" s="173"/>
      <c r="AE20" s="173"/>
      <c r="AF20" s="174"/>
      <c r="AG20" s="174"/>
      <c r="AH20" s="174"/>
      <c r="AI20" s="175"/>
      <c r="AK20" s="175"/>
      <c r="AL20" s="175"/>
      <c r="AM20" s="175"/>
      <c r="AN20" s="175"/>
      <c r="AO20" s="241"/>
    </row>
    <row r="21" spans="1:41" s="171" customFormat="1" x14ac:dyDescent="0.35">
      <c r="A21" t="s">
        <v>265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315"/>
      <c r="O21" s="315"/>
      <c r="P21" s="176"/>
      <c r="Q21" s="176"/>
      <c r="R21" s="176"/>
      <c r="S21" s="176"/>
      <c r="T21" s="176"/>
      <c r="U21" s="176"/>
      <c r="V21" s="176"/>
      <c r="W21" s="176"/>
      <c r="X21" s="172"/>
      <c r="Y21" s="172"/>
      <c r="Z21" s="173"/>
      <c r="AA21" s="173"/>
      <c r="AB21" s="173"/>
      <c r="AC21" s="173"/>
      <c r="AD21" s="173"/>
      <c r="AE21" s="173"/>
      <c r="AF21" s="174"/>
      <c r="AG21" s="174"/>
      <c r="AH21" s="174"/>
      <c r="AI21" s="175"/>
      <c r="AK21" s="175"/>
      <c r="AL21" s="175"/>
      <c r="AM21" s="175"/>
      <c r="AN21" s="175"/>
      <c r="AO21" s="241"/>
    </row>
    <row r="22" spans="1:41" x14ac:dyDescent="0.35">
      <c r="A22" s="177" t="s">
        <v>266</v>
      </c>
      <c r="F22" s="205">
        <f>SUM(F23:F25)</f>
        <v>1773.6</v>
      </c>
      <c r="G22" s="205">
        <f t="shared" ref="G22:W22" si="13">SUM(G23:G25)</f>
        <v>1798.8</v>
      </c>
      <c r="H22" s="205">
        <f t="shared" si="13"/>
        <v>1853.9</v>
      </c>
      <c r="I22" s="205">
        <f t="shared" si="13"/>
        <v>1832.2</v>
      </c>
      <c r="J22" s="205">
        <f t="shared" si="13"/>
        <v>1832.4</v>
      </c>
      <c r="K22" s="205">
        <f t="shared" si="13"/>
        <v>1862.4</v>
      </c>
      <c r="L22" s="205">
        <f t="shared" si="13"/>
        <v>1779.8019999999999</v>
      </c>
      <c r="M22" s="199">
        <f t="shared" si="13"/>
        <v>1871.3489999999999</v>
      </c>
      <c r="N22" s="315">
        <v>1836.9459999999999</v>
      </c>
      <c r="O22" s="315">
        <f t="shared" si="1"/>
        <v>-34.40300000000002</v>
      </c>
      <c r="P22" s="102">
        <f t="shared" si="13"/>
        <v>1909.1908330926583</v>
      </c>
      <c r="Q22" s="102">
        <f t="shared" si="13"/>
        <v>1940.8545978916857</v>
      </c>
      <c r="R22" s="102">
        <f t="shared" si="13"/>
        <v>1971.716984299685</v>
      </c>
      <c r="S22" s="102">
        <f t="shared" si="13"/>
        <v>2004.7039552792487</v>
      </c>
      <c r="T22" s="102">
        <f t="shared" si="13"/>
        <v>2026.797771152849</v>
      </c>
      <c r="U22" s="102">
        <f t="shared" si="13"/>
        <v>2047.0185979962541</v>
      </c>
      <c r="V22" s="102">
        <f t="shared" si="13"/>
        <v>2067.0344210652102</v>
      </c>
      <c r="W22" s="102">
        <f t="shared" si="13"/>
        <v>2087.9634427658029</v>
      </c>
      <c r="X22" s="102">
        <f t="shared" ref="X22" si="14">SUM(X23:X25)</f>
        <v>2109.1999701280711</v>
      </c>
    </row>
    <row r="23" spans="1:41" x14ac:dyDescent="0.35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315">
        <v>499.4</v>
      </c>
      <c r="O23" s="315">
        <f t="shared" si="1"/>
        <v>-7.2000000000000455</v>
      </c>
      <c r="P23" s="102">
        <f>M23*(1+P$6)</f>
        <v>516.84430645739553</v>
      </c>
      <c r="Q23" s="102">
        <f t="shared" ref="Q23:X23" si="15">P23*(1+Q$6)</f>
        <v>525.41612456678467</v>
      </c>
      <c r="R23" s="102">
        <f t="shared" si="15"/>
        <v>533.77099848623664</v>
      </c>
      <c r="S23" s="102">
        <f t="shared" si="15"/>
        <v>542.70102676970851</v>
      </c>
      <c r="T23" s="102">
        <f t="shared" si="15"/>
        <v>548.68212763414692</v>
      </c>
      <c r="U23" s="102">
        <f t="shared" si="15"/>
        <v>554.15618451977809</v>
      </c>
      <c r="V23" s="102">
        <f t="shared" si="15"/>
        <v>559.57474405449511</v>
      </c>
      <c r="W23" s="102">
        <f t="shared" si="15"/>
        <v>565.24051906146622</v>
      </c>
      <c r="X23" s="102">
        <f t="shared" si="15"/>
        <v>570.98954009480906</v>
      </c>
    </row>
    <row r="24" spans="1:41" x14ac:dyDescent="0.35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315">
        <v>1317.3</v>
      </c>
      <c r="O24" s="315">
        <f t="shared" si="1"/>
        <v>-27.200000000000045</v>
      </c>
      <c r="P24" s="102">
        <f>M24*(1+P$6)</f>
        <v>1371.6880577022666</v>
      </c>
      <c r="Q24" s="102">
        <f t="shared" ref="Q24:X24" si="16">P24*(1+Q$6)</f>
        <v>1394.4373854718556</v>
      </c>
      <c r="R24" s="102">
        <f t="shared" si="16"/>
        <v>1416.6109503844161</v>
      </c>
      <c r="S24" s="102">
        <f t="shared" si="16"/>
        <v>1440.310956359797</v>
      </c>
      <c r="T24" s="102">
        <f t="shared" si="16"/>
        <v>1456.1846044297486</v>
      </c>
      <c r="U24" s="102">
        <f t="shared" si="16"/>
        <v>1470.7125741943184</v>
      </c>
      <c r="V24" s="102">
        <f t="shared" si="16"/>
        <v>1485.0932557861602</v>
      </c>
      <c r="W24" s="102">
        <f t="shared" si="16"/>
        <v>1500.1300392383366</v>
      </c>
      <c r="X24" s="102">
        <f t="shared" si="16"/>
        <v>1515.3877549496067</v>
      </c>
    </row>
    <row r="25" spans="1:41" x14ac:dyDescent="0.35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315">
        <v>20.245999999999999</v>
      </c>
      <c r="O25" s="315">
        <f t="shared" si="1"/>
        <v>-3.0000000000001137E-3</v>
      </c>
      <c r="P25" s="102">
        <f>M25*(1+P$6)</f>
        <v>20.658468932996055</v>
      </c>
      <c r="Q25" s="102">
        <f t="shared" ref="Q25:X25" si="17">P25*(1+Q$6)</f>
        <v>21.001087853045448</v>
      </c>
      <c r="R25" s="102">
        <f t="shared" si="17"/>
        <v>21.335035429032388</v>
      </c>
      <c r="S25" s="102">
        <f t="shared" si="17"/>
        <v>21.691972149743052</v>
      </c>
      <c r="T25" s="102">
        <f t="shared" si="17"/>
        <v>21.931039088953501</v>
      </c>
      <c r="U25" s="102">
        <f t="shared" si="17"/>
        <v>22.149839282157497</v>
      </c>
      <c r="V25" s="102">
        <f t="shared" si="17"/>
        <v>22.366421224554824</v>
      </c>
      <c r="W25" s="102">
        <f t="shared" si="17"/>
        <v>22.592884466000061</v>
      </c>
      <c r="X25" s="102">
        <f t="shared" si="17"/>
        <v>22.82267508365533</v>
      </c>
    </row>
    <row r="26" spans="1:41" x14ac:dyDescent="0.35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315">
        <v>79.099999999999994</v>
      </c>
      <c r="O26" s="315">
        <f t="shared" si="1"/>
        <v>-11.100000000000009</v>
      </c>
      <c r="P26" s="102">
        <f>M26*(1+P6)</f>
        <v>92.023996135920015</v>
      </c>
      <c r="Q26" s="102">
        <f t="shared" ref="Q26:X26" si="18">P26*(1+Q6)</f>
        <v>93.550206150659264</v>
      </c>
      <c r="R26" s="102">
        <f t="shared" si="18"/>
        <v>95.037789308050833</v>
      </c>
      <c r="S26" s="102">
        <f t="shared" si="18"/>
        <v>96.627778552364219</v>
      </c>
      <c r="T26" s="102">
        <f t="shared" si="18"/>
        <v>97.692712026450963</v>
      </c>
      <c r="U26" s="102">
        <f t="shared" si="18"/>
        <v>98.667366450225003</v>
      </c>
      <c r="V26" s="102">
        <f t="shared" si="18"/>
        <v>99.632139584910121</v>
      </c>
      <c r="W26" s="102">
        <f t="shared" si="18"/>
        <v>100.64092937099143</v>
      </c>
      <c r="X26" s="102">
        <f t="shared" si="18"/>
        <v>101.66454109070624</v>
      </c>
    </row>
    <row r="27" spans="1:41" s="187" customFormat="1" x14ac:dyDescent="0.35">
      <c r="A27" s="178" t="s">
        <v>267</v>
      </c>
      <c r="F27" s="212">
        <f t="shared" ref="F27:L27" si="19">F26/F18</f>
        <v>0.27055815935236471</v>
      </c>
      <c r="G27" s="212">
        <f t="shared" si="19"/>
        <v>0.32039289055191766</v>
      </c>
      <c r="H27" s="212">
        <f t="shared" si="19"/>
        <v>0.30642283675289922</v>
      </c>
      <c r="I27" s="212">
        <f t="shared" si="19"/>
        <v>0.34623015873015872</v>
      </c>
      <c r="J27" s="212">
        <f t="shared" si="19"/>
        <v>0.30909882455376581</v>
      </c>
      <c r="K27" s="212">
        <f t="shared" si="19"/>
        <v>0.3473684210526316</v>
      </c>
      <c r="L27" s="212">
        <f t="shared" si="19"/>
        <v>0.31603498542274056</v>
      </c>
      <c r="M27" s="199"/>
      <c r="N27" s="315"/>
      <c r="O27" s="315"/>
      <c r="P27" s="195"/>
      <c r="Q27" s="195"/>
      <c r="R27" s="195"/>
      <c r="S27" s="195"/>
      <c r="T27" s="195"/>
      <c r="U27" s="195"/>
      <c r="V27" s="195"/>
      <c r="W27" s="195"/>
      <c r="AO27" s="244"/>
    </row>
    <row r="28" spans="1:41" s="171" customFormat="1" x14ac:dyDescent="0.35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315"/>
      <c r="O28" s="315"/>
      <c r="P28" s="176"/>
      <c r="Q28" s="176"/>
      <c r="R28" s="176"/>
      <c r="S28" s="176"/>
      <c r="T28" s="176"/>
      <c r="U28" s="176"/>
      <c r="V28" s="176"/>
      <c r="W28" s="176"/>
      <c r="X28" s="172"/>
      <c r="Y28" s="172"/>
      <c r="Z28" s="173"/>
      <c r="AA28" s="173"/>
      <c r="AB28" s="173"/>
      <c r="AC28" s="173"/>
      <c r="AD28" s="173"/>
      <c r="AE28" s="173"/>
      <c r="AF28" s="174"/>
      <c r="AG28" s="174"/>
      <c r="AH28" s="174"/>
      <c r="AI28" s="175"/>
      <c r="AK28" s="175">
        <f>$AE$30*('figuring out social benefits'!G47/'figuring out social benefits'!$F$47)</f>
        <v>3428.146799249083</v>
      </c>
      <c r="AL28" s="175">
        <f>$AE$30*('figuring out social benefits'!H47/'figuring out social benefits'!$F$47)</f>
        <v>2649.6527204036238</v>
      </c>
      <c r="AM28" s="175">
        <f>$AE$30*('figuring out social benefits'!I47/'figuring out social benefits'!$F$47)</f>
        <v>2766.2949511126526</v>
      </c>
      <c r="AN28" s="175"/>
      <c r="AO28" s="241"/>
    </row>
    <row r="29" spans="1:41" x14ac:dyDescent="0.35">
      <c r="F29" s="199"/>
      <c r="G29" s="199"/>
      <c r="H29" s="199"/>
      <c r="I29" s="199"/>
      <c r="J29" s="199"/>
      <c r="K29" s="199"/>
      <c r="L29" s="203"/>
      <c r="M29" s="199"/>
      <c r="N29" s="315"/>
      <c r="O29" s="315"/>
      <c r="P29" s="88"/>
      <c r="Q29" s="88"/>
      <c r="R29" s="88"/>
      <c r="S29" s="88"/>
      <c r="AI29" s="3"/>
      <c r="AK29" s="3">
        <f>AK28-47</f>
        <v>3381.146799249083</v>
      </c>
      <c r="AL29" s="3">
        <f>AL28+47</f>
        <v>2696.6527204036238</v>
      </c>
    </row>
    <row r="30" spans="1:41" x14ac:dyDescent="0.35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315">
        <v>3488125</v>
      </c>
      <c r="O30" s="315">
        <f t="shared" si="1"/>
        <v>-6763</v>
      </c>
      <c r="P30" s="44">
        <f>P31+P36+P46</f>
        <v>2855130.6794988289</v>
      </c>
      <c r="Q30" s="44">
        <f t="shared" ref="Q30:W30" si="20">Q31+Q36+Q46</f>
        <v>3244347.6672774283</v>
      </c>
      <c r="R30" s="44">
        <f t="shared" si="20"/>
        <v>2682732.759694315</v>
      </c>
      <c r="S30" s="44">
        <f t="shared" si="20"/>
        <v>2585488.623825727</v>
      </c>
      <c r="T30" s="44">
        <f t="shared" si="20"/>
        <v>2651916.1476522055</v>
      </c>
      <c r="U30" s="44">
        <f t="shared" si="20"/>
        <v>2708085.6514252573</v>
      </c>
      <c r="V30" s="44">
        <f t="shared" si="20"/>
        <v>2765655.2499653636</v>
      </c>
      <c r="W30" s="44">
        <f t="shared" si="20"/>
        <v>2824664.1763997721</v>
      </c>
      <c r="X30" s="3"/>
      <c r="Y30" s="44"/>
      <c r="Z30" s="3"/>
      <c r="AA30" s="3"/>
      <c r="AB30" s="3"/>
      <c r="AC30" s="3"/>
      <c r="AD30" s="3"/>
      <c r="AE30" s="3">
        <f>AVERAGE(F30:I30)/1000</f>
        <v>2291.6462499999998</v>
      </c>
      <c r="AF30" s="45"/>
      <c r="AG30" s="45"/>
      <c r="AH30" s="45"/>
      <c r="AJ30">
        <v>2286.6999999999998</v>
      </c>
      <c r="AK30" s="32">
        <f>$AE30/'figuring out social benefits'!$F47*'figuring out social benefits'!G49+'figuring out social benefits'!G50-47</f>
        <v>3320.7721322167745</v>
      </c>
      <c r="AL30" s="32">
        <f>$AE30/'figuring out social benefits'!$F47*'figuring out social benefits'!H49+'figuring out social benefits'!H50+46</f>
        <v>2675.6800557811207</v>
      </c>
      <c r="AM30" s="32">
        <f>$AE30/'figuring out social benefits'!$F47*'figuring out social benefits'!I49+'figuring out social benefits'!I50*0.9</f>
        <v>2725.1688956203648</v>
      </c>
      <c r="AN30" s="32"/>
      <c r="AO30" s="146" t="s">
        <v>29</v>
      </c>
    </row>
    <row r="31" spans="1:41" x14ac:dyDescent="0.35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315">
        <v>842733</v>
      </c>
      <c r="O31" s="315">
        <f t="shared" si="1"/>
        <v>0</v>
      </c>
      <c r="P31" s="87">
        <f>M31*((($AL$31/$AK$31)^0.25))</f>
        <v>853053.18699882878</v>
      </c>
      <c r="Q31" s="87">
        <f>P31*((($AL$31/$AK$31)^0.25))+12000</f>
        <v>875499.75597117806</v>
      </c>
      <c r="R31" s="87">
        <f>Q31*((($AL$31/$AK$31)^0.25))+12000</f>
        <v>898221.20772286167</v>
      </c>
      <c r="S31" s="87">
        <f>R31*((($AL$31/$AK$31)^0.25))+12000</f>
        <v>921220.90849405946</v>
      </c>
      <c r="T31" s="87">
        <f>S31*((($AM$31/$AL$31)^0.25))+12000</f>
        <v>963344.41659056314</v>
      </c>
      <c r="U31" s="87">
        <f>T31*((($AM$31/$AL$31)^0.25))</f>
        <v>994845.34439769038</v>
      </c>
      <c r="V31" s="87">
        <f>U31*((($AM$31/$AL$31)^0.25))</f>
        <v>1027376.3383323837</v>
      </c>
      <c r="W31" s="87">
        <f>V31*((($AM$31/$AL$31)^0.25))</f>
        <v>1060971.0810922973</v>
      </c>
      <c r="X31" s="87">
        <f>W31*((($AN$31/$AM$31)^0.25))</f>
        <v>1071662.5838938125</v>
      </c>
      <c r="Y31" s="87">
        <f>X31*((($AN$31/$AM$31)^0.25))</f>
        <v>1082461.8259487266</v>
      </c>
      <c r="Z31" s="87">
        <f>Y31*((($AN$31/$AM$31)^0.25))</f>
        <v>1093369.8929553684</v>
      </c>
      <c r="AA31" s="87">
        <f>Z31*((($AN$31/$AM$31)^0.25))</f>
        <v>1104387.8815527481</v>
      </c>
      <c r="AB31" s="3"/>
      <c r="AC31" s="3"/>
      <c r="AD31" s="3"/>
      <c r="AE31" s="3">
        <f>AVERAGE(F31:I31)/1000</f>
        <v>772.56600000000003</v>
      </c>
      <c r="AF31" s="45">
        <f>AVERAGE(J31:M31)/1000</f>
        <v>817.33950000000004</v>
      </c>
      <c r="AG31" s="45">
        <f>AVERAGE(P31:S31)/1000</f>
        <v>886.99876479673196</v>
      </c>
      <c r="AH31" s="45">
        <f>AVERAGE(T31:W31)/1000</f>
        <v>1011.6342951032335</v>
      </c>
      <c r="AJ31">
        <v>775.4</v>
      </c>
      <c r="AK31" s="3">
        <f>'figuring out social benefits'!G18-47</f>
        <v>815.06799999999998</v>
      </c>
      <c r="AL31" s="3">
        <f>'figuring out social benefits'!H18+46</f>
        <v>855.73299999999995</v>
      </c>
      <c r="AM31" s="3">
        <f>'figuring out social benefits'!I18</f>
        <v>973.27200000000005</v>
      </c>
      <c r="AN31" s="3">
        <f>'figuring out social benefits'!J18</f>
        <v>1013.1</v>
      </c>
      <c r="AO31" s="146" t="s">
        <v>19</v>
      </c>
    </row>
    <row r="32" spans="1:41" x14ac:dyDescent="0.35">
      <c r="A32" s="93" t="s">
        <v>341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315">
        <v>15600</v>
      </c>
      <c r="O32" s="315">
        <f t="shared" si="1"/>
        <v>0</v>
      </c>
      <c r="P32" s="87">
        <v>0</v>
      </c>
      <c r="Q32" s="87">
        <f>16*1000</f>
        <v>16000</v>
      </c>
      <c r="R32" s="87">
        <f>16*1000</f>
        <v>16000</v>
      </c>
      <c r="S32" s="87">
        <v>0</v>
      </c>
      <c r="T32" s="87">
        <v>0</v>
      </c>
      <c r="U32" s="87"/>
      <c r="V32" s="87"/>
      <c r="W32" s="87"/>
      <c r="AF32" s="45">
        <f>AVERAGE(J32:M32)/1000</f>
        <v>273.39999999999998</v>
      </c>
      <c r="AG32" s="45">
        <v>0</v>
      </c>
      <c r="AH32" s="45">
        <v>0</v>
      </c>
      <c r="AI32" s="3"/>
      <c r="AK32" s="3">
        <v>272</v>
      </c>
      <c r="AL32" s="3">
        <v>9</v>
      </c>
      <c r="AM32" s="3">
        <v>0</v>
      </c>
      <c r="AN32" s="3"/>
      <c r="AO32" s="184"/>
    </row>
    <row r="33" spans="1:43" s="285" customFormat="1" x14ac:dyDescent="0.35">
      <c r="A33" s="294" t="s">
        <v>342</v>
      </c>
      <c r="F33" s="286"/>
      <c r="G33" s="286"/>
      <c r="H33" s="286"/>
      <c r="I33" s="286"/>
      <c r="J33" s="286"/>
      <c r="K33" s="286"/>
      <c r="L33" s="286"/>
      <c r="M33" s="287"/>
      <c r="N33" s="317"/>
      <c r="O33" s="315"/>
      <c r="P33" s="288"/>
      <c r="Q33" s="288">
        <f>'Stimulus Round 2'!C4*4</f>
        <v>664000</v>
      </c>
      <c r="R33" s="288"/>
      <c r="S33" s="288"/>
      <c r="T33" s="288"/>
      <c r="U33" s="288"/>
      <c r="V33" s="288"/>
      <c r="W33" s="288"/>
      <c r="AF33" s="290"/>
      <c r="AG33" s="290"/>
      <c r="AH33" s="290"/>
      <c r="AI33" s="289"/>
      <c r="AK33" s="289"/>
      <c r="AL33" s="289"/>
      <c r="AM33" s="289"/>
      <c r="AN33" s="289"/>
      <c r="AO33" s="291"/>
    </row>
    <row r="34" spans="1:43" s="285" customFormat="1" x14ac:dyDescent="0.35">
      <c r="A34" s="294" t="s">
        <v>349</v>
      </c>
      <c r="F34" s="286"/>
      <c r="G34" s="286"/>
      <c r="H34" s="286"/>
      <c r="I34" s="286"/>
      <c r="J34" s="286"/>
      <c r="K34" s="286"/>
      <c r="L34" s="286"/>
      <c r="M34" s="287"/>
      <c r="N34" s="317"/>
      <c r="O34" s="315"/>
      <c r="P34" s="288"/>
      <c r="Q34" s="288">
        <f>'Stimulus Round 2'!$C$15*4/2</f>
        <v>52000</v>
      </c>
      <c r="R34" s="288">
        <f>'Stimulus Round 2'!$C$15*4/2</f>
        <v>52000</v>
      </c>
      <c r="S34" s="288"/>
      <c r="T34" s="288"/>
      <c r="U34" s="288"/>
      <c r="V34" s="288"/>
      <c r="W34" s="288"/>
      <c r="AF34" s="290"/>
      <c r="AG34" s="290"/>
      <c r="AH34" s="290"/>
      <c r="AI34" s="289"/>
      <c r="AK34" s="289"/>
      <c r="AL34" s="289"/>
      <c r="AM34" s="289"/>
      <c r="AN34" s="289"/>
      <c r="AO34" s="291"/>
    </row>
    <row r="35" spans="1:43" s="285" customFormat="1" x14ac:dyDescent="0.35">
      <c r="A35" s="294" t="s">
        <v>353</v>
      </c>
      <c r="F35" s="286"/>
      <c r="G35" s="286"/>
      <c r="H35" s="286"/>
      <c r="I35" s="286"/>
      <c r="J35" s="286"/>
      <c r="K35" s="286"/>
      <c r="L35" s="286"/>
      <c r="M35" s="287"/>
      <c r="N35" s="317"/>
      <c r="O35" s="315"/>
      <c r="P35" s="288"/>
      <c r="Q35" s="288">
        <f>'Stimulus Round 2'!$C$19*4/4</f>
        <v>5000</v>
      </c>
      <c r="R35" s="288">
        <f>'Stimulus Round 2'!$C$19*4/4</f>
        <v>5000</v>
      </c>
      <c r="S35" s="288">
        <f>'Stimulus Round 2'!$C$19*4/4</f>
        <v>5000</v>
      </c>
      <c r="T35" s="288">
        <f>'Stimulus Round 2'!$C$19*4/4</f>
        <v>5000</v>
      </c>
      <c r="U35" s="288"/>
      <c r="V35" s="288"/>
      <c r="W35" s="288"/>
      <c r="AF35" s="290"/>
      <c r="AG35" s="290"/>
      <c r="AH35" s="290"/>
      <c r="AI35" s="289"/>
      <c r="AK35" s="289"/>
      <c r="AL35" s="289"/>
      <c r="AM35" s="289"/>
      <c r="AN35" s="289"/>
      <c r="AO35" s="291"/>
    </row>
    <row r="36" spans="1:43" x14ac:dyDescent="0.35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88">
        <f>L38+L42</f>
        <v>1084000</v>
      </c>
      <c r="M36" s="199">
        <f>M37+M40</f>
        <v>881354</v>
      </c>
      <c r="N36" s="315">
        <v>874878</v>
      </c>
      <c r="O36" s="315">
        <f t="shared" si="1"/>
        <v>-6476</v>
      </c>
      <c r="P36" s="87">
        <f>P38+P42</f>
        <v>344800</v>
      </c>
      <c r="Q36" s="87">
        <f t="shared" ref="Q36:X36" si="21">Q38+Q42</f>
        <v>724000</v>
      </c>
      <c r="R36" s="87">
        <f t="shared" si="21"/>
        <v>152000</v>
      </c>
      <c r="S36" s="87">
        <f t="shared" si="21"/>
        <v>44000</v>
      </c>
      <c r="T36" s="87">
        <f t="shared" si="21"/>
        <v>44000</v>
      </c>
      <c r="U36" s="87">
        <f t="shared" si="21"/>
        <v>44000</v>
      </c>
      <c r="V36" s="87">
        <f t="shared" si="21"/>
        <v>44000</v>
      </c>
      <c r="W36" s="87">
        <f t="shared" si="21"/>
        <v>44000</v>
      </c>
      <c r="X36" s="87">
        <f t="shared" si="21"/>
        <v>44000</v>
      </c>
      <c r="Y36" s="44"/>
      <c r="Z36" s="3"/>
      <c r="AA36" s="3"/>
      <c r="AB36" s="3"/>
      <c r="AC36" s="3"/>
      <c r="AD36" s="3"/>
      <c r="AE36" s="3">
        <f>AVERAGE(F36:I36)/1000</f>
        <v>27.528749999999999</v>
      </c>
      <c r="AF36" s="45">
        <f>AVERAGE(J36:M36)/1000</f>
        <v>509.16674999999998</v>
      </c>
      <c r="AG36" s="45">
        <f t="shared" ref="AG36:AG46" si="22">AVERAGE(P36:S36)/1000</f>
        <v>316.2</v>
      </c>
      <c r="AH36" s="45">
        <f t="shared" ref="AH36:AH46" si="23">AVERAGE(T36:W36)/1000</f>
        <v>44</v>
      </c>
      <c r="AJ36">
        <v>27.6</v>
      </c>
      <c r="AK36" s="3">
        <v>557</v>
      </c>
      <c r="AL36" s="3">
        <v>166</v>
      </c>
      <c r="AM36" s="3">
        <v>67</v>
      </c>
      <c r="AN36" s="3"/>
      <c r="AO36" s="184"/>
    </row>
    <row r="37" spans="1:43" x14ac:dyDescent="0.35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>
        <v>1084572</v>
      </c>
      <c r="M37" s="199">
        <f>VLOOKUP(C37,'Haver NA'!$A$1:$I$34,9,0)</f>
        <v>775154</v>
      </c>
      <c r="N37" s="315">
        <v>768678</v>
      </c>
      <c r="O37" s="315">
        <f t="shared" si="1"/>
        <v>-6476</v>
      </c>
      <c r="P37" s="87"/>
      <c r="Q37" s="87"/>
      <c r="R37" s="87"/>
      <c r="S37" s="87"/>
      <c r="T37" s="87"/>
      <c r="U37" s="87"/>
      <c r="V37" s="87"/>
      <c r="W37" s="87"/>
      <c r="X37" s="87"/>
      <c r="Y37" s="44"/>
      <c r="Z37" s="3"/>
      <c r="AA37" s="3"/>
      <c r="AB37" s="3"/>
      <c r="AC37" s="3"/>
      <c r="AD37" s="3"/>
      <c r="AE37" s="3"/>
      <c r="AF37" s="45"/>
      <c r="AG37" s="45"/>
      <c r="AH37" s="45"/>
      <c r="AK37" s="3"/>
      <c r="AL37" s="3"/>
      <c r="AM37" s="3"/>
      <c r="AN37" s="3"/>
      <c r="AO37" s="184"/>
    </row>
    <row r="38" spans="1:43" x14ac:dyDescent="0.35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695200</v>
      </c>
      <c r="N38" s="315">
        <v>738200</v>
      </c>
      <c r="O38" s="315">
        <f t="shared" si="1"/>
        <v>43000</v>
      </c>
      <c r="P38" s="87">
        <f>SUM(P39:P41)</f>
        <v>257800</v>
      </c>
      <c r="Q38" s="87">
        <f>SUM(Q39:Q41)</f>
        <v>664000</v>
      </c>
      <c r="R38" s="87">
        <f>SUM(R39:R41)</f>
        <v>108000</v>
      </c>
      <c r="S38" s="87">
        <f t="shared" ref="S38" si="24">S39+S40+S41</f>
        <v>0</v>
      </c>
      <c r="T38" s="87">
        <f t="shared" ref="T38" si="25">T39+T40</f>
        <v>0</v>
      </c>
      <c r="U38" s="87"/>
      <c r="V38" s="87"/>
      <c r="W38" s="87"/>
      <c r="X38" s="3"/>
      <c r="Y38" s="44"/>
      <c r="Z38" s="3"/>
      <c r="AA38" s="3"/>
      <c r="AB38" s="3"/>
      <c r="AC38" s="3"/>
      <c r="AD38" s="3"/>
      <c r="AE38" s="3"/>
      <c r="AF38" s="45"/>
      <c r="AG38" s="45"/>
      <c r="AH38" s="45"/>
      <c r="AI38" s="3"/>
      <c r="AK38" s="3"/>
      <c r="AL38" s="3"/>
      <c r="AM38" s="3"/>
      <c r="AN38" s="3"/>
      <c r="AO38" s="184"/>
    </row>
    <row r="39" spans="1:43" x14ac:dyDescent="0.35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589000</v>
      </c>
      <c r="N39" s="315">
        <v>632000</v>
      </c>
      <c r="O39" s="315">
        <f t="shared" si="1"/>
        <v>43000</v>
      </c>
      <c r="P39" s="87">
        <f>1000*'figuring out UI'!O17</f>
        <v>188000</v>
      </c>
      <c r="Q39" s="87">
        <f>1000*'figuring out UI'!P17</f>
        <v>184000</v>
      </c>
      <c r="R39" s="87">
        <f>1000*'figuring out UI'!Q17</f>
        <v>108000</v>
      </c>
      <c r="S39" s="87">
        <f>1000*'figuring out UI'!R17</f>
        <v>0</v>
      </c>
      <c r="T39" s="87">
        <f>1000*'figuring out UI'!S17</f>
        <v>0</v>
      </c>
      <c r="U39" s="87">
        <f>1000*'figuring out UI'!T17</f>
        <v>0</v>
      </c>
      <c r="V39" s="87">
        <f>1000*'figuring out UI'!U17</f>
        <v>0</v>
      </c>
      <c r="W39" s="87">
        <f>1000*'figuring out UI'!V17</f>
        <v>0</v>
      </c>
      <c r="X39" s="3"/>
      <c r="Y39" s="44"/>
      <c r="Z39" s="3"/>
      <c r="AA39" s="3"/>
      <c r="AB39" s="3"/>
      <c r="AC39" s="3"/>
      <c r="AD39" s="3"/>
      <c r="AE39" s="3"/>
      <c r="AF39" s="45">
        <f>AVERAGE(J39:M39)/1000</f>
        <v>355.98333333333329</v>
      </c>
      <c r="AG39" s="45">
        <f t="shared" si="22"/>
        <v>120</v>
      </c>
      <c r="AH39" s="45">
        <f t="shared" si="23"/>
        <v>0</v>
      </c>
      <c r="AI39" s="3"/>
      <c r="AK39" s="3"/>
      <c r="AL39" s="3"/>
      <c r="AM39" s="3"/>
      <c r="AN39" s="3"/>
      <c r="AO39" s="184"/>
    </row>
    <row r="40" spans="1:43" x14ac:dyDescent="0.35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315">
        <v>106200</v>
      </c>
      <c r="O40" s="315">
        <f t="shared" si="1"/>
        <v>0</v>
      </c>
      <c r="P40" s="87">
        <f>(44000*4)-M40</f>
        <v>69800</v>
      </c>
      <c r="Q40" s="87"/>
      <c r="R40" s="87"/>
      <c r="S40" s="87"/>
      <c r="T40" s="87"/>
      <c r="U40" s="87"/>
      <c r="V40" s="87"/>
      <c r="W40" s="87"/>
      <c r="X40" s="3"/>
      <c r="Y40" s="44"/>
      <c r="Z40" s="3"/>
      <c r="AA40" s="3"/>
      <c r="AB40" s="3"/>
      <c r="AC40" s="3"/>
      <c r="AD40" s="3"/>
      <c r="AE40" s="3"/>
      <c r="AF40" s="45"/>
      <c r="AG40" s="45"/>
      <c r="AH40" s="45"/>
      <c r="AI40" s="3"/>
      <c r="AK40" s="3"/>
      <c r="AL40" s="3"/>
      <c r="AM40" s="3"/>
      <c r="AN40" s="3"/>
      <c r="AO40" s="184"/>
    </row>
    <row r="41" spans="1:43" s="285" customFormat="1" ht="14.5" customHeight="1" x14ac:dyDescent="0.35">
      <c r="A41" s="284" t="s">
        <v>347</v>
      </c>
      <c r="F41" s="286"/>
      <c r="G41" s="286"/>
      <c r="H41" s="286"/>
      <c r="I41" s="286"/>
      <c r="J41" s="286"/>
      <c r="K41" s="286"/>
      <c r="L41" s="286"/>
      <c r="M41" s="287"/>
      <c r="N41" s="317"/>
      <c r="O41" s="315"/>
      <c r="P41" s="288"/>
      <c r="Q41" s="288">
        <f>'Stimulus Round 2'!$C$3*4</f>
        <v>480000</v>
      </c>
      <c r="R41" s="288"/>
      <c r="S41" s="288"/>
      <c r="T41" s="288"/>
      <c r="U41" s="288"/>
      <c r="V41" s="288"/>
      <c r="W41" s="288"/>
      <c r="X41" s="289"/>
      <c r="Y41" s="289"/>
      <c r="Z41" s="289"/>
      <c r="AA41" s="289"/>
      <c r="AB41" s="289"/>
      <c r="AC41" s="289"/>
      <c r="AD41" s="289"/>
      <c r="AE41" s="289"/>
      <c r="AF41" s="290"/>
      <c r="AG41" s="290"/>
      <c r="AH41" s="290"/>
      <c r="AI41" s="289"/>
      <c r="AK41" s="289"/>
      <c r="AL41" s="289"/>
      <c r="AM41" s="289"/>
      <c r="AN41" s="289"/>
      <c r="AO41" s="291"/>
    </row>
    <row r="42" spans="1:43" x14ac:dyDescent="0.35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249066.66666666672</v>
      </c>
      <c r="M42" s="199">
        <f>1000*'figuring out UI'!N18</f>
        <v>186000</v>
      </c>
      <c r="N42" s="315">
        <v>140000</v>
      </c>
      <c r="O42" s="315">
        <f t="shared" si="1"/>
        <v>-46000</v>
      </c>
      <c r="P42" s="87">
        <f>1000*'figuring out UI'!O18</f>
        <v>87000</v>
      </c>
      <c r="Q42" s="87">
        <f>1000*'figuring out UI'!P18</f>
        <v>60000</v>
      </c>
      <c r="R42" s="87">
        <f>1000*'figuring out UI'!Q18</f>
        <v>44000</v>
      </c>
      <c r="S42" s="87">
        <f>1000*'figuring out UI'!R18</f>
        <v>44000</v>
      </c>
      <c r="T42" s="87">
        <f>1000*'figuring out UI'!S18</f>
        <v>44000</v>
      </c>
      <c r="U42" s="87">
        <f>1000*'figuring out UI'!T18</f>
        <v>44000</v>
      </c>
      <c r="V42" s="87">
        <f>1000*'figuring out UI'!U18</f>
        <v>44000</v>
      </c>
      <c r="W42" s="87">
        <f>1000*'figuring out UI'!V18</f>
        <v>44000</v>
      </c>
      <c r="X42" s="87">
        <f>1000*'figuring out UI'!W18</f>
        <v>44000</v>
      </c>
      <c r="Y42" s="44"/>
      <c r="Z42" s="3"/>
      <c r="AA42" s="3"/>
      <c r="AB42" s="3"/>
      <c r="AC42" s="3"/>
      <c r="AD42" s="3"/>
      <c r="AE42" s="3"/>
      <c r="AF42" s="45">
        <f>AVERAGE(J42:M42)/1000</f>
        <v>108.76666666666668</v>
      </c>
      <c r="AG42" s="45">
        <f t="shared" si="22"/>
        <v>58.75</v>
      </c>
      <c r="AH42" s="45">
        <f t="shared" si="23"/>
        <v>44</v>
      </c>
      <c r="AI42" s="3"/>
      <c r="AK42" s="3"/>
      <c r="AL42" s="3"/>
      <c r="AM42" s="3"/>
      <c r="AN42" s="3"/>
      <c r="AO42" s="184"/>
    </row>
    <row r="43" spans="1:43" ht="29" x14ac:dyDescent="0.35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315">
        <v>85400</v>
      </c>
      <c r="O43" s="315">
        <f t="shared" si="1"/>
        <v>0</v>
      </c>
      <c r="P43" s="87">
        <f>SUM(P44:P45)</f>
        <v>51804.841653418123</v>
      </c>
      <c r="Q43" s="87">
        <f t="shared" ref="Q43:T43" si="26">SUM(Q44:Q45)</f>
        <v>43377.595548489669</v>
      </c>
      <c r="R43" s="87">
        <f t="shared" si="26"/>
        <v>43000</v>
      </c>
      <c r="S43" s="87">
        <f t="shared" si="26"/>
        <v>43000</v>
      </c>
      <c r="T43" s="87">
        <f t="shared" si="26"/>
        <v>15000</v>
      </c>
      <c r="U43" s="87"/>
      <c r="V43" s="87"/>
      <c r="W43" s="87"/>
      <c r="X43" s="3"/>
      <c r="Y43" s="44"/>
      <c r="Z43" s="3"/>
      <c r="AA43" s="3"/>
      <c r="AB43" s="3"/>
      <c r="AC43" s="3"/>
      <c r="AD43" s="3"/>
      <c r="AE43" s="3"/>
      <c r="AF43" s="45">
        <f>AVERAGE(J43:M43)/1000</f>
        <v>66.325000000000003</v>
      </c>
      <c r="AG43" s="45">
        <f t="shared" si="22"/>
        <v>45.295609300476947</v>
      </c>
      <c r="AH43" s="45">
        <f t="shared" ref="AH43" si="27">AVERAGE(T43:W43)/1000</f>
        <v>15</v>
      </c>
      <c r="AI43" s="3"/>
      <c r="AK43" s="3">
        <f>'figuring out social benefits'!G48</f>
        <v>105</v>
      </c>
      <c r="AL43" s="3"/>
      <c r="AM43" s="3"/>
      <c r="AN43" s="3"/>
      <c r="AO43" s="184"/>
    </row>
    <row r="44" spans="1:43" x14ac:dyDescent="0.35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315">
        <v>27000</v>
      </c>
      <c r="O44" s="315">
        <f t="shared" si="1"/>
        <v>0</v>
      </c>
      <c r="P44" s="87">
        <v>8804.8416534181251</v>
      </c>
      <c r="Q44" s="87">
        <v>377.5955484896661</v>
      </c>
      <c r="R44" s="87">
        <v>0</v>
      </c>
      <c r="S44" s="87">
        <v>0</v>
      </c>
      <c r="T44" s="87">
        <v>0</v>
      </c>
      <c r="U44" s="87"/>
      <c r="V44" s="87"/>
      <c r="W44" s="87"/>
      <c r="X44" s="87"/>
      <c r="Y44" s="133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K44" s="3"/>
      <c r="AL44" s="3"/>
      <c r="AM44" s="3"/>
      <c r="AN44" s="3"/>
      <c r="AO44" s="184"/>
    </row>
    <row r="45" spans="1:43" x14ac:dyDescent="0.35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315">
        <v>58400</v>
      </c>
      <c r="O45" s="315">
        <f t="shared" si="1"/>
        <v>0</v>
      </c>
      <c r="P45" s="87">
        <v>43000</v>
      </c>
      <c r="Q45" s="87">
        <v>43000</v>
      </c>
      <c r="R45" s="87">
        <v>43000</v>
      </c>
      <c r="S45" s="87">
        <v>43000</v>
      </c>
      <c r="T45" s="87">
        <v>15000</v>
      </c>
      <c r="U45" s="87"/>
      <c r="V45" s="87"/>
      <c r="W45" s="87"/>
      <c r="X45" s="87"/>
      <c r="Y45" s="133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K45" s="3"/>
      <c r="AL45" s="3"/>
      <c r="AM45" s="3"/>
      <c r="AN45" s="3"/>
      <c r="AO45" s="184"/>
    </row>
    <row r="46" spans="1:43" ht="43.5" x14ac:dyDescent="0.35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L30-L32-L37-L31-L43</f>
        <v>1648724</v>
      </c>
      <c r="M46" s="204">
        <f>M30-M32-M36-M31-M43</f>
        <v>1669801</v>
      </c>
      <c r="N46" s="318">
        <v>1669514</v>
      </c>
      <c r="O46" s="315">
        <f t="shared" si="1"/>
        <v>-287</v>
      </c>
      <c r="P46" s="88">
        <f>M46*(1+P48)</f>
        <v>1657277.4925000002</v>
      </c>
      <c r="Q46" s="88">
        <f t="shared" ref="Q46:S46" si="28">P46*(1+Q48)</f>
        <v>1644847.9113062501</v>
      </c>
      <c r="R46" s="88">
        <f t="shared" si="28"/>
        <v>1632511.5519714532</v>
      </c>
      <c r="S46" s="88">
        <f t="shared" si="28"/>
        <v>1620267.7153316673</v>
      </c>
      <c r="T46" s="88">
        <f>S46*(1+T48)</f>
        <v>1644571.7310616423</v>
      </c>
      <c r="U46" s="88">
        <f t="shared" ref="U46:W46" si="29">T46*(1+U48)</f>
        <v>1669240.3070275667</v>
      </c>
      <c r="V46" s="88">
        <f t="shared" si="29"/>
        <v>1694278.91163298</v>
      </c>
      <c r="W46" s="88">
        <f t="shared" si="29"/>
        <v>1719693.0953074745</v>
      </c>
      <c r="X46" s="88">
        <f>W46*(1+X48)</f>
        <v>1736890.0262605492</v>
      </c>
      <c r="Y46" s="44"/>
      <c r="Z46" s="3"/>
      <c r="AA46" s="3"/>
      <c r="AB46" s="3"/>
      <c r="AC46" s="3"/>
      <c r="AD46" s="3"/>
      <c r="AE46" s="3">
        <f>AF30-AF32-AF36-AF31-AF43</f>
        <v>-1666.23125</v>
      </c>
      <c r="AF46" s="45">
        <f>AVERAGE(J46:M46)/1000</f>
        <v>1603.732</v>
      </c>
      <c r="AG46" s="45">
        <f t="shared" si="22"/>
        <v>1638.7261677773427</v>
      </c>
      <c r="AH46" s="45">
        <f t="shared" si="23"/>
        <v>1681.9460112574161</v>
      </c>
      <c r="AI46" s="3"/>
      <c r="AK46" s="3">
        <f>AK30-AK32-AK36-AK31-AK43</f>
        <v>1571.7041322167745</v>
      </c>
      <c r="AL46" s="3">
        <f>AL30-AL32-AL36-AL31</f>
        <v>1644.9470557811208</v>
      </c>
      <c r="AM46" s="3">
        <f>AM30-AM32-AM36-AM31</f>
        <v>1684.8968956203648</v>
      </c>
      <c r="AN46" s="3"/>
      <c r="AO46" s="184"/>
      <c r="AP46">
        <f>AL46/AK46*AF46</f>
        <v>1678.467452993958</v>
      </c>
      <c r="AQ46">
        <f>AM46/AK46*AF46</f>
        <v>1719.2313825604638</v>
      </c>
    </row>
    <row r="47" spans="1:43" s="171" customFormat="1" x14ac:dyDescent="0.35">
      <c r="A47" s="170" t="s">
        <v>216</v>
      </c>
      <c r="C47" s="280"/>
      <c r="D47" s="280"/>
      <c r="F47" s="234"/>
      <c r="G47" s="236">
        <f>G46/F46-1</f>
        <v>4.3899160317375507E-2</v>
      </c>
      <c r="H47" s="236">
        <f t="shared" ref="H47:L47" si="30">H46/G46-1</f>
        <v>3.4867401440725754E-3</v>
      </c>
      <c r="I47" s="236">
        <f t="shared" si="30"/>
        <v>3.5163841628156334E-3</v>
      </c>
      <c r="J47" s="236">
        <f t="shared" si="30"/>
        <v>5.2735975988749129E-3</v>
      </c>
      <c r="K47" s="236">
        <f t="shared" si="30"/>
        <v>3.4509222105193249E-2</v>
      </c>
      <c r="L47" s="236">
        <f t="shared" si="30"/>
        <v>4.7166587697893059E-2</v>
      </c>
      <c r="M47" s="199"/>
      <c r="N47" s="315"/>
      <c r="O47" s="315">
        <f t="shared" si="1"/>
        <v>0</v>
      </c>
      <c r="P47" s="235"/>
      <c r="Q47" s="235"/>
      <c r="R47" s="235"/>
      <c r="S47" s="235"/>
      <c r="T47" s="235"/>
      <c r="U47" s="235"/>
      <c r="V47" s="235"/>
      <c r="W47" s="235"/>
      <c r="X47" s="235"/>
      <c r="Y47" s="173"/>
      <c r="Z47" s="175"/>
      <c r="AA47" s="175"/>
      <c r="AB47" s="175"/>
      <c r="AC47" s="175"/>
      <c r="AD47" s="175"/>
      <c r="AE47" s="175"/>
      <c r="AF47" s="174"/>
      <c r="AG47" s="174"/>
      <c r="AH47" s="174"/>
      <c r="AI47" s="175"/>
      <c r="AK47" s="175"/>
      <c r="AL47" s="175"/>
      <c r="AM47" s="175"/>
      <c r="AN47" s="175"/>
      <c r="AO47" s="185"/>
    </row>
    <row r="48" spans="1:43" s="187" customFormat="1" x14ac:dyDescent="0.35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315"/>
      <c r="O48" s="315">
        <f t="shared" si="1"/>
        <v>0</v>
      </c>
      <c r="P48" s="176">
        <v>-7.4999999999999997E-3</v>
      </c>
      <c r="Q48" s="176">
        <v>-7.4999999999999997E-3</v>
      </c>
      <c r="R48" s="176">
        <v>-7.4999999999999997E-3</v>
      </c>
      <c r="S48" s="176">
        <v>-7.4999999999999997E-3</v>
      </c>
      <c r="T48" s="176">
        <v>1.4999999999999999E-2</v>
      </c>
      <c r="U48" s="176">
        <v>1.4999999999999999E-2</v>
      </c>
      <c r="V48" s="176">
        <v>1.4999999999999999E-2</v>
      </c>
      <c r="W48" s="176">
        <v>1.4999999999999999E-2</v>
      </c>
      <c r="X48" s="176">
        <v>0.01</v>
      </c>
      <c r="Y48" s="176"/>
      <c r="AF48" s="189">
        <f>AF31+AF32+AF36+AF43</f>
        <v>1666.23125</v>
      </c>
      <c r="AK48" s="189">
        <f>AK31+AK32+AK36+AK43</f>
        <v>1749.068</v>
      </c>
      <c r="AO48" s="244"/>
      <c r="AP48" s="233">
        <v>-7.4999999999999997E-3</v>
      </c>
      <c r="AQ48" s="233">
        <v>1.4999999999999999E-2</v>
      </c>
    </row>
    <row r="49" spans="1:41" s="35" customFormat="1" ht="14" customHeight="1" x14ac:dyDescent="0.35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15"/>
      <c r="O49" s="315"/>
      <c r="P49" s="3"/>
      <c r="Q49" s="3"/>
      <c r="R49" s="3"/>
      <c r="S49" s="3"/>
      <c r="T49" s="3"/>
      <c r="U49" s="3"/>
      <c r="V49" s="3"/>
      <c r="W49" s="3"/>
      <c r="X49" s="3"/>
      <c r="Y49" s="44"/>
      <c r="Z49" s="44"/>
      <c r="AA49" s="44"/>
      <c r="AB49" s="44"/>
      <c r="AC49" s="44"/>
      <c r="AD49" s="44"/>
      <c r="AE49" s="44"/>
      <c r="AF49" s="45"/>
      <c r="AG49" s="45"/>
      <c r="AH49" s="45"/>
      <c r="AI49" s="44"/>
      <c r="AK49" s="44"/>
      <c r="AL49" s="44"/>
      <c r="AM49" s="44"/>
      <c r="AN49" s="44"/>
      <c r="AO49" s="245"/>
    </row>
    <row r="50" spans="1:41" s="35" customFormat="1" x14ac:dyDescent="0.35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318">
        <v>1213308</v>
      </c>
      <c r="O50" s="315">
        <f t="shared" si="1"/>
        <v>-172</v>
      </c>
      <c r="P50" s="144">
        <f t="shared" ref="P50:AB50" si="31">P51+AVERAGE($H$50:$K$50)</f>
        <v>382932.00834658189</v>
      </c>
      <c r="Q50" s="144">
        <f t="shared" si="31"/>
        <v>577416.91666666663</v>
      </c>
      <c r="R50" s="144">
        <f t="shared" si="31"/>
        <v>577416.91666666663</v>
      </c>
      <c r="S50" s="144">
        <f t="shared" si="31"/>
        <v>577416.91666666663</v>
      </c>
      <c r="T50" s="144">
        <f t="shared" si="31"/>
        <v>122750.25</v>
      </c>
      <c r="U50" s="144">
        <f t="shared" si="31"/>
        <v>77330.25</v>
      </c>
      <c r="V50" s="144">
        <f t="shared" si="31"/>
        <v>77330.25</v>
      </c>
      <c r="W50" s="144">
        <f t="shared" si="31"/>
        <v>77330.25</v>
      </c>
      <c r="X50" s="144">
        <f t="shared" si="31"/>
        <v>77330.25</v>
      </c>
      <c r="Y50" s="144">
        <f t="shared" si="31"/>
        <v>74830.25</v>
      </c>
      <c r="Z50" s="144">
        <f t="shared" si="31"/>
        <v>74830.25</v>
      </c>
      <c r="AA50" s="144">
        <f t="shared" si="31"/>
        <v>74830.25</v>
      </c>
      <c r="AB50" s="144">
        <f t="shared" si="31"/>
        <v>74830.25</v>
      </c>
      <c r="AC50" s="44"/>
      <c r="AD50" s="44"/>
      <c r="AE50" s="44">
        <f>AVERAGE(F50:I50)/1000</f>
        <v>73.464250000000007</v>
      </c>
      <c r="AF50" s="44"/>
      <c r="AG50" s="44"/>
      <c r="AH50" s="44"/>
      <c r="AO50" s="243"/>
    </row>
    <row r="51" spans="1:41" s="35" customFormat="1" x14ac:dyDescent="0.35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P51" si="32">M53+M54+M59</f>
        <v>1093900</v>
      </c>
      <c r="N51" s="116">
        <v>1093900</v>
      </c>
      <c r="O51" s="315">
        <f t="shared" si="1"/>
        <v>0</v>
      </c>
      <c r="P51" s="116">
        <f t="shared" si="32"/>
        <v>308101.75834658189</v>
      </c>
      <c r="Q51" s="116">
        <f>Q53+Q54+SUM(Q59:Q62)</f>
        <v>502586.66666666663</v>
      </c>
      <c r="R51" s="116">
        <f t="shared" ref="R51:X51" si="33">R53+R54+SUM(R59:R62)</f>
        <v>502586.66666666663</v>
      </c>
      <c r="S51" s="116">
        <f t="shared" si="33"/>
        <v>502586.66666666663</v>
      </c>
      <c r="T51" s="116">
        <f t="shared" si="33"/>
        <v>47920</v>
      </c>
      <c r="U51" s="116">
        <f t="shared" si="33"/>
        <v>2500</v>
      </c>
      <c r="V51" s="116">
        <f t="shared" si="33"/>
        <v>2500</v>
      </c>
      <c r="W51" s="116">
        <f t="shared" si="33"/>
        <v>2500</v>
      </c>
      <c r="X51" s="116">
        <f t="shared" si="33"/>
        <v>2500</v>
      </c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O51" s="243"/>
    </row>
    <row r="52" spans="1:41" s="35" customFormat="1" x14ac:dyDescent="0.35">
      <c r="A52" s="227" t="s">
        <v>339</v>
      </c>
      <c r="F52" s="199"/>
      <c r="G52" s="199"/>
      <c r="H52" s="199"/>
      <c r="I52" s="204"/>
      <c r="J52" s="204"/>
      <c r="K52" s="204"/>
      <c r="L52" s="204"/>
      <c r="M52" s="204"/>
      <c r="O52" s="315"/>
      <c r="P52" s="116"/>
      <c r="Q52" s="116"/>
      <c r="R52" s="116"/>
      <c r="S52" s="116"/>
      <c r="T52" s="116"/>
      <c r="U52" s="116"/>
      <c r="V52" s="116"/>
      <c r="W52" s="116"/>
      <c r="X52" s="116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O52" s="243"/>
    </row>
    <row r="53" spans="1:41" s="35" customFormat="1" x14ac:dyDescent="0.35">
      <c r="A53" s="282" t="s">
        <v>337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318">
        <v>865600</v>
      </c>
      <c r="O53" s="315">
        <f t="shared" si="1"/>
        <v>0</v>
      </c>
      <c r="P53" s="116">
        <f>'[1]Revised Add Factors'!D$13*1000</f>
        <v>282681.75834658189</v>
      </c>
      <c r="Q53" s="116"/>
      <c r="R53" s="116">
        <f>'[1]Revised Add Factors'!F$13*1000</f>
        <v>0</v>
      </c>
      <c r="S53" s="116">
        <f>'[1]Revised Add Factors'!G$13*1000</f>
        <v>0</v>
      </c>
      <c r="T53" s="116">
        <f>'[1]Revised Add Factors'!H$13*1000</f>
        <v>0</v>
      </c>
      <c r="U53" s="116"/>
      <c r="V53" s="116">
        <f>'[1]Revised Add Factors'!J$13*1000</f>
        <v>0</v>
      </c>
      <c r="W53" s="116">
        <f>'[1]Revised Add Factors'!K$13*1000</f>
        <v>0</v>
      </c>
      <c r="X53" s="116">
        <f>'[1]Revised Add Factors'!L$13*1000</f>
        <v>0</v>
      </c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O53" s="243"/>
    </row>
    <row r="54" spans="1:41" s="35" customFormat="1" ht="27.5" customHeight="1" x14ac:dyDescent="0.35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99">
        <f>SUM(N55:N57)</f>
        <v>228300</v>
      </c>
      <c r="O54" s="322">
        <f>N56-M56</f>
        <v>0</v>
      </c>
      <c r="P54" s="116">
        <v>25420</v>
      </c>
      <c r="Q54" s="116">
        <v>25420</v>
      </c>
      <c r="R54" s="116">
        <v>25420</v>
      </c>
      <c r="S54" s="116">
        <v>25420</v>
      </c>
      <c r="T54" s="116">
        <v>25420</v>
      </c>
      <c r="U54" s="116"/>
      <c r="V54" s="116">
        <f>'[1]Revised Add Factors'!J$14*1000</f>
        <v>0</v>
      </c>
      <c r="W54" s="116">
        <f>'[1]Revised Add Factors'!K$14*1000</f>
        <v>0</v>
      </c>
      <c r="X54" s="116">
        <f>'[1]Revised Add Factors'!L$14*1000</f>
        <v>0</v>
      </c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O54" s="243"/>
    </row>
    <row r="55" spans="1:41" s="187" customFormat="1" x14ac:dyDescent="0.35">
      <c r="A55" s="283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315">
        <v>15000</v>
      </c>
      <c r="O55" s="322">
        <f t="shared" si="1"/>
        <v>0</v>
      </c>
      <c r="P55" s="264"/>
      <c r="Q55" s="264"/>
      <c r="R55" s="264"/>
      <c r="S55" s="264"/>
      <c r="T55" s="264"/>
      <c r="U55" s="264"/>
      <c r="V55" s="264"/>
      <c r="W55" s="264"/>
      <c r="X55" s="264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O55" s="244"/>
    </row>
    <row r="56" spans="1:41" s="187" customFormat="1" x14ac:dyDescent="0.35">
      <c r="A56" s="283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319">
        <v>73300</v>
      </c>
      <c r="P56" s="264"/>
      <c r="Q56" s="264"/>
      <c r="R56" s="264"/>
      <c r="S56" s="264"/>
      <c r="T56" s="264"/>
      <c r="U56" s="264"/>
      <c r="V56" s="264"/>
      <c r="W56" s="264"/>
      <c r="X56" s="264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O56" s="244"/>
    </row>
    <row r="57" spans="1:41" s="187" customFormat="1" x14ac:dyDescent="0.35">
      <c r="A57" s="283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319">
        <v>140000</v>
      </c>
      <c r="O57" s="322">
        <f>N57-M57</f>
        <v>0</v>
      </c>
      <c r="P57" s="264"/>
      <c r="Q57" s="264"/>
      <c r="R57" s="264"/>
      <c r="S57" s="264"/>
      <c r="T57" s="264"/>
      <c r="U57" s="264"/>
      <c r="V57" s="264"/>
      <c r="W57" s="264"/>
      <c r="X57" s="264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O57" s="244"/>
    </row>
    <row r="58" spans="1:41" s="187" customFormat="1" x14ac:dyDescent="0.35">
      <c r="A58" s="227" t="s">
        <v>340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315"/>
      <c r="O58" s="315"/>
      <c r="P58" s="264"/>
      <c r="Q58" s="264"/>
      <c r="R58" s="264"/>
      <c r="S58" s="264"/>
      <c r="T58" s="264"/>
      <c r="U58" s="264"/>
      <c r="V58" s="264"/>
      <c r="W58" s="264"/>
      <c r="X58" s="264"/>
      <c r="Y58" s="189"/>
      <c r="Z58" s="189"/>
      <c r="AA58" s="189"/>
      <c r="AB58" s="189"/>
      <c r="AC58" s="189"/>
      <c r="AD58" s="189"/>
      <c r="AE58" s="189"/>
      <c r="AF58" s="189"/>
      <c r="AG58" s="189"/>
      <c r="AH58" s="189"/>
      <c r="AI58" s="189"/>
      <c r="AO58" s="244"/>
    </row>
    <row r="59" spans="1:41" s="285" customFormat="1" x14ac:dyDescent="0.35">
      <c r="A59" s="284" t="s">
        <v>338</v>
      </c>
      <c r="F59" s="287"/>
      <c r="G59" s="287"/>
      <c r="H59" s="287"/>
      <c r="I59" s="286"/>
      <c r="J59" s="286"/>
      <c r="K59" s="286"/>
      <c r="L59" s="286"/>
      <c r="M59" s="287"/>
      <c r="N59" s="317"/>
      <c r="O59" s="315"/>
      <c r="P59" s="292"/>
      <c r="Q59" s="292">
        <f>'Stimulus Round 2'!$C$2*4/3</f>
        <v>433333.33333333331</v>
      </c>
      <c r="R59" s="292">
        <f>'Stimulus Round 2'!$C$2*4/3</f>
        <v>433333.33333333331</v>
      </c>
      <c r="S59" s="292">
        <f>'Stimulus Round 2'!$C$2*4/3</f>
        <v>433333.33333333331</v>
      </c>
      <c r="T59" s="292"/>
      <c r="U59" s="292"/>
      <c r="V59" s="292"/>
      <c r="W59" s="292"/>
      <c r="X59" s="292"/>
      <c r="Y59" s="289"/>
      <c r="Z59" s="289"/>
      <c r="AA59" s="289"/>
      <c r="AB59" s="289"/>
      <c r="AC59" s="289"/>
      <c r="AD59" s="289"/>
      <c r="AE59" s="289"/>
      <c r="AF59" s="289"/>
      <c r="AG59" s="289"/>
      <c r="AH59" s="289"/>
      <c r="AI59" s="289"/>
      <c r="AO59" s="293"/>
    </row>
    <row r="60" spans="1:41" s="285" customFormat="1" x14ac:dyDescent="0.35">
      <c r="A60" s="284" t="s">
        <v>351</v>
      </c>
      <c r="F60" s="287"/>
      <c r="G60" s="287"/>
      <c r="H60" s="287"/>
      <c r="I60" s="286"/>
      <c r="J60" s="286"/>
      <c r="K60" s="286"/>
      <c r="L60" s="286"/>
      <c r="M60" s="287"/>
      <c r="N60" s="317"/>
      <c r="O60" s="315"/>
      <c r="P60" s="292"/>
      <c r="Q60" s="292">
        <f>'Stimulus Round 2'!$C$12*4/3</f>
        <v>21333.333333333332</v>
      </c>
      <c r="R60" s="292">
        <f>'Stimulus Round 2'!$C$12*4/3</f>
        <v>21333.333333333332</v>
      </c>
      <c r="S60" s="292">
        <f>'Stimulus Round 2'!$C$12*4/3</f>
        <v>21333.333333333332</v>
      </c>
      <c r="T60" s="292"/>
      <c r="U60" s="292"/>
      <c r="V60" s="292"/>
      <c r="W60" s="292"/>
      <c r="X60" s="292"/>
      <c r="Y60" s="289"/>
      <c r="Z60" s="289"/>
      <c r="AA60" s="289"/>
      <c r="AB60" s="289"/>
      <c r="AC60" s="289"/>
      <c r="AD60" s="289"/>
      <c r="AE60" s="289"/>
      <c r="AF60" s="289"/>
      <c r="AG60" s="289"/>
      <c r="AH60" s="289"/>
      <c r="AI60" s="289"/>
      <c r="AO60" s="293"/>
    </row>
    <row r="61" spans="1:41" s="285" customFormat="1" x14ac:dyDescent="0.35">
      <c r="A61" s="284" t="s">
        <v>285</v>
      </c>
      <c r="F61" s="287"/>
      <c r="G61" s="287"/>
      <c r="H61" s="287"/>
      <c r="I61" s="286"/>
      <c r="J61" s="286"/>
      <c r="K61" s="286"/>
      <c r="L61" s="286"/>
      <c r="M61" s="287"/>
      <c r="N61" s="317"/>
      <c r="O61" s="315"/>
      <c r="P61" s="292"/>
      <c r="Q61" s="292">
        <f>'Stimulus Round 2'!$C$18*4/4</f>
        <v>20000</v>
      </c>
      <c r="R61" s="292">
        <f>'Stimulus Round 2'!$C$18*4/4</f>
        <v>20000</v>
      </c>
      <c r="S61" s="292">
        <f>'Stimulus Round 2'!$C$18*4/4</f>
        <v>20000</v>
      </c>
      <c r="T61" s="292">
        <f>'Stimulus Round 2'!$C$18*4/4</f>
        <v>20000</v>
      </c>
      <c r="U61" s="292"/>
      <c r="V61" s="292"/>
      <c r="W61" s="292"/>
      <c r="X61" s="292"/>
      <c r="Y61" s="289"/>
      <c r="Z61" s="289"/>
      <c r="AA61" s="289"/>
      <c r="AB61" s="289"/>
      <c r="AC61" s="289"/>
      <c r="AD61" s="289"/>
      <c r="AE61" s="289"/>
      <c r="AF61" s="289"/>
      <c r="AG61" s="289"/>
      <c r="AH61" s="289"/>
      <c r="AI61" s="289"/>
      <c r="AO61" s="293"/>
    </row>
    <row r="62" spans="1:41" s="285" customFormat="1" x14ac:dyDescent="0.35">
      <c r="A62" s="284" t="s">
        <v>354</v>
      </c>
      <c r="F62" s="287"/>
      <c r="G62" s="287"/>
      <c r="H62" s="287"/>
      <c r="I62" s="286"/>
      <c r="J62" s="286"/>
      <c r="K62" s="286"/>
      <c r="L62" s="286"/>
      <c r="M62" s="287"/>
      <c r="N62" s="317"/>
      <c r="O62" s="315"/>
      <c r="P62" s="292"/>
      <c r="Q62" s="292">
        <f>'Stimulus Round 2'!$C$20*4/8</f>
        <v>2500</v>
      </c>
      <c r="R62" s="292">
        <f>'Stimulus Round 2'!$C$20*4/8</f>
        <v>2500</v>
      </c>
      <c r="S62" s="292">
        <f>'Stimulus Round 2'!$C$20*4/8</f>
        <v>2500</v>
      </c>
      <c r="T62" s="292">
        <f>'Stimulus Round 2'!$C$20*4/8</f>
        <v>2500</v>
      </c>
      <c r="U62" s="292">
        <f>'Stimulus Round 2'!$C$20*4/8</f>
        <v>2500</v>
      </c>
      <c r="V62" s="292">
        <f>'Stimulus Round 2'!$C$20*4/8</f>
        <v>2500</v>
      </c>
      <c r="W62" s="292">
        <f>'Stimulus Round 2'!$C$20*4/8</f>
        <v>2500</v>
      </c>
      <c r="X62" s="292">
        <f>'Stimulus Round 2'!$C$20*4/8</f>
        <v>2500</v>
      </c>
      <c r="Y62" s="289"/>
      <c r="Z62" s="289"/>
      <c r="AA62" s="289"/>
      <c r="AB62" s="289"/>
      <c r="AC62" s="289"/>
      <c r="AD62" s="289"/>
      <c r="AE62" s="289"/>
      <c r="AF62" s="289"/>
      <c r="AG62" s="289"/>
      <c r="AH62" s="289"/>
      <c r="AI62" s="289"/>
      <c r="AO62" s="293"/>
    </row>
    <row r="63" spans="1:41" s="35" customFormat="1" x14ac:dyDescent="0.35">
      <c r="A63" s="134"/>
      <c r="F63" s="199"/>
      <c r="G63" s="199"/>
      <c r="H63" s="199"/>
      <c r="I63" s="204"/>
      <c r="J63" s="204"/>
      <c r="K63" s="204"/>
      <c r="L63" s="204"/>
      <c r="M63" s="199"/>
      <c r="N63" s="315"/>
      <c r="O63" s="315"/>
      <c r="P63" s="116"/>
      <c r="Q63" s="116"/>
      <c r="R63" s="116"/>
      <c r="S63" s="116"/>
      <c r="T63" s="116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O63" s="243"/>
    </row>
    <row r="64" spans="1:41" s="35" customFormat="1" x14ac:dyDescent="0.35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315">
        <v>728172</v>
      </c>
      <c r="O64" s="315">
        <f t="shared" si="1"/>
        <v>0</v>
      </c>
      <c r="P64" s="116">
        <f>P66+(SUM($M$68:$T$68))/4/6*4</f>
        <v>325924.37754843186</v>
      </c>
      <c r="Q64" s="116">
        <f>Q66+(SUM($M$68:$T$68))/4/6*4</f>
        <v>326692.69489482319</v>
      </c>
      <c r="R64" s="116">
        <f>R66+(SUM($M$68:$T$68))/4/6*4</f>
        <v>327574.37053822295</v>
      </c>
      <c r="S64" s="116">
        <f>S66+(SUM($M$68:$T$68))/4/6*4</f>
        <v>328607.19057763403</v>
      </c>
      <c r="T64" s="116">
        <f>T66+(SUM($M$68:$T$68))/4/6*4</f>
        <v>330096.99489026307</v>
      </c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>
        <f>AVERAGE(F64:I64)/1000</f>
        <v>600.89149999999995</v>
      </c>
      <c r="AF64" s="44"/>
      <c r="AG64" s="44"/>
      <c r="AH64" s="44"/>
      <c r="AO64" s="243"/>
    </row>
    <row r="65" spans="1:41" s="35" customFormat="1" x14ac:dyDescent="0.35">
      <c r="A65" s="35" t="s">
        <v>229</v>
      </c>
      <c r="F65" s="205">
        <f t="shared" ref="F65:M65" si="34">F64-F87</f>
        <v>196851</v>
      </c>
      <c r="G65" s="205">
        <f t="shared" si="34"/>
        <v>189684</v>
      </c>
      <c r="H65" s="205">
        <f t="shared" si="34"/>
        <v>192875</v>
      </c>
      <c r="I65" s="205">
        <f t="shared" si="34"/>
        <v>191507</v>
      </c>
      <c r="J65" s="205">
        <f t="shared" si="34"/>
        <v>203997</v>
      </c>
      <c r="K65" s="205">
        <f t="shared" si="34"/>
        <v>204376</v>
      </c>
      <c r="L65" s="205">
        <f t="shared" si="34"/>
        <v>884250</v>
      </c>
      <c r="M65" s="199">
        <f t="shared" si="34"/>
        <v>242100</v>
      </c>
      <c r="N65" s="315">
        <v>242100</v>
      </c>
      <c r="O65" s="315">
        <f t="shared" si="1"/>
        <v>0</v>
      </c>
      <c r="P65" s="116"/>
      <c r="Q65" s="116"/>
      <c r="R65" s="116"/>
      <c r="S65" s="116"/>
      <c r="T65" s="116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O65" s="243"/>
    </row>
    <row r="66" spans="1:41" s="35" customFormat="1" x14ac:dyDescent="0.35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7">
        <f>L66*(1+M82)</f>
        <v>189980.38194444444</v>
      </c>
      <c r="N66" s="320">
        <v>189950.61436735778</v>
      </c>
      <c r="O66" s="315">
        <f t="shared" si="1"/>
        <v>-29.767577086662641</v>
      </c>
      <c r="P66" s="116">
        <f>M66*(1+P82)</f>
        <v>191424.37754843186</v>
      </c>
      <c r="Q66" s="116">
        <f t="shared" ref="Q66:T66" si="35">P66*(1+Q82)</f>
        <v>192192.69489482319</v>
      </c>
      <c r="R66" s="116">
        <f t="shared" si="35"/>
        <v>193074.37053822298</v>
      </c>
      <c r="S66" s="116">
        <f t="shared" si="35"/>
        <v>194107.19057763406</v>
      </c>
      <c r="T66" s="116">
        <f t="shared" si="35"/>
        <v>195596.9948902631</v>
      </c>
      <c r="U66" s="116">
        <f t="shared" ref="U66" si="36">T66*(1+U82)</f>
        <v>197293.87850499584</v>
      </c>
      <c r="V66" s="116">
        <f t="shared" ref="V66" si="37">U66*(1+V82)</f>
        <v>199012.10563686007</v>
      </c>
      <c r="W66" s="116">
        <f t="shared" ref="W66" si="38">V66*(1+W82)</f>
        <v>200920.8485534183</v>
      </c>
      <c r="X66" s="116">
        <f t="shared" ref="X66:Z66" si="39">W66*(1+X82)</f>
        <v>202676.99647715053</v>
      </c>
      <c r="Y66" s="116">
        <f t="shared" si="39"/>
        <v>204627.50241134351</v>
      </c>
      <c r="Z66" s="116">
        <f t="shared" si="39"/>
        <v>206417.08729938377</v>
      </c>
      <c r="AA66" s="116">
        <f t="shared" ref="AA66" si="40">Z66*(1+AA82)</f>
        <v>208402.85391171087</v>
      </c>
      <c r="AB66" s="116">
        <f t="shared" ref="AB66" si="41">AA66*(1+AB82)</f>
        <v>210411.47948991408</v>
      </c>
      <c r="AC66" s="44"/>
      <c r="AD66" s="44"/>
      <c r="AE66" s="44"/>
      <c r="AF66" s="44"/>
      <c r="AG66" s="44"/>
      <c r="AH66" s="44"/>
      <c r="AI66" s="44"/>
      <c r="AO66" s="243"/>
    </row>
    <row r="67" spans="1:41" s="138" customFormat="1" x14ac:dyDescent="0.35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315">
        <v>38500</v>
      </c>
      <c r="O67" s="315">
        <f t="shared" si="1"/>
        <v>0</v>
      </c>
      <c r="P67" s="139"/>
      <c r="Q67" s="139"/>
      <c r="R67" s="139"/>
      <c r="S67" s="139"/>
      <c r="T67" s="139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O67" s="246"/>
    </row>
    <row r="68" spans="1:41" s="35" customFormat="1" ht="29" x14ac:dyDescent="0.35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315">
        <v>97000</v>
      </c>
      <c r="O68" s="315">
        <f t="shared" si="1"/>
        <v>0</v>
      </c>
      <c r="P68" s="116">
        <f>SUM(P70:P72)+P73</f>
        <v>107000</v>
      </c>
      <c r="Q68" s="116">
        <f>SUM(Q70:Q72)+Q73</f>
        <v>149000</v>
      </c>
      <c r="R68" s="116">
        <f t="shared" ref="R68:AB68" si="42">SUM(R70:R72)+R73</f>
        <v>121000</v>
      </c>
      <c r="S68" s="116">
        <f t="shared" si="42"/>
        <v>121000</v>
      </c>
      <c r="T68" s="116">
        <f t="shared" si="42"/>
        <v>115000</v>
      </c>
      <c r="U68" s="116">
        <f t="shared" si="42"/>
        <v>109000</v>
      </c>
      <c r="V68" s="116">
        <f t="shared" si="42"/>
        <v>109000</v>
      </c>
      <c r="W68" s="116">
        <f t="shared" si="42"/>
        <v>109000</v>
      </c>
      <c r="X68" s="116">
        <f t="shared" si="42"/>
        <v>109000</v>
      </c>
      <c r="Y68" s="116">
        <f t="shared" si="42"/>
        <v>109000</v>
      </c>
      <c r="Z68" s="116">
        <f t="shared" si="42"/>
        <v>59000</v>
      </c>
      <c r="AA68" s="116">
        <f t="shared" si="42"/>
        <v>59000</v>
      </c>
      <c r="AB68" s="116">
        <f t="shared" si="42"/>
        <v>59000</v>
      </c>
      <c r="AC68" s="116"/>
      <c r="AD68" s="116"/>
      <c r="AE68" s="44"/>
      <c r="AF68" s="44"/>
      <c r="AG68" s="44"/>
      <c r="AH68" s="44"/>
      <c r="AI68" s="44"/>
      <c r="AO68" s="243"/>
    </row>
    <row r="69" spans="1:41" s="35" customFormat="1" x14ac:dyDescent="0.35">
      <c r="A69" s="227" t="s">
        <v>343</v>
      </c>
      <c r="F69" s="199"/>
      <c r="G69" s="199"/>
      <c r="H69" s="199"/>
      <c r="I69" s="204"/>
      <c r="J69" s="204"/>
      <c r="K69" s="204"/>
      <c r="L69" s="208"/>
      <c r="M69" s="199"/>
      <c r="N69" s="315"/>
      <c r="O69" s="315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O69" s="243"/>
    </row>
    <row r="70" spans="1:41" s="35" customFormat="1" x14ac:dyDescent="0.35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315">
        <v>45000</v>
      </c>
      <c r="O70" s="315">
        <f t="shared" ref="O70:O107" si="43">N70-M70</f>
        <v>0</v>
      </c>
      <c r="P70" s="116">
        <v>60000</v>
      </c>
      <c r="Q70" s="116">
        <v>60000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116">
        <v>50000</v>
      </c>
      <c r="Y70" s="116">
        <v>50000</v>
      </c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O70" s="243"/>
    </row>
    <row r="71" spans="1:41" s="35" customFormat="1" x14ac:dyDescent="0.35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315">
        <v>27000</v>
      </c>
      <c r="O71" s="315">
        <f t="shared" si="43"/>
        <v>0</v>
      </c>
      <c r="P71" s="116">
        <v>12000</v>
      </c>
      <c r="Q71" s="116">
        <v>12000</v>
      </c>
      <c r="R71" s="116">
        <v>12000</v>
      </c>
      <c r="S71" s="116">
        <v>12000</v>
      </c>
      <c r="T71" s="116">
        <v>6000</v>
      </c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O71" s="243"/>
    </row>
    <row r="72" spans="1:41" s="35" customFormat="1" x14ac:dyDescent="0.35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315">
        <v>25000</v>
      </c>
      <c r="O72" s="315">
        <f t="shared" si="43"/>
        <v>0</v>
      </c>
      <c r="P72" s="116">
        <v>35000</v>
      </c>
      <c r="Q72" s="116">
        <v>18000</v>
      </c>
      <c r="R72" s="116">
        <v>0</v>
      </c>
      <c r="S72" s="116">
        <v>0</v>
      </c>
      <c r="T72" s="116">
        <v>0</v>
      </c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O72" s="243"/>
    </row>
    <row r="73" spans="1:41" s="35" customFormat="1" x14ac:dyDescent="0.35">
      <c r="A73" s="228" t="s">
        <v>344</v>
      </c>
      <c r="F73" s="199"/>
      <c r="G73" s="199"/>
      <c r="H73" s="199"/>
      <c r="I73" s="204"/>
      <c r="J73" s="204"/>
      <c r="K73" s="204"/>
      <c r="L73" s="204"/>
      <c r="M73" s="199"/>
      <c r="N73" s="315"/>
      <c r="O73" s="315"/>
      <c r="P73" s="116"/>
      <c r="Q73" s="116">
        <f>SUM(Q74:Q77)</f>
        <v>59000</v>
      </c>
      <c r="R73" s="116">
        <f t="shared" ref="R73:AB73" si="44">SUM(R74:R77)</f>
        <v>59000</v>
      </c>
      <c r="S73" s="116">
        <f t="shared" si="44"/>
        <v>59000</v>
      </c>
      <c r="T73" s="116">
        <f t="shared" si="44"/>
        <v>59000</v>
      </c>
      <c r="U73" s="116">
        <f t="shared" si="44"/>
        <v>59000</v>
      </c>
      <c r="V73" s="116">
        <f t="shared" si="44"/>
        <v>59000</v>
      </c>
      <c r="W73" s="116">
        <f t="shared" si="44"/>
        <v>59000</v>
      </c>
      <c r="X73" s="116">
        <f t="shared" si="44"/>
        <v>59000</v>
      </c>
      <c r="Y73" s="116">
        <f t="shared" si="44"/>
        <v>59000</v>
      </c>
      <c r="Z73" s="116">
        <f t="shared" si="44"/>
        <v>59000</v>
      </c>
      <c r="AA73" s="116">
        <f t="shared" si="44"/>
        <v>59000</v>
      </c>
      <c r="AB73" s="116">
        <f t="shared" si="44"/>
        <v>59000</v>
      </c>
      <c r="AC73" s="116"/>
      <c r="AD73" s="44"/>
      <c r="AE73" s="44"/>
      <c r="AF73" s="44"/>
      <c r="AG73" s="44"/>
      <c r="AH73" s="44"/>
      <c r="AI73" s="44"/>
      <c r="AO73" s="243"/>
    </row>
    <row r="74" spans="1:41" s="285" customFormat="1" x14ac:dyDescent="0.35">
      <c r="A74" s="295" t="s">
        <v>345</v>
      </c>
      <c r="F74" s="287"/>
      <c r="G74" s="287"/>
      <c r="H74" s="287"/>
      <c r="I74" s="286"/>
      <c r="J74" s="286"/>
      <c r="K74" s="286"/>
      <c r="L74" s="286"/>
      <c r="M74" s="287"/>
      <c r="N74" s="317"/>
      <c r="O74" s="315"/>
      <c r="P74" s="292"/>
      <c r="Q74" s="292">
        <f>'Stimulus Round 2'!$C$13*4/12</f>
        <v>9666.6666666666661</v>
      </c>
      <c r="R74" s="292">
        <f>'Stimulus Round 2'!$C$13*4/12</f>
        <v>9666.6666666666661</v>
      </c>
      <c r="S74" s="292">
        <f>'Stimulus Round 2'!$C$13*4/12</f>
        <v>9666.6666666666661</v>
      </c>
      <c r="T74" s="292">
        <f>'Stimulus Round 2'!$C$13*4/12</f>
        <v>9666.6666666666661</v>
      </c>
      <c r="U74" s="292">
        <f>'Stimulus Round 2'!$C$13*4/12</f>
        <v>9666.6666666666661</v>
      </c>
      <c r="V74" s="292">
        <f>'Stimulus Round 2'!$C$13*4/12</f>
        <v>9666.6666666666661</v>
      </c>
      <c r="W74" s="292">
        <f>'Stimulus Round 2'!$C$13*4/12</f>
        <v>9666.6666666666661</v>
      </c>
      <c r="X74" s="292">
        <f>'Stimulus Round 2'!$C$13*4/12</f>
        <v>9666.6666666666661</v>
      </c>
      <c r="Y74" s="292">
        <f>'Stimulus Round 2'!$C$13*4/12</f>
        <v>9666.6666666666661</v>
      </c>
      <c r="Z74" s="292">
        <f>'Stimulus Round 2'!$C$13*4/12</f>
        <v>9666.6666666666661</v>
      </c>
      <c r="AA74" s="292">
        <f>'Stimulus Round 2'!$C$13*4/12</f>
        <v>9666.6666666666661</v>
      </c>
      <c r="AB74" s="292">
        <f>'Stimulus Round 2'!$C$13*4/12</f>
        <v>9666.6666666666661</v>
      </c>
      <c r="AC74" s="289"/>
      <c r="AD74" s="289"/>
      <c r="AE74" s="289"/>
      <c r="AF74" s="289"/>
      <c r="AG74" s="289"/>
      <c r="AH74" s="289"/>
      <c r="AI74" s="289"/>
      <c r="AO74" s="293"/>
    </row>
    <row r="75" spans="1:41" s="285" customFormat="1" x14ac:dyDescent="0.35">
      <c r="A75" s="295" t="s">
        <v>346</v>
      </c>
      <c r="F75" s="287"/>
      <c r="G75" s="287"/>
      <c r="H75" s="287"/>
      <c r="I75" s="286"/>
      <c r="J75" s="286"/>
      <c r="K75" s="286"/>
      <c r="L75" s="286"/>
      <c r="M75" s="287"/>
      <c r="N75" s="317"/>
      <c r="O75" s="315"/>
      <c r="P75" s="292"/>
      <c r="Q75" s="292">
        <f>'Stimulus Round 2'!$C$5*4/12</f>
        <v>27333.333333333332</v>
      </c>
      <c r="R75" s="292">
        <f>'Stimulus Round 2'!$C$5*4/12</f>
        <v>27333.333333333332</v>
      </c>
      <c r="S75" s="292">
        <f>'Stimulus Round 2'!$C$5*4/12</f>
        <v>27333.333333333332</v>
      </c>
      <c r="T75" s="292">
        <f>'Stimulus Round 2'!$C$5*4/12</f>
        <v>27333.333333333332</v>
      </c>
      <c r="U75" s="292">
        <f>'Stimulus Round 2'!$C$5*4/12</f>
        <v>27333.333333333332</v>
      </c>
      <c r="V75" s="292">
        <f>'Stimulus Round 2'!$C$5*4/12</f>
        <v>27333.333333333332</v>
      </c>
      <c r="W75" s="292">
        <f>'Stimulus Round 2'!$C$5*4/12</f>
        <v>27333.333333333332</v>
      </c>
      <c r="X75" s="292">
        <f>'Stimulus Round 2'!$C$5*4/12</f>
        <v>27333.333333333332</v>
      </c>
      <c r="Y75" s="292">
        <f>'Stimulus Round 2'!$C$5*4/12</f>
        <v>27333.333333333332</v>
      </c>
      <c r="Z75" s="292">
        <f>'Stimulus Round 2'!$C$5*4/12</f>
        <v>27333.333333333332</v>
      </c>
      <c r="AA75" s="292">
        <f>'Stimulus Round 2'!$C$5*4/12</f>
        <v>27333.333333333332</v>
      </c>
      <c r="AB75" s="292">
        <f>'Stimulus Round 2'!$C$5*4/12</f>
        <v>27333.333333333332</v>
      </c>
      <c r="AC75" s="289"/>
      <c r="AD75" s="289"/>
      <c r="AE75" s="289"/>
      <c r="AF75" s="289"/>
      <c r="AG75" s="289"/>
      <c r="AH75" s="289"/>
      <c r="AI75" s="289"/>
      <c r="AO75" s="293"/>
    </row>
    <row r="76" spans="1:41" s="285" customFormat="1" x14ac:dyDescent="0.35">
      <c r="A76" s="295" t="s">
        <v>350</v>
      </c>
      <c r="F76" s="287"/>
      <c r="G76" s="287"/>
      <c r="H76" s="287"/>
      <c r="I76" s="286"/>
      <c r="J76" s="286"/>
      <c r="K76" s="286"/>
      <c r="L76" s="286"/>
      <c r="M76" s="287"/>
      <c r="N76" s="317"/>
      <c r="O76" s="315"/>
      <c r="P76" s="292"/>
      <c r="Q76" s="292">
        <f>'Stimulus Round 2'!$C$10*4/12</f>
        <v>4000</v>
      </c>
      <c r="R76" s="292">
        <f>'Stimulus Round 2'!$C$10*4/12</f>
        <v>4000</v>
      </c>
      <c r="S76" s="292">
        <f>'Stimulus Round 2'!$C$10*4/12</f>
        <v>4000</v>
      </c>
      <c r="T76" s="292">
        <f>'Stimulus Round 2'!$C$10*4/12</f>
        <v>4000</v>
      </c>
      <c r="U76" s="292">
        <f>'Stimulus Round 2'!$C$10*4/12</f>
        <v>4000</v>
      </c>
      <c r="V76" s="292">
        <f>'Stimulus Round 2'!$C$10*4/12</f>
        <v>4000</v>
      </c>
      <c r="W76" s="292">
        <f>'Stimulus Round 2'!$C$10*4/12</f>
        <v>4000</v>
      </c>
      <c r="X76" s="292">
        <f>'Stimulus Round 2'!$C$10*4/12</f>
        <v>4000</v>
      </c>
      <c r="Y76" s="292">
        <f>'Stimulus Round 2'!$C$10*4/12</f>
        <v>4000</v>
      </c>
      <c r="Z76" s="292">
        <f>'Stimulus Round 2'!$C$10*4/12</f>
        <v>4000</v>
      </c>
      <c r="AA76" s="292">
        <f>'Stimulus Round 2'!$C$10*4/12</f>
        <v>4000</v>
      </c>
      <c r="AB76" s="292">
        <f>'Stimulus Round 2'!$C$10*4/12</f>
        <v>4000</v>
      </c>
      <c r="AC76" s="289"/>
      <c r="AD76" s="289"/>
      <c r="AE76" s="289"/>
      <c r="AF76" s="289"/>
      <c r="AG76" s="289"/>
      <c r="AH76" s="289"/>
      <c r="AI76" s="289"/>
      <c r="AO76" s="293"/>
    </row>
    <row r="77" spans="1:41" s="285" customFormat="1" x14ac:dyDescent="0.35">
      <c r="A77" s="295" t="s">
        <v>352</v>
      </c>
      <c r="F77" s="287"/>
      <c r="G77" s="287"/>
      <c r="H77" s="287"/>
      <c r="I77" s="286"/>
      <c r="J77" s="286"/>
      <c r="K77" s="286"/>
      <c r="L77" s="286"/>
      <c r="M77" s="287"/>
      <c r="N77" s="317"/>
      <c r="O77" s="315"/>
      <c r="P77" s="292"/>
      <c r="Q77" s="292">
        <f>'Stimulus Round 2'!$C$16*4/12</f>
        <v>18000</v>
      </c>
      <c r="R77" s="292">
        <f>'Stimulus Round 2'!$C$16*4/12</f>
        <v>18000</v>
      </c>
      <c r="S77" s="292">
        <f>'Stimulus Round 2'!$C$16*4/12</f>
        <v>18000</v>
      </c>
      <c r="T77" s="292">
        <f>'Stimulus Round 2'!$C$16*4/12</f>
        <v>18000</v>
      </c>
      <c r="U77" s="292">
        <f>'Stimulus Round 2'!$C$16*4/12</f>
        <v>18000</v>
      </c>
      <c r="V77" s="292">
        <f>'Stimulus Round 2'!$C$16*4/12</f>
        <v>18000</v>
      </c>
      <c r="W77" s="292">
        <f>'Stimulus Round 2'!$C$16*4/12</f>
        <v>18000</v>
      </c>
      <c r="X77" s="292">
        <f>'Stimulus Round 2'!$C$16*4/12</f>
        <v>18000</v>
      </c>
      <c r="Y77" s="292">
        <f>'Stimulus Round 2'!$C$16*4/12</f>
        <v>18000</v>
      </c>
      <c r="Z77" s="292">
        <f>'Stimulus Round 2'!$C$16*4/12</f>
        <v>18000</v>
      </c>
      <c r="AA77" s="292">
        <f>'Stimulus Round 2'!$C$16*4/12</f>
        <v>18000</v>
      </c>
      <c r="AB77" s="292">
        <f>'Stimulus Round 2'!$C$16*4/12</f>
        <v>18000</v>
      </c>
      <c r="AC77" s="289"/>
      <c r="AD77" s="289"/>
      <c r="AE77" s="289"/>
      <c r="AF77" s="289"/>
      <c r="AG77" s="289"/>
      <c r="AH77" s="289"/>
      <c r="AI77" s="289"/>
      <c r="AO77" s="293"/>
    </row>
    <row r="78" spans="1:41" s="35" customFormat="1" x14ac:dyDescent="0.35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AB78" si="45">M66+M68</f>
        <v>286980.38194444444</v>
      </c>
      <c r="N78" s="315">
        <v>286950.6143673578</v>
      </c>
      <c r="O78" s="315">
        <f t="shared" si="43"/>
        <v>-29.767577086633537</v>
      </c>
      <c r="P78" s="144">
        <f t="shared" si="45"/>
        <v>298424.37754843186</v>
      </c>
      <c r="Q78" s="144">
        <f t="shared" si="45"/>
        <v>341192.69489482319</v>
      </c>
      <c r="R78" s="144">
        <f t="shared" si="45"/>
        <v>314074.37053822295</v>
      </c>
      <c r="S78" s="144">
        <f t="shared" si="45"/>
        <v>315107.19057763403</v>
      </c>
      <c r="T78" s="144">
        <f t="shared" si="45"/>
        <v>310596.99489026307</v>
      </c>
      <c r="U78" s="144">
        <f t="shared" si="45"/>
        <v>306293.87850499584</v>
      </c>
      <c r="V78" s="144">
        <f t="shared" si="45"/>
        <v>308012.10563686007</v>
      </c>
      <c r="W78" s="144">
        <f t="shared" si="45"/>
        <v>309920.8485534183</v>
      </c>
      <c r="X78" s="144">
        <f t="shared" si="45"/>
        <v>311676.99647715053</v>
      </c>
      <c r="Y78" s="144">
        <f t="shared" si="45"/>
        <v>313627.50241134351</v>
      </c>
      <c r="Z78" s="144">
        <f t="shared" si="45"/>
        <v>265417.08729938377</v>
      </c>
      <c r="AA78" s="144">
        <f t="shared" si="45"/>
        <v>267402.8539117109</v>
      </c>
      <c r="AB78" s="144">
        <f t="shared" si="45"/>
        <v>269411.47948991408</v>
      </c>
      <c r="AC78" s="44"/>
      <c r="AD78" s="44"/>
      <c r="AE78" s="44"/>
      <c r="AF78" s="44"/>
      <c r="AG78" s="44"/>
      <c r="AH78" s="44"/>
      <c r="AI78" s="44"/>
      <c r="AO78" s="243"/>
    </row>
    <row r="79" spans="1:41" s="35" customFormat="1" x14ac:dyDescent="0.35">
      <c r="F79" s="199"/>
      <c r="G79" s="199"/>
      <c r="H79" s="199"/>
      <c r="I79" s="199"/>
      <c r="J79" s="199"/>
      <c r="K79" s="199"/>
      <c r="L79" s="205"/>
      <c r="M79" s="199"/>
      <c r="N79" s="315"/>
      <c r="O79" s="315"/>
      <c r="P79" s="135"/>
      <c r="Q79" s="135"/>
      <c r="R79" s="135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O79" s="243"/>
    </row>
    <row r="80" spans="1:41" s="35" customFormat="1" x14ac:dyDescent="0.35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315">
        <v>1335.3219999999999</v>
      </c>
      <c r="O80" s="315">
        <f t="shared" si="43"/>
        <v>0.18899999999985084</v>
      </c>
      <c r="P80" s="116"/>
      <c r="Q80" s="116"/>
      <c r="R80" s="116"/>
      <c r="S80" s="116"/>
      <c r="T80" s="116"/>
      <c r="U80" s="116"/>
      <c r="V80" s="116"/>
      <c r="W80" s="116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K80" s="44"/>
      <c r="AL80" s="44"/>
      <c r="AM80" s="44"/>
      <c r="AN80" s="44"/>
      <c r="AO80" s="245"/>
    </row>
    <row r="81" spans="1:41" s="35" customFormat="1" x14ac:dyDescent="0.35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 s="315">
        <v>1486.8019999999999</v>
      </c>
      <c r="O81" s="315">
        <f t="shared" si="43"/>
        <v>-0.23300000000017462</v>
      </c>
      <c r="P81">
        <v>1498.3375986209639</v>
      </c>
      <c r="Q81">
        <v>1504.3514552807801</v>
      </c>
      <c r="R81">
        <v>1511.252602267454</v>
      </c>
      <c r="S81">
        <v>1519.3368030232709</v>
      </c>
      <c r="T81">
        <v>1530.997960524671</v>
      </c>
      <c r="U81">
        <v>1544.2799915439159</v>
      </c>
      <c r="V81">
        <v>1557.72908484966</v>
      </c>
      <c r="W81">
        <v>1572.6694039177321</v>
      </c>
      <c r="X81">
        <v>1586.4153149483291</v>
      </c>
      <c r="Y81">
        <v>1601.682526026475</v>
      </c>
      <c r="Z81">
        <v>1615.690158481731</v>
      </c>
      <c r="AA81">
        <v>1631.2333657547081</v>
      </c>
      <c r="AB81">
        <v>1646.9554971985581</v>
      </c>
      <c r="AC81"/>
      <c r="AD81"/>
      <c r="AG81" s="44"/>
      <c r="AH81" s="44"/>
      <c r="AI81" s="44"/>
      <c r="AK81" s="44"/>
      <c r="AL81" s="44"/>
      <c r="AM81" s="44"/>
      <c r="AN81" s="44"/>
      <c r="AO81" s="245"/>
    </row>
    <row r="82" spans="1:41" s="187" customFormat="1" x14ac:dyDescent="0.35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316">
        <v>-1.1960393407761893E-2</v>
      </c>
      <c r="O82" s="315">
        <f t="shared" si="43"/>
        <v>-1.548378522063798E-4</v>
      </c>
      <c r="P82" s="188">
        <f>P81/M81-1</f>
        <v>7.6007616639579556E-3</v>
      </c>
      <c r="Q82" s="188">
        <f t="shared" ref="Q82:X82" si="46">Q81/P81-1</f>
        <v>4.0136860113175743E-3</v>
      </c>
      <c r="R82" s="188">
        <f t="shared" si="46"/>
        <v>4.5874565830001934E-3</v>
      </c>
      <c r="S82" s="188">
        <f t="shared" si="46"/>
        <v>5.349337856350056E-3</v>
      </c>
      <c r="T82" s="188">
        <f t="shared" si="46"/>
        <v>7.6751629251632369E-3</v>
      </c>
      <c r="U82" s="188">
        <f t="shared" si="46"/>
        <v>8.6754073889772076E-3</v>
      </c>
      <c r="V82" s="188">
        <f t="shared" si="46"/>
        <v>8.7089733593570529E-3</v>
      </c>
      <c r="W82" s="188">
        <f t="shared" si="46"/>
        <v>9.5910894990536288E-3</v>
      </c>
      <c r="X82" s="188">
        <f t="shared" si="46"/>
        <v>8.7404962520121199E-3</v>
      </c>
      <c r="Y82" s="188">
        <f t="shared" ref="Y82" si="47">Y81/X81-1</f>
        <v>9.6237163965120498E-3</v>
      </c>
      <c r="Z82" s="188">
        <f t="shared" ref="Z82" si="48">Z81/Y81-1</f>
        <v>8.7455736250097171E-3</v>
      </c>
      <c r="AA82" s="188">
        <f>AA81/Z81-1</f>
        <v>9.6201658414400981E-3</v>
      </c>
      <c r="AB82" s="188">
        <f t="shared" ref="AB82" si="49">AB81/AA81-1</f>
        <v>9.6381865243273523E-3</v>
      </c>
      <c r="AC82" s="188"/>
      <c r="AD82" s="188"/>
      <c r="AG82" s="189"/>
      <c r="AH82" s="189"/>
      <c r="AI82" s="189"/>
      <c r="AK82" s="189"/>
      <c r="AL82" s="189"/>
      <c r="AM82" s="189"/>
      <c r="AN82" s="189"/>
      <c r="AO82" s="247"/>
    </row>
    <row r="83" spans="1:41" s="187" customFormat="1" x14ac:dyDescent="0.35">
      <c r="A83" s="114" t="s">
        <v>359</v>
      </c>
      <c r="F83" s="209"/>
      <c r="G83" s="209"/>
      <c r="H83" s="209"/>
      <c r="I83" s="209"/>
      <c r="J83" s="209"/>
      <c r="K83" s="209"/>
      <c r="L83" s="209"/>
      <c r="M83" s="202"/>
      <c r="N83" s="316"/>
      <c r="O83" s="315"/>
      <c r="P83" s="188"/>
      <c r="Q83" s="102">
        <f>SUM(Q84:Q86)</f>
        <v>71400</v>
      </c>
      <c r="R83" s="102">
        <f t="shared" ref="R83:T83" si="50">SUM(R84:R86)</f>
        <v>71400</v>
      </c>
      <c r="S83" s="102">
        <f t="shared" si="50"/>
        <v>30600</v>
      </c>
      <c r="T83" s="102">
        <f t="shared" si="50"/>
        <v>30600</v>
      </c>
      <c r="U83" s="188"/>
      <c r="V83" s="188"/>
      <c r="W83" s="188"/>
      <c r="X83" s="188"/>
      <c r="Y83" s="188"/>
      <c r="Z83" s="188"/>
      <c r="AA83" s="188"/>
      <c r="AB83" s="188"/>
      <c r="AC83" s="188"/>
      <c r="AD83" s="188"/>
      <c r="AG83" s="189"/>
      <c r="AH83" s="189"/>
      <c r="AI83" s="189"/>
      <c r="AK83" s="189"/>
      <c r="AL83" s="189"/>
      <c r="AM83" s="189"/>
      <c r="AN83" s="189"/>
      <c r="AO83" s="247"/>
    </row>
    <row r="84" spans="1:41" s="300" customFormat="1" x14ac:dyDescent="0.35">
      <c r="A84" s="299" t="s">
        <v>355</v>
      </c>
      <c r="F84" s="301"/>
      <c r="G84" s="301"/>
      <c r="H84" s="301"/>
      <c r="I84" s="301"/>
      <c r="J84" s="301"/>
      <c r="K84" s="301"/>
      <c r="L84" s="301"/>
      <c r="M84" s="302"/>
      <c r="N84" s="321"/>
      <c r="O84" s="315"/>
      <c r="P84" s="303"/>
      <c r="Q84" s="292">
        <f>('Stimulus Round 2'!$C7*0.7*4)/2</f>
        <v>30799.999999999996</v>
      </c>
      <c r="R84" s="292">
        <f>('Stimulus Round 2'!$C7*0.7*4)/2</f>
        <v>30799.999999999996</v>
      </c>
      <c r="S84" s="292">
        <f>('Stimulus Round 2'!$C7*0.3*4)/2</f>
        <v>13200</v>
      </c>
      <c r="T84" s="292">
        <f>('Stimulus Round 2'!$C7*0.3*4)/2</f>
        <v>13200</v>
      </c>
      <c r="U84" s="303"/>
      <c r="V84" s="303"/>
      <c r="W84" s="303"/>
      <c r="X84" s="303"/>
      <c r="Y84" s="303"/>
      <c r="Z84" s="303"/>
      <c r="AA84" s="303"/>
      <c r="AB84" s="303"/>
      <c r="AC84" s="303"/>
      <c r="AD84" s="303"/>
      <c r="AG84" s="304"/>
      <c r="AH84" s="304"/>
      <c r="AI84" s="304"/>
      <c r="AK84" s="304"/>
      <c r="AL84" s="304"/>
      <c r="AM84" s="304"/>
      <c r="AN84" s="304"/>
      <c r="AO84" s="305"/>
    </row>
    <row r="85" spans="1:41" s="300" customFormat="1" x14ac:dyDescent="0.35">
      <c r="A85" s="299" t="s">
        <v>356</v>
      </c>
      <c r="F85" s="301"/>
      <c r="G85" s="301"/>
      <c r="H85" s="301"/>
      <c r="I85" s="301"/>
      <c r="J85" s="301"/>
      <c r="K85" s="301"/>
      <c r="L85" s="301"/>
      <c r="M85" s="302"/>
      <c r="N85" s="321"/>
      <c r="O85" s="315"/>
      <c r="P85" s="303"/>
      <c r="Q85" s="292">
        <f>('Stimulus Round 2'!$C8*0.7*4)/2</f>
        <v>28000</v>
      </c>
      <c r="R85" s="292">
        <f>('Stimulus Round 2'!$C8*0.7*4)/2</f>
        <v>28000</v>
      </c>
      <c r="S85" s="292">
        <f>('Stimulus Round 2'!$C8*0.3*4)/2</f>
        <v>12000</v>
      </c>
      <c r="T85" s="292">
        <f>('Stimulus Round 2'!$C8*0.3*4)/2</f>
        <v>12000</v>
      </c>
      <c r="U85" s="303"/>
      <c r="V85" s="303"/>
      <c r="W85" s="303"/>
      <c r="X85" s="303"/>
      <c r="Y85" s="303"/>
      <c r="Z85" s="303"/>
      <c r="AA85" s="303"/>
      <c r="AB85" s="303"/>
      <c r="AC85" s="303"/>
      <c r="AD85" s="303"/>
      <c r="AG85" s="304"/>
      <c r="AH85" s="304"/>
      <c r="AI85" s="304"/>
      <c r="AK85" s="304"/>
      <c r="AL85" s="304"/>
      <c r="AM85" s="304"/>
      <c r="AN85" s="304"/>
      <c r="AO85" s="305"/>
    </row>
    <row r="86" spans="1:41" s="300" customFormat="1" x14ac:dyDescent="0.35">
      <c r="A86" s="299" t="s">
        <v>357</v>
      </c>
      <c r="F86" s="301"/>
      <c r="G86" s="301"/>
      <c r="H86" s="301"/>
      <c r="I86" s="301"/>
      <c r="J86" s="301"/>
      <c r="K86" s="301"/>
      <c r="L86" s="301"/>
      <c r="M86" s="302"/>
      <c r="N86" s="321"/>
      <c r="O86" s="315"/>
      <c r="P86" s="303"/>
      <c r="Q86" s="292">
        <f>('Stimulus Round 2'!$C9*0.7*4)/2</f>
        <v>12600</v>
      </c>
      <c r="R86" s="292">
        <f>('Stimulus Round 2'!$C9*0.7*4)/2</f>
        <v>12600</v>
      </c>
      <c r="S86" s="292">
        <f>('Stimulus Round 2'!$C9*0.3*4)/2</f>
        <v>5400</v>
      </c>
      <c r="T86" s="292">
        <f>('Stimulus Round 2'!$C9*0.3*4)/2</f>
        <v>5400</v>
      </c>
      <c r="U86" s="303"/>
      <c r="V86" s="303"/>
      <c r="W86" s="303"/>
      <c r="X86" s="303"/>
      <c r="Y86" s="303"/>
      <c r="Z86" s="303"/>
      <c r="AA86" s="303"/>
      <c r="AB86" s="303"/>
      <c r="AC86" s="303"/>
      <c r="AD86" s="303"/>
      <c r="AG86" s="304"/>
      <c r="AH86" s="304"/>
      <c r="AI86" s="304"/>
      <c r="AK86" s="304"/>
      <c r="AL86" s="304"/>
      <c r="AM86" s="304"/>
      <c r="AN86" s="304"/>
      <c r="AO86" s="305"/>
    </row>
    <row r="87" spans="1:41" s="35" customFormat="1" x14ac:dyDescent="0.35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315">
        <v>486072</v>
      </c>
      <c r="O87" s="315"/>
      <c r="P87" s="116">
        <f t="shared" ref="P87:U87" si="51">P94*0.74</f>
        <v>515064.18485195568</v>
      </c>
      <c r="Q87" s="116">
        <f t="shared" si="51"/>
        <v>524352.6883812669</v>
      </c>
      <c r="R87" s="116">
        <f t="shared" si="51"/>
        <v>529585.15509524208</v>
      </c>
      <c r="S87" s="116">
        <f t="shared" si="51"/>
        <v>529585.15509524208</v>
      </c>
      <c r="T87" s="116">
        <f t="shared" si="51"/>
        <v>529585.15509524208</v>
      </c>
      <c r="U87" s="116">
        <f t="shared" si="51"/>
        <v>529585.15509524208</v>
      </c>
      <c r="V87" s="116">
        <f>V94*0.68</f>
        <v>486645.81819562789</v>
      </c>
      <c r="W87" s="116">
        <f>W94*0.68</f>
        <v>486645.81819562789</v>
      </c>
      <c r="X87" s="116">
        <f>X94*0.68</f>
        <v>486645.81819562789</v>
      </c>
      <c r="Y87" s="116"/>
      <c r="Z87" s="116"/>
      <c r="AA87" s="116"/>
      <c r="AB87" s="116"/>
      <c r="AC87" s="116"/>
      <c r="AD87" s="116"/>
      <c r="AE87" s="44">
        <f>AVERAGE(F87:I87)/1000</f>
        <v>408.16224999999997</v>
      </c>
      <c r="AF87" s="45">
        <f>AVERAGE(J87:M87)</f>
        <v>458387.5</v>
      </c>
      <c r="AG87" s="45">
        <f>AVERAGE(P87:S87)</f>
        <v>524646.7958559267</v>
      </c>
      <c r="AH87" s="45">
        <f>AVERAGE(T87:W87)</f>
        <v>508115.48664543498</v>
      </c>
      <c r="AJ87" s="35">
        <v>409.42</v>
      </c>
      <c r="AK87" s="84">
        <f>'figuring out Medicaid'!G11</f>
        <v>466.24400000000003</v>
      </c>
      <c r="AL87" s="84">
        <f>'figuring out Medicaid'!H11</f>
        <v>537.41499999999996</v>
      </c>
      <c r="AM87" s="84">
        <f>'figuring out Medicaid'!I11</f>
        <v>516.01800000000003</v>
      </c>
      <c r="AN87" s="84"/>
      <c r="AO87" s="243"/>
    </row>
    <row r="88" spans="1:41" s="35" customFormat="1" x14ac:dyDescent="0.35">
      <c r="A88" s="141" t="s">
        <v>161</v>
      </c>
      <c r="B88" s="141"/>
      <c r="E88" s="141"/>
      <c r="F88" s="203">
        <f t="shared" ref="F88:M88" si="52">F46+F43+F32+F38</f>
        <v>1440187</v>
      </c>
      <c r="G88" s="203">
        <f t="shared" si="52"/>
        <v>1503410</v>
      </c>
      <c r="H88" s="203">
        <f t="shared" si="52"/>
        <v>1508652</v>
      </c>
      <c r="I88" s="203">
        <f t="shared" si="52"/>
        <v>1513957</v>
      </c>
      <c r="J88" s="203">
        <f t="shared" si="52"/>
        <v>1521941</v>
      </c>
      <c r="K88" s="203">
        <f t="shared" si="52"/>
        <v>1574462</v>
      </c>
      <c r="L88" s="203">
        <f t="shared" si="52"/>
        <v>3741557.333333333</v>
      </c>
      <c r="M88" s="199">
        <f t="shared" si="52"/>
        <v>2466001</v>
      </c>
      <c r="N88" s="315">
        <v>2508714</v>
      </c>
      <c r="O88" s="315">
        <f t="shared" si="43"/>
        <v>42713</v>
      </c>
      <c r="P88" s="142">
        <f>P46+P43+P32+P38+P33+P34</f>
        <v>1966882.3341534182</v>
      </c>
      <c r="Q88" s="142">
        <f t="shared" ref="Q88:AB88" si="53">Q46+Q43+Q32+Q38+Q33+Q34+Q35</f>
        <v>3089225.50685474</v>
      </c>
      <c r="R88" s="142">
        <f t="shared" si="53"/>
        <v>1856511.5519714532</v>
      </c>
      <c r="S88" s="142">
        <f t="shared" si="53"/>
        <v>1668267.7153316673</v>
      </c>
      <c r="T88" s="142">
        <f t="shared" si="53"/>
        <v>1664571.7310616423</v>
      </c>
      <c r="U88" s="142">
        <f t="shared" si="53"/>
        <v>1669240.3070275667</v>
      </c>
      <c r="V88" s="142">
        <f t="shared" si="53"/>
        <v>1694278.91163298</v>
      </c>
      <c r="W88" s="142">
        <f t="shared" si="53"/>
        <v>1719693.0953074745</v>
      </c>
      <c r="X88" s="142">
        <f t="shared" si="53"/>
        <v>1736890.0262605492</v>
      </c>
      <c r="Y88" s="142">
        <f t="shared" si="53"/>
        <v>0</v>
      </c>
      <c r="Z88" s="142">
        <f t="shared" si="53"/>
        <v>0</v>
      </c>
      <c r="AA88" s="142">
        <f t="shared" si="53"/>
        <v>0</v>
      </c>
      <c r="AB88" s="142">
        <f t="shared" si="53"/>
        <v>0</v>
      </c>
      <c r="AO88" s="243"/>
    </row>
    <row r="89" spans="1:41" s="35" customFormat="1" x14ac:dyDescent="0.35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AB89" si="54">L87+L31</f>
        <v>1336698</v>
      </c>
      <c r="M89" s="199">
        <f t="shared" si="54"/>
        <v>1328805</v>
      </c>
      <c r="N89" s="315">
        <v>1328805</v>
      </c>
      <c r="O89" s="315">
        <f t="shared" si="43"/>
        <v>0</v>
      </c>
      <c r="P89" s="143">
        <f t="shared" si="54"/>
        <v>1368117.3718507844</v>
      </c>
      <c r="Q89" s="143">
        <f t="shared" si="54"/>
        <v>1399852.444352445</v>
      </c>
      <c r="R89" s="143">
        <f t="shared" si="54"/>
        <v>1427806.3628181037</v>
      </c>
      <c r="S89" s="143">
        <f t="shared" si="54"/>
        <v>1450806.0635893014</v>
      </c>
      <c r="T89" s="143">
        <f t="shared" si="54"/>
        <v>1492929.5716858052</v>
      </c>
      <c r="U89" s="143">
        <f t="shared" si="54"/>
        <v>1524430.4994929326</v>
      </c>
      <c r="V89" s="143">
        <f t="shared" si="54"/>
        <v>1514022.1565280114</v>
      </c>
      <c r="W89" s="143">
        <f t="shared" si="54"/>
        <v>1547616.8992879251</v>
      </c>
      <c r="X89" s="143">
        <f t="shared" si="54"/>
        <v>1558308.4020894403</v>
      </c>
      <c r="Y89" s="143">
        <f t="shared" si="54"/>
        <v>1082461.8259487266</v>
      </c>
      <c r="Z89" s="143">
        <f t="shared" si="54"/>
        <v>1093369.8929553684</v>
      </c>
      <c r="AA89" s="143">
        <f t="shared" si="54"/>
        <v>1104387.8815527481</v>
      </c>
      <c r="AB89" s="143">
        <f t="shared" si="54"/>
        <v>0</v>
      </c>
      <c r="AO89" s="243"/>
    </row>
    <row r="90" spans="1:41" s="35" customFormat="1" x14ac:dyDescent="0.35">
      <c r="F90" s="199"/>
      <c r="G90" s="199"/>
      <c r="H90" s="199"/>
      <c r="I90" s="199"/>
      <c r="J90" s="199"/>
      <c r="K90" s="199"/>
      <c r="L90" s="199"/>
      <c r="M90" s="199"/>
      <c r="N90" s="315"/>
      <c r="O90" s="315"/>
      <c r="AO90" s="243"/>
    </row>
    <row r="91" spans="1:41" s="35" customFormat="1" x14ac:dyDescent="0.35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315">
        <v>835999</v>
      </c>
      <c r="O91" s="315">
        <f t="shared" si="43"/>
        <v>7519</v>
      </c>
      <c r="P91" s="133">
        <f t="shared" ref="P91:W91" si="55">P92+P94</f>
        <v>838999.96973237256</v>
      </c>
      <c r="Q91" s="133">
        <f t="shared" si="55"/>
        <v>851909.41974748904</v>
      </c>
      <c r="R91" s="133">
        <f t="shared" si="55"/>
        <v>859338.63247661723</v>
      </c>
      <c r="S91" s="133">
        <f t="shared" si="55"/>
        <v>860057.04756403249</v>
      </c>
      <c r="T91" s="133">
        <f t="shared" si="55"/>
        <v>861140.05830831092</v>
      </c>
      <c r="U91" s="133">
        <f t="shared" si="55"/>
        <v>862594.90274145827</v>
      </c>
      <c r="V91" s="133">
        <f t="shared" si="55"/>
        <v>864142.72686504154</v>
      </c>
      <c r="W91" s="133">
        <f t="shared" si="55"/>
        <v>865537.60394083988</v>
      </c>
      <c r="X91" s="133">
        <f t="shared" ref="X91" si="56">X92+X94</f>
        <v>866767.29820503015</v>
      </c>
      <c r="AO91" s="243"/>
    </row>
    <row r="92" spans="1:41" s="35" customFormat="1" x14ac:dyDescent="0.35">
      <c r="A92" s="35" t="s">
        <v>231</v>
      </c>
      <c r="F92" s="205">
        <f t="shared" ref="F92:K92" si="57">F91-F94</f>
        <v>139025</v>
      </c>
      <c r="G92" s="205">
        <f t="shared" si="57"/>
        <v>139342</v>
      </c>
      <c r="H92" s="205">
        <f t="shared" si="57"/>
        <v>140228</v>
      </c>
      <c r="I92" s="205">
        <f t="shared" si="57"/>
        <v>141105</v>
      </c>
      <c r="J92" s="205">
        <f t="shared" si="57"/>
        <v>141335</v>
      </c>
      <c r="K92" s="205">
        <f t="shared" si="57"/>
        <v>142991</v>
      </c>
      <c r="L92" s="205">
        <f>L91-L94</f>
        <v>143335</v>
      </c>
      <c r="M92" s="199">
        <f>M91-M94</f>
        <v>144777</v>
      </c>
      <c r="N92" s="315">
        <v>144732</v>
      </c>
      <c r="O92" s="315">
        <f t="shared" si="43"/>
        <v>-45</v>
      </c>
      <c r="P92" s="133">
        <f>M92*(1+P103-0.015)</f>
        <v>142967.28749999998</v>
      </c>
      <c r="Q92" s="133">
        <f t="shared" ref="Q92:X92" si="58">P92*(1+Q103)</f>
        <v>143324.70571874996</v>
      </c>
      <c r="R92" s="133">
        <f t="shared" si="58"/>
        <v>143683.01748304683</v>
      </c>
      <c r="S92" s="133">
        <f t="shared" si="58"/>
        <v>144401.43257046206</v>
      </c>
      <c r="T92" s="133">
        <f t="shared" si="58"/>
        <v>145484.44331474052</v>
      </c>
      <c r="U92" s="133">
        <f t="shared" si="58"/>
        <v>146939.28774788792</v>
      </c>
      <c r="V92" s="133">
        <f t="shared" si="58"/>
        <v>148487.1118714711</v>
      </c>
      <c r="W92" s="133">
        <f t="shared" si="58"/>
        <v>149881.98894726948</v>
      </c>
      <c r="X92" s="133">
        <f t="shared" si="58"/>
        <v>151111.68321145975</v>
      </c>
      <c r="AO92" s="243"/>
    </row>
    <row r="93" spans="1:41" s="35" customFormat="1" x14ac:dyDescent="0.35">
      <c r="F93" s="205"/>
      <c r="G93" s="199"/>
      <c r="H93" s="199"/>
      <c r="I93" s="199"/>
      <c r="J93" s="199"/>
      <c r="K93" s="199"/>
      <c r="L93" s="199"/>
      <c r="M93" s="199"/>
      <c r="N93" s="315"/>
      <c r="O93" s="315">
        <f t="shared" si="43"/>
        <v>0</v>
      </c>
      <c r="AO93" s="243"/>
    </row>
    <row r="94" spans="1:41" s="35" customFormat="1" x14ac:dyDescent="0.35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315">
        <v>691267</v>
      </c>
      <c r="O94" s="315">
        <f t="shared" si="43"/>
        <v>7564</v>
      </c>
      <c r="P94" s="135">
        <f>M94*(($AL$94/$AK$94)^0.18)</f>
        <v>696032.68223237258</v>
      </c>
      <c r="Q94" s="135">
        <f>P94*(($AL$94/$AK$94)^0.18)</f>
        <v>708584.71402873902</v>
      </c>
      <c r="R94" s="135">
        <f>Q94*(($AL$94/$AK$94)^0.1)</f>
        <v>715655.61499357037</v>
      </c>
      <c r="S94" s="135">
        <f>R94*(1+S95)</f>
        <v>715655.61499357037</v>
      </c>
      <c r="T94" s="135">
        <f t="shared" ref="T94:X94" si="59">S94*(1+T95)</f>
        <v>715655.61499357037</v>
      </c>
      <c r="U94" s="135">
        <f t="shared" si="59"/>
        <v>715655.61499357037</v>
      </c>
      <c r="V94" s="135">
        <f t="shared" si="59"/>
        <v>715655.61499357037</v>
      </c>
      <c r="W94" s="135">
        <f t="shared" si="59"/>
        <v>715655.61499357037</v>
      </c>
      <c r="X94" s="135">
        <f t="shared" si="59"/>
        <v>715655.61499357037</v>
      </c>
      <c r="AF94" s="45">
        <f>AVERAGE(J94:M94)/1000</f>
        <v>649.06349999999998</v>
      </c>
      <c r="AG94" s="45">
        <f>AVERAGE(P94:S94)/1000</f>
        <v>708.9821565620631</v>
      </c>
      <c r="AH94" s="45">
        <f>AVERAGE(T94:W94)/1000</f>
        <v>715.65561499357034</v>
      </c>
      <c r="AJ94" s="84"/>
      <c r="AK94" s="84">
        <f>'figuring out Medicaid'!G13</f>
        <v>657.17435271149407</v>
      </c>
      <c r="AL94" s="84">
        <f>'figuring out Medicaid'!H13</f>
        <v>725.7777402928042</v>
      </c>
      <c r="AM94" s="84">
        <f>'figuring out Medicaid'!I13</f>
        <v>727.33117238501666</v>
      </c>
      <c r="AN94" s="84"/>
      <c r="AO94" s="243"/>
    </row>
    <row r="95" spans="1:41" s="187" customFormat="1" x14ac:dyDescent="0.35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315"/>
      <c r="O95" s="315">
        <f t="shared" si="43"/>
        <v>0</v>
      </c>
      <c r="P95" s="176"/>
      <c r="Q95" s="176"/>
      <c r="R95" s="176"/>
      <c r="S95" s="176">
        <v>0</v>
      </c>
      <c r="T95" s="176">
        <v>0</v>
      </c>
      <c r="U95" s="176">
        <v>0</v>
      </c>
      <c r="V95" s="176">
        <v>0</v>
      </c>
      <c r="W95" s="176">
        <v>0</v>
      </c>
      <c r="X95" s="176">
        <v>0</v>
      </c>
      <c r="Y95" s="176"/>
      <c r="AO95" s="244"/>
    </row>
    <row r="96" spans="1:41" s="153" customFormat="1" x14ac:dyDescent="0.35">
      <c r="A96" s="153" t="s">
        <v>223</v>
      </c>
      <c r="F96" s="210">
        <f t="shared" ref="F96:K96" si="60">F87/F94</f>
        <v>0.66058231423538405</v>
      </c>
      <c r="G96" s="210">
        <f t="shared" si="60"/>
        <v>0.6749214177505789</v>
      </c>
      <c r="H96" s="210">
        <f t="shared" si="60"/>
        <v>0.68242012696430432</v>
      </c>
      <c r="I96" s="210">
        <f t="shared" si="60"/>
        <v>0.6730637268687778</v>
      </c>
      <c r="J96" s="210">
        <f t="shared" si="60"/>
        <v>0.66395699382859508</v>
      </c>
      <c r="K96" s="210">
        <f t="shared" si="60"/>
        <v>0.67846773573296415</v>
      </c>
      <c r="L96" s="211"/>
      <c r="M96" s="199"/>
      <c r="N96" s="315"/>
      <c r="O96" s="315">
        <f t="shared" si="43"/>
        <v>0</v>
      </c>
      <c r="AF96" s="154"/>
      <c r="AG96" s="154"/>
      <c r="AH96" s="154"/>
      <c r="AJ96" s="155"/>
      <c r="AK96" s="155"/>
      <c r="AL96" s="155"/>
      <c r="AO96" s="248"/>
    </row>
    <row r="97" spans="1:41" s="35" customFormat="1" x14ac:dyDescent="0.35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15">
        <v>1992.6769999999999</v>
      </c>
      <c r="O97" s="315">
        <f t="shared" si="43"/>
        <v>-0.37400000000002365</v>
      </c>
      <c r="P97" s="35">
        <f>M97*(1+P99)</f>
        <v>2032.0348826405864</v>
      </c>
      <c r="Q97" s="35">
        <f t="shared" ref="Q97:X97" si="61">P97*(1+Q99)</f>
        <v>2057.6710228553202</v>
      </c>
      <c r="R97" s="35">
        <f t="shared" si="61"/>
        <v>2080.1291291591365</v>
      </c>
      <c r="S97" s="35">
        <f t="shared" si="61"/>
        <v>2094.9599540767508</v>
      </c>
      <c r="T97" s="35">
        <f t="shared" si="61"/>
        <v>2105.235597055384</v>
      </c>
      <c r="U97" s="35">
        <f t="shared" si="61"/>
        <v>2115.4053055703198</v>
      </c>
      <c r="V97" s="35">
        <f t="shared" si="61"/>
        <v>2122.8207180291274</v>
      </c>
      <c r="W97" s="35">
        <f t="shared" si="61"/>
        <v>2127.375899968109</v>
      </c>
      <c r="X97" s="35">
        <f t="shared" si="61"/>
        <v>2129.0708513872651</v>
      </c>
      <c r="AO97" s="243"/>
    </row>
    <row r="98" spans="1:41" s="187" customFormat="1" x14ac:dyDescent="0.35">
      <c r="A98" s="170" t="s">
        <v>287</v>
      </c>
      <c r="B98" s="35"/>
      <c r="C98" s="35"/>
      <c r="D98" s="35"/>
      <c r="F98" s="202"/>
      <c r="G98" s="202">
        <f t="shared" ref="G98:L98" si="62">(G97/F97)-1</f>
        <v>7.8113264233139468E-3</v>
      </c>
      <c r="H98" s="202">
        <f t="shared" si="62"/>
        <v>6.3596164356336526E-3</v>
      </c>
      <c r="I98" s="202">
        <f t="shared" si="62"/>
        <v>1.3823747222907468E-3</v>
      </c>
      <c r="J98" s="202">
        <f t="shared" si="62"/>
        <v>3.5990731154167399E-3</v>
      </c>
      <c r="K98" s="202">
        <f t="shared" si="62"/>
        <v>2.6527805069758159E-3</v>
      </c>
      <c r="L98" s="202">
        <f t="shared" si="62"/>
        <v>-1.36697697207252E-2</v>
      </c>
      <c r="M98" s="202">
        <f>(M97/L97)-1</f>
        <v>-9.9592668024439668E-3</v>
      </c>
      <c r="N98" s="315">
        <v>-1.0145049923004357E-2</v>
      </c>
      <c r="O98" s="315">
        <f t="shared" si="43"/>
        <v>-1.8578312056038992E-4</v>
      </c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Z98" s="262"/>
      <c r="AA98" s="262"/>
      <c r="AO98" s="244"/>
    </row>
    <row r="99" spans="1:41" s="187" customFormat="1" x14ac:dyDescent="0.35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315"/>
      <c r="O99" s="315">
        <f t="shared" si="43"/>
        <v>0</v>
      </c>
      <c r="P99" s="198">
        <v>1.95599022004889E-2</v>
      </c>
      <c r="Q99" s="198">
        <v>1.26159941611927E-2</v>
      </c>
      <c r="R99" s="198">
        <v>1.0914332784184499E-2</v>
      </c>
      <c r="S99" s="198">
        <v>7.1297616622529904E-3</v>
      </c>
      <c r="T99" s="198">
        <v>4.9049352750809598E-3</v>
      </c>
      <c r="U99" s="198">
        <v>4.8306747848840797E-3</v>
      </c>
      <c r="V99" s="198">
        <v>3.5054334218038701E-3</v>
      </c>
      <c r="W99" s="198">
        <v>2.14581565946403E-3</v>
      </c>
      <c r="X99" s="198">
        <v>7.9673339308827796E-4</v>
      </c>
      <c r="Y99" s="198">
        <v>3.9804955716982198E-4</v>
      </c>
      <c r="Z99" s="198">
        <v>1.1439371331942701E-3</v>
      </c>
      <c r="AA99" s="198">
        <v>8.9423220229512001E-4</v>
      </c>
      <c r="AO99" s="244"/>
    </row>
    <row r="100" spans="1:41" s="35" customFormat="1" x14ac:dyDescent="0.35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 s="315">
        <v>2329.6770000000001</v>
      </c>
      <c r="O100" s="315">
        <f t="shared" si="43"/>
        <v>7.2000000000116415E-2</v>
      </c>
      <c r="P100">
        <v>2431.4160000000002</v>
      </c>
      <c r="Q100">
        <v>2469.9411956560398</v>
      </c>
      <c r="R100">
        <v>2511.3882460388099</v>
      </c>
      <c r="S100">
        <v>2543.4204311910298</v>
      </c>
      <c r="T100">
        <v>2569.93355741499</v>
      </c>
      <c r="U100">
        <v>2599.1521046822099</v>
      </c>
      <c r="V100">
        <v>2626.53096564002</v>
      </c>
      <c r="W100">
        <v>2651.2044055545698</v>
      </c>
      <c r="X100">
        <v>2672.95599074239</v>
      </c>
      <c r="Y100">
        <v>2693.9500580381</v>
      </c>
      <c r="Z100">
        <v>2717.3248958518798</v>
      </c>
      <c r="AA100">
        <v>2740.4832999822002</v>
      </c>
      <c r="AO100" s="243"/>
    </row>
    <row r="101" spans="1:41" s="35" customFormat="1" x14ac:dyDescent="0.35">
      <c r="F101" s="199"/>
      <c r="G101" s="199"/>
      <c r="H101" s="199"/>
      <c r="I101" s="199"/>
      <c r="J101" s="199"/>
      <c r="K101" s="199"/>
      <c r="L101" s="199"/>
      <c r="M101" s="199"/>
      <c r="N101" s="315"/>
      <c r="O101" s="315">
        <f t="shared" si="43"/>
        <v>0</v>
      </c>
      <c r="P101">
        <f>M100*(1+P103)</f>
        <v>2335.4290124999998</v>
      </c>
      <c r="Q101">
        <f>P101*(1+Q103)</f>
        <v>2341.2675850312498</v>
      </c>
      <c r="R101">
        <f t="shared" ref="R101:X101" si="63">Q101*(1+R103)</f>
        <v>2347.1207539938277</v>
      </c>
      <c r="S101">
        <f t="shared" si="63"/>
        <v>2358.8563577637965</v>
      </c>
      <c r="T101">
        <f t="shared" si="63"/>
        <v>2376.5477804470252</v>
      </c>
      <c r="U101">
        <f t="shared" si="63"/>
        <v>2400.3132582514954</v>
      </c>
      <c r="V101">
        <f t="shared" si="63"/>
        <v>2425.5975972613091</v>
      </c>
      <c r="W101">
        <f t="shared" si="63"/>
        <v>2448.3834837997988</v>
      </c>
      <c r="X101">
        <f t="shared" si="63"/>
        <v>2468.4710416692506</v>
      </c>
      <c r="Y101"/>
      <c r="Z101"/>
      <c r="AA101"/>
      <c r="AO101" s="243"/>
    </row>
    <row r="102" spans="1:41" s="187" customFormat="1" x14ac:dyDescent="0.35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4">(K100/J100)-1</f>
        <v>1.0265546788835067E-2</v>
      </c>
      <c r="L102" s="202">
        <f t="shared" ref="L102" si="65">(L100/K100)-1</f>
        <v>-1.9776620759153429E-2</v>
      </c>
      <c r="M102" s="202">
        <f>(((M100/L100))^4)-1</f>
        <v>-8.3608921686818549E-3</v>
      </c>
      <c r="N102" s="316">
        <v>-8.2382940014741335E-3</v>
      </c>
      <c r="O102" s="315">
        <f t="shared" si="43"/>
        <v>1.2259816720772143E-4</v>
      </c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Z102" s="262"/>
      <c r="AA102" s="262"/>
      <c r="AO102" s="244"/>
    </row>
    <row r="103" spans="1:41" s="187" customFormat="1" x14ac:dyDescent="0.35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315"/>
      <c r="O103" s="315"/>
      <c r="P103" s="176">
        <v>2.5000000000000001E-3</v>
      </c>
      <c r="Q103" s="176">
        <v>2.5000000000000001E-3</v>
      </c>
      <c r="R103" s="176">
        <v>2.5000000000000001E-3</v>
      </c>
      <c r="S103" s="176">
        <v>5.0000000000000001E-3</v>
      </c>
      <c r="T103" s="176">
        <v>7.4999999999999997E-3</v>
      </c>
      <c r="U103" s="176">
        <v>0.01</v>
      </c>
      <c r="V103" s="176">
        <f>V100/U100-1</f>
        <v>1.053376634191161E-2</v>
      </c>
      <c r="W103" s="176">
        <f>W100/V100-1</f>
        <v>9.3939269086582566E-3</v>
      </c>
      <c r="X103" s="176">
        <f>X100/W100-1</f>
        <v>8.2044165067951536E-3</v>
      </c>
      <c r="AO103" s="244"/>
    </row>
    <row r="104" spans="1:41" s="187" customFormat="1" x14ac:dyDescent="0.35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315"/>
      <c r="O104" s="315"/>
      <c r="P104" s="176"/>
      <c r="Q104" s="176"/>
      <c r="R104" s="176"/>
      <c r="S104" s="176"/>
      <c r="T104" s="176"/>
      <c r="U104" s="176"/>
      <c r="V104" s="176"/>
      <c r="W104" s="176"/>
      <c r="X104" s="176"/>
      <c r="AO104" s="244"/>
    </row>
    <row r="105" spans="1:41" s="35" customFormat="1" x14ac:dyDescent="0.35">
      <c r="A105" s="35" t="s">
        <v>164</v>
      </c>
      <c r="F105" s="203">
        <f t="shared" ref="F105:AA105" si="66">F91+F42-F87</f>
        <v>339220</v>
      </c>
      <c r="G105" s="203">
        <f t="shared" si="66"/>
        <v>334185</v>
      </c>
      <c r="H105" s="203">
        <f t="shared" si="66"/>
        <v>335532</v>
      </c>
      <c r="I105" s="203">
        <f t="shared" si="66"/>
        <v>344546</v>
      </c>
      <c r="J105" s="203">
        <f t="shared" si="66"/>
        <v>349558</v>
      </c>
      <c r="K105" s="203">
        <f t="shared" si="66"/>
        <v>343658</v>
      </c>
      <c r="L105" s="203">
        <f t="shared" si="66"/>
        <v>548584.66666666674</v>
      </c>
      <c r="M105" s="199">
        <f t="shared" si="66"/>
        <v>528408</v>
      </c>
      <c r="N105" s="315">
        <v>489927</v>
      </c>
      <c r="O105" s="315">
        <f t="shared" si="43"/>
        <v>-38481</v>
      </c>
      <c r="P105" s="223">
        <f t="shared" si="66"/>
        <v>410935.78488041688</v>
      </c>
      <c r="Q105" s="223">
        <f t="shared" si="66"/>
        <v>387556.73136622214</v>
      </c>
      <c r="R105" s="223">
        <f t="shared" si="66"/>
        <v>373753.47738137515</v>
      </c>
      <c r="S105" s="223">
        <f t="shared" si="66"/>
        <v>374471.89246879041</v>
      </c>
      <c r="T105" s="223">
        <f t="shared" si="66"/>
        <v>375554.90321306884</v>
      </c>
      <c r="U105" s="223">
        <f t="shared" si="66"/>
        <v>377009.74764621619</v>
      </c>
      <c r="V105" s="223">
        <f t="shared" si="66"/>
        <v>421496.90866941365</v>
      </c>
      <c r="W105" s="223">
        <f t="shared" si="66"/>
        <v>422891.78574521199</v>
      </c>
      <c r="X105" s="223">
        <f t="shared" si="66"/>
        <v>424121.48000940226</v>
      </c>
      <c r="Y105" s="223">
        <f t="shared" si="66"/>
        <v>0</v>
      </c>
      <c r="Z105" s="223">
        <f t="shared" si="66"/>
        <v>0</v>
      </c>
      <c r="AA105" s="223">
        <f t="shared" si="66"/>
        <v>0</v>
      </c>
      <c r="AO105" s="243"/>
    </row>
    <row r="106" spans="1:41" s="35" customFormat="1" x14ac:dyDescent="0.35">
      <c r="A106" s="141" t="s">
        <v>214</v>
      </c>
      <c r="B106" s="141"/>
      <c r="E106" s="141"/>
      <c r="F106" s="203">
        <f t="shared" ref="F106:K106" si="67">F94-F87</f>
        <v>200195</v>
      </c>
      <c r="G106" s="203">
        <f t="shared" si="67"/>
        <v>194843</v>
      </c>
      <c r="H106" s="203">
        <f t="shared" si="67"/>
        <v>195304</v>
      </c>
      <c r="I106" s="203">
        <f t="shared" si="67"/>
        <v>203441</v>
      </c>
      <c r="J106" s="203">
        <f t="shared" si="67"/>
        <v>208223</v>
      </c>
      <c r="K106" s="203">
        <f t="shared" si="67"/>
        <v>200667</v>
      </c>
      <c r="L106" s="203">
        <f>L94-L87</f>
        <v>156183</v>
      </c>
      <c r="M106" s="199">
        <f t="shared" ref="L106:AA106" si="68">M94-M87</f>
        <v>197631</v>
      </c>
      <c r="N106" s="315">
        <v>205195</v>
      </c>
      <c r="O106" s="315">
        <f t="shared" si="43"/>
        <v>7564</v>
      </c>
      <c r="P106" s="142">
        <f t="shared" si="68"/>
        <v>180968.4973804169</v>
      </c>
      <c r="Q106" s="142">
        <f t="shared" si="68"/>
        <v>184232.02564747212</v>
      </c>
      <c r="R106" s="142">
        <f t="shared" si="68"/>
        <v>186070.45989832829</v>
      </c>
      <c r="S106" s="142">
        <f t="shared" si="68"/>
        <v>186070.45989832829</v>
      </c>
      <c r="T106" s="142">
        <f t="shared" si="68"/>
        <v>186070.45989832829</v>
      </c>
      <c r="U106" s="142">
        <f t="shared" si="68"/>
        <v>186070.45989832829</v>
      </c>
      <c r="V106" s="142">
        <f t="shared" si="68"/>
        <v>229009.79679794249</v>
      </c>
      <c r="W106" s="142">
        <f t="shared" si="68"/>
        <v>229009.79679794249</v>
      </c>
      <c r="X106" s="142">
        <f t="shared" si="68"/>
        <v>229009.79679794249</v>
      </c>
      <c r="Y106" s="142">
        <f t="shared" si="68"/>
        <v>0</v>
      </c>
      <c r="Z106" s="142">
        <f t="shared" si="68"/>
        <v>0</v>
      </c>
      <c r="AA106" s="142">
        <f t="shared" si="68"/>
        <v>0</v>
      </c>
      <c r="AO106" s="243"/>
    </row>
    <row r="107" spans="1:41" s="141" customFormat="1" x14ac:dyDescent="0.35">
      <c r="A107" s="141" t="s">
        <v>232</v>
      </c>
      <c r="C107" s="35"/>
      <c r="D107" s="35"/>
      <c r="F107" s="203">
        <f t="shared" ref="F107:K107" si="69">F105-F106</f>
        <v>139025</v>
      </c>
      <c r="G107" s="203">
        <f t="shared" si="69"/>
        <v>139342</v>
      </c>
      <c r="H107" s="203">
        <f t="shared" si="69"/>
        <v>140228</v>
      </c>
      <c r="I107" s="203">
        <f t="shared" si="69"/>
        <v>141105</v>
      </c>
      <c r="J107" s="203">
        <f t="shared" si="69"/>
        <v>141335</v>
      </c>
      <c r="K107" s="203">
        <f t="shared" si="69"/>
        <v>142991</v>
      </c>
      <c r="L107" s="203">
        <f>L105-L106</f>
        <v>392401.66666666674</v>
      </c>
      <c r="M107" s="203">
        <f>M105-M106</f>
        <v>330777</v>
      </c>
      <c r="N107" s="315">
        <v>284732</v>
      </c>
      <c r="O107" s="315">
        <f t="shared" si="43"/>
        <v>-46045</v>
      </c>
      <c r="P107" s="142">
        <f t="shared" ref="P107:AA107" si="70">P105-P106</f>
        <v>229967.28749999998</v>
      </c>
      <c r="Q107" s="142">
        <f t="shared" si="70"/>
        <v>203324.70571875002</v>
      </c>
      <c r="R107" s="142">
        <f t="shared" si="70"/>
        <v>187683.01748304686</v>
      </c>
      <c r="S107" s="142">
        <f t="shared" si="70"/>
        <v>188401.43257046212</v>
      </c>
      <c r="T107" s="142">
        <f t="shared" si="70"/>
        <v>189484.44331474055</v>
      </c>
      <c r="U107" s="142">
        <f t="shared" si="70"/>
        <v>190939.28774788789</v>
      </c>
      <c r="V107" s="142">
        <f t="shared" si="70"/>
        <v>192487.11187147116</v>
      </c>
      <c r="W107" s="142">
        <f t="shared" si="70"/>
        <v>193881.98894726951</v>
      </c>
      <c r="X107" s="142">
        <f t="shared" si="70"/>
        <v>195111.68321145978</v>
      </c>
      <c r="Y107" s="142">
        <f t="shared" si="70"/>
        <v>0</v>
      </c>
      <c r="Z107" s="142">
        <f t="shared" si="70"/>
        <v>0</v>
      </c>
      <c r="AA107" s="142">
        <f t="shared" si="70"/>
        <v>0</v>
      </c>
      <c r="AO107" s="267"/>
    </row>
    <row r="108" spans="1:41" s="35" customFormat="1" x14ac:dyDescent="0.35">
      <c r="A108"/>
      <c r="F108" s="220"/>
      <c r="G108" s="220"/>
      <c r="H108" s="220"/>
      <c r="I108" s="220"/>
      <c r="J108" s="220"/>
      <c r="K108" s="220">
        <f>K107+43400</f>
        <v>186391</v>
      </c>
      <c r="L108" s="135">
        <f>L107-L42</f>
        <v>143335.00000000003</v>
      </c>
      <c r="M108" s="135">
        <f>M107-M42</f>
        <v>144777</v>
      </c>
      <c r="N108" s="135"/>
      <c r="O108" s="135"/>
      <c r="P108" s="94"/>
      <c r="Q108" s="94"/>
      <c r="R108" s="94"/>
      <c r="S108" s="94"/>
      <c r="T108" s="94"/>
      <c r="U108" s="94"/>
      <c r="V108" s="94"/>
      <c r="W108" s="94"/>
      <c r="X108"/>
      <c r="AO108" s="243"/>
    </row>
    <row r="109" spans="1:41" s="187" customFormat="1" x14ac:dyDescent="0.35">
      <c r="A109" s="170"/>
      <c r="F109" s="195"/>
      <c r="G109" s="195"/>
      <c r="H109" s="195"/>
      <c r="I109" s="195"/>
      <c r="J109" s="195"/>
      <c r="K109" s="195"/>
      <c r="L109" s="195"/>
      <c r="M109" s="221"/>
      <c r="N109" s="221"/>
      <c r="O109" s="221"/>
      <c r="P109" s="195"/>
      <c r="Q109" s="195"/>
      <c r="R109" s="195"/>
      <c r="S109" s="195"/>
      <c r="T109" s="195"/>
      <c r="U109" s="195"/>
      <c r="V109" s="195"/>
      <c r="W109" s="195"/>
      <c r="AO109" s="244"/>
    </row>
    <row r="110" spans="1:41" x14ac:dyDescent="0.35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</row>
    <row r="111" spans="1:41" x14ac:dyDescent="0.35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</row>
    <row r="112" spans="1:41" x14ac:dyDescent="0.35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</row>
    <row r="113" spans="12:37" x14ac:dyDescent="0.35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12:37" x14ac:dyDescent="0.35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 spans="12:37" x14ac:dyDescent="0.35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</sheetData>
  <mergeCells count="12">
    <mergeCell ref="A4:B4"/>
    <mergeCell ref="F2:I2"/>
    <mergeCell ref="A1:B1"/>
    <mergeCell ref="AO1:AR1"/>
    <mergeCell ref="AF2:AH2"/>
    <mergeCell ref="J2:M2"/>
    <mergeCell ref="P2:S2"/>
    <mergeCell ref="T2:W2"/>
    <mergeCell ref="AF1:AH1"/>
    <mergeCell ref="AK2:AM2"/>
    <mergeCell ref="AK1:AN1"/>
    <mergeCell ref="X2:AA2"/>
  </mergeCells>
  <pageMargins left="0.7" right="0.7" top="0.75" bottom="0.75" header="0.3" footer="0.3"/>
  <pageSetup orientation="portrait" r:id="rId1"/>
  <ignoredErrors>
    <ignoredError sqref="AE18 AE12:AE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G19" sqref="G19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358</v>
      </c>
      <c r="B1" s="97" t="s">
        <v>360</v>
      </c>
      <c r="C1" s="97" t="s">
        <v>361</v>
      </c>
    </row>
    <row r="2" spans="1:3" x14ac:dyDescent="0.35">
      <c r="A2" s="306" t="s">
        <v>363</v>
      </c>
      <c r="B2" s="306">
        <v>325</v>
      </c>
      <c r="C2" s="307">
        <f>B2*1000</f>
        <v>325000</v>
      </c>
    </row>
    <row r="3" spans="1:3" x14ac:dyDescent="0.35">
      <c r="A3" s="306" t="s">
        <v>364</v>
      </c>
      <c r="B3" s="306">
        <v>120</v>
      </c>
      <c r="C3" s="307">
        <f t="shared" ref="C3:C20" si="0">B3*1000</f>
        <v>120000</v>
      </c>
    </row>
    <row r="4" spans="1:3" x14ac:dyDescent="0.35">
      <c r="A4" s="306" t="s">
        <v>20</v>
      </c>
      <c r="B4" s="306">
        <v>166</v>
      </c>
      <c r="C4" s="307">
        <f t="shared" si="0"/>
        <v>166000</v>
      </c>
    </row>
    <row r="5" spans="1:3" x14ac:dyDescent="0.35">
      <c r="A5" s="306" t="s">
        <v>199</v>
      </c>
      <c r="B5" s="306">
        <v>82</v>
      </c>
      <c r="C5" s="307">
        <f t="shared" si="0"/>
        <v>82000</v>
      </c>
    </row>
    <row r="6" spans="1:3" x14ac:dyDescent="0.35">
      <c r="A6" s="306" t="s">
        <v>365</v>
      </c>
      <c r="B6" s="306">
        <v>63</v>
      </c>
      <c r="C6" s="307">
        <f t="shared" si="0"/>
        <v>63000</v>
      </c>
    </row>
    <row r="7" spans="1:3" x14ac:dyDescent="0.35">
      <c r="A7" s="308" t="s">
        <v>355</v>
      </c>
      <c r="B7">
        <v>22</v>
      </c>
      <c r="C7" s="307">
        <f>B7*1000</f>
        <v>22000</v>
      </c>
    </row>
    <row r="8" spans="1:3" x14ac:dyDescent="0.35">
      <c r="A8" s="177" t="s">
        <v>356</v>
      </c>
      <c r="B8">
        <v>20</v>
      </c>
      <c r="C8" s="307">
        <f>B8*1000</f>
        <v>20000</v>
      </c>
    </row>
    <row r="9" spans="1:3" x14ac:dyDescent="0.35">
      <c r="A9" s="177" t="s">
        <v>357</v>
      </c>
      <c r="B9">
        <v>9</v>
      </c>
      <c r="C9" s="307">
        <f>B9*1000</f>
        <v>9000</v>
      </c>
    </row>
    <row r="10" spans="1:3" x14ac:dyDescent="0.35">
      <c r="A10" s="308" t="s">
        <v>58</v>
      </c>
      <c r="B10" s="306">
        <f>B6-SUM(B7:B9)</f>
        <v>12</v>
      </c>
      <c r="C10" s="307">
        <f t="shared" si="0"/>
        <v>12000</v>
      </c>
    </row>
    <row r="11" spans="1:3" x14ac:dyDescent="0.35">
      <c r="A11" s="309" t="s">
        <v>366</v>
      </c>
      <c r="B11" s="306">
        <v>45</v>
      </c>
      <c r="C11" s="307">
        <f t="shared" si="0"/>
        <v>45000</v>
      </c>
    </row>
    <row r="12" spans="1:3" x14ac:dyDescent="0.35">
      <c r="A12" s="308" t="s">
        <v>367</v>
      </c>
      <c r="B12" s="306">
        <v>16</v>
      </c>
      <c r="C12" s="307">
        <f t="shared" si="0"/>
        <v>16000</v>
      </c>
    </row>
    <row r="13" spans="1:3" x14ac:dyDescent="0.35">
      <c r="A13" s="308" t="s">
        <v>58</v>
      </c>
      <c r="B13" s="306">
        <f>B11-B12</f>
        <v>29</v>
      </c>
      <c r="C13" s="307">
        <f t="shared" si="0"/>
        <v>29000</v>
      </c>
    </row>
    <row r="14" spans="1:3" x14ac:dyDescent="0.35">
      <c r="A14" s="309" t="s">
        <v>368</v>
      </c>
      <c r="B14" s="306">
        <v>80</v>
      </c>
      <c r="C14" s="307">
        <f t="shared" si="0"/>
        <v>80000</v>
      </c>
    </row>
    <row r="15" spans="1:3" x14ac:dyDescent="0.35">
      <c r="A15" s="308" t="s">
        <v>349</v>
      </c>
      <c r="B15" s="306">
        <v>26</v>
      </c>
      <c r="C15" s="307">
        <f t="shared" si="0"/>
        <v>26000</v>
      </c>
    </row>
    <row r="16" spans="1:3" x14ac:dyDescent="0.35">
      <c r="A16" s="308" t="s">
        <v>58</v>
      </c>
      <c r="B16">
        <f>B14-B15</f>
        <v>54</v>
      </c>
      <c r="C16" s="307">
        <f t="shared" si="0"/>
        <v>54000</v>
      </c>
    </row>
    <row r="17" spans="1:3" x14ac:dyDescent="0.35">
      <c r="A17" s="309" t="s">
        <v>369</v>
      </c>
      <c r="B17">
        <v>30</v>
      </c>
      <c r="C17" s="307">
        <f t="shared" si="0"/>
        <v>30000</v>
      </c>
    </row>
    <row r="18" spans="1:3" x14ac:dyDescent="0.35">
      <c r="A18" s="308" t="s">
        <v>370</v>
      </c>
      <c r="B18">
        <v>20</v>
      </c>
      <c r="C18" s="307">
        <f t="shared" si="0"/>
        <v>20000</v>
      </c>
    </row>
    <row r="19" spans="1:3" x14ac:dyDescent="0.35">
      <c r="A19" s="308" t="s">
        <v>371</v>
      </c>
      <c r="B19">
        <v>5</v>
      </c>
      <c r="C19" s="307">
        <f t="shared" si="0"/>
        <v>5000</v>
      </c>
    </row>
    <row r="20" spans="1:3" ht="15" thickBot="1" x14ac:dyDescent="0.4">
      <c r="A20" s="310" t="s">
        <v>372</v>
      </c>
      <c r="B20" s="311">
        <v>5</v>
      </c>
      <c r="C20" s="312">
        <f t="shared" si="0"/>
        <v>5000</v>
      </c>
    </row>
    <row r="21" spans="1:3" x14ac:dyDescent="0.35">
      <c r="A21" s="309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11" sqref="E11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329" t="s">
        <v>208</v>
      </c>
      <c r="B1" s="330"/>
      <c r="C1" s="35"/>
      <c r="H1"/>
      <c r="I1" s="250"/>
      <c r="J1" s="337" t="s">
        <v>282</v>
      </c>
      <c r="V1" s="324"/>
      <c r="W1" s="324"/>
      <c r="X1" s="324"/>
      <c r="Y1" s="324"/>
    </row>
    <row r="2" spans="1:27" x14ac:dyDescent="0.35">
      <c r="A2" s="331" t="s">
        <v>192</v>
      </c>
      <c r="B2" s="126"/>
      <c r="C2" t="s">
        <v>193</v>
      </c>
      <c r="I2" s="251"/>
      <c r="J2" s="337"/>
    </row>
    <row r="3" spans="1:27" x14ac:dyDescent="0.35">
      <c r="A3" s="332"/>
      <c r="B3" s="127"/>
      <c r="C3" t="s">
        <v>194</v>
      </c>
      <c r="I3" s="251"/>
      <c r="J3" s="337"/>
    </row>
    <row r="4" spans="1:27" x14ac:dyDescent="0.35">
      <c r="A4" s="332"/>
      <c r="B4" s="128"/>
      <c r="C4" t="s">
        <v>195</v>
      </c>
    </row>
    <row r="5" spans="1:27" x14ac:dyDescent="0.35">
      <c r="A5" s="333"/>
      <c r="B5" s="129"/>
      <c r="C5" t="s">
        <v>182</v>
      </c>
    </row>
    <row r="7" spans="1:27" x14ac:dyDescent="0.35">
      <c r="C7" s="334" t="s">
        <v>160</v>
      </c>
      <c r="D7" s="335"/>
      <c r="E7" s="335"/>
      <c r="F7" s="336"/>
      <c r="G7" s="334" t="s">
        <v>166</v>
      </c>
      <c r="H7" s="335"/>
      <c r="I7" s="335"/>
      <c r="J7" s="336"/>
      <c r="K7" s="334" t="s">
        <v>177</v>
      </c>
      <c r="L7" s="335"/>
      <c r="M7" s="335"/>
      <c r="N7" s="335"/>
      <c r="O7" s="334" t="s">
        <v>272</v>
      </c>
      <c r="P7" s="335"/>
      <c r="Q7" s="335"/>
      <c r="R7" s="335"/>
      <c r="S7" s="334" t="s">
        <v>276</v>
      </c>
      <c r="T7" s="335"/>
      <c r="U7" s="335"/>
      <c r="V7" s="335"/>
      <c r="W7" s="334" t="s">
        <v>277</v>
      </c>
      <c r="X7" s="335"/>
      <c r="Y7" s="335"/>
      <c r="Z7" s="335"/>
      <c r="AA7" s="231" t="s">
        <v>278</v>
      </c>
    </row>
    <row r="8" spans="1:27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x14ac:dyDescent="0.35">
      <c r="B11" s="86" t="s">
        <v>172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x14ac:dyDescent="0.35">
      <c r="B12" s="86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x14ac:dyDescent="0.35">
      <c r="B13" s="86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x14ac:dyDescent="0.35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x14ac:dyDescent="0.35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x14ac:dyDescent="0.35">
      <c r="B16" s="86" t="s">
        <v>167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x14ac:dyDescent="0.35">
      <c r="B17" s="86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x14ac:dyDescent="0.35">
      <c r="B18" s="86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x14ac:dyDescent="0.35">
      <c r="B19" s="86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35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main!L106/1000</f>
        <v>156.18299999999999</v>
      </c>
      <c r="E24" s="104">
        <f>main!M106/1000</f>
        <v>197.631</v>
      </c>
      <c r="F24" s="104">
        <f>main!P106/1000</f>
        <v>180.96849738041689</v>
      </c>
      <c r="G24" s="149">
        <f>main!Q106/1000</f>
        <v>184.23202564747211</v>
      </c>
      <c r="H24" s="104">
        <f>main!R106/1000</f>
        <v>186.07045989832829</v>
      </c>
      <c r="I24" s="104">
        <f>main!S106/1000</f>
        <v>186.07045989832829</v>
      </c>
      <c r="J24" s="104">
        <f>main!T106/1000</f>
        <v>186.07045989832829</v>
      </c>
      <c r="K24" s="149">
        <f>main!U106/1000</f>
        <v>186.07045989832829</v>
      </c>
      <c r="L24" s="104">
        <f>main!V106/1000</f>
        <v>229.0097967979425</v>
      </c>
      <c r="M24" s="232">
        <f>main!W106/1000</f>
        <v>229.0097967979425</v>
      </c>
      <c r="N24" s="104">
        <f>M24*(1+N26)</f>
        <v>226.66014661273934</v>
      </c>
      <c r="O24" s="149">
        <f t="shared" ref="O24:AA24" si="0">N24*(1+O26)</f>
        <v>224.33355697522467</v>
      </c>
      <c r="P24" s="104">
        <f t="shared" si="0"/>
        <v>222.00696733771011</v>
      </c>
      <c r="Q24" s="104">
        <f t="shared" si="0"/>
        <v>219.68037770019544</v>
      </c>
      <c r="R24" s="104">
        <f t="shared" si="0"/>
        <v>217.35378806268088</v>
      </c>
      <c r="S24" s="149">
        <f t="shared" si="0"/>
        <v>219.80303785147242</v>
      </c>
      <c r="T24" s="104">
        <f t="shared" si="0"/>
        <v>222.25228764026386</v>
      </c>
      <c r="U24" s="104">
        <f t="shared" si="0"/>
        <v>224.70153742905541</v>
      </c>
      <c r="V24" s="104">
        <f t="shared" si="0"/>
        <v>227.15078721784704</v>
      </c>
      <c r="W24" s="149">
        <f t="shared" si="0"/>
        <v>230.25341919114848</v>
      </c>
      <c r="X24" s="104">
        <f t="shared" si="0"/>
        <v>233.35605116444989</v>
      </c>
      <c r="Y24" s="104">
        <f t="shared" si="0"/>
        <v>236.45868313775142</v>
      </c>
      <c r="Z24" s="104">
        <f t="shared" si="0"/>
        <v>239.56131511105286</v>
      </c>
      <c r="AA24" s="149">
        <f t="shared" si="0"/>
        <v>242.78990159958667</v>
      </c>
      <c r="AB24" s="95"/>
    </row>
    <row r="25" spans="1:28" x14ac:dyDescent="0.35">
      <c r="B25" t="s">
        <v>178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32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-1.0260042225513577E-2</v>
      </c>
      <c r="O26" s="256">
        <f t="shared" ref="O26" si="3">(O25/N25)-1</f>
        <v>-1.0264661310264489E-2</v>
      </c>
      <c r="P26" s="239">
        <f t="shared" ref="P26" si="4">(P25/O25)-1</f>
        <v>-1.03711173169313E-2</v>
      </c>
      <c r="Q26" s="239">
        <f t="shared" ref="Q26" si="5">(Q25/P25)-1</f>
        <v>-1.0479804599895837E-2</v>
      </c>
      <c r="R26" s="239">
        <f t="shared" ref="R26" si="6">(R25/Q25)-1</f>
        <v>-1.0590794052119379E-2</v>
      </c>
      <c r="S26" s="256">
        <f t="shared" ref="S26" si="7">(S25/R25)-1</f>
        <v>1.1268493687743852E-2</v>
      </c>
      <c r="T26" s="239">
        <f t="shared" ref="T26" si="8">(T25/S25)-1</f>
        <v>1.1142929655260092E-2</v>
      </c>
      <c r="U26" s="239">
        <f t="shared" ref="U26" si="9">(U25/T25)-1</f>
        <v>1.1020133087475292E-2</v>
      </c>
      <c r="V26" s="239">
        <f t="shared" ref="V26" si="10">(V25/U25)-1</f>
        <v>1.0900013488180704E-2</v>
      </c>
      <c r="W26" s="256">
        <f t="shared" ref="W26" si="11">(W25/V25)-1</f>
        <v>1.3658909182321599E-2</v>
      </c>
      <c r="X26" s="239">
        <f t="shared" ref="X26" si="12">(X25/W25)-1</f>
        <v>1.3474857329808909E-2</v>
      </c>
      <c r="Y26" s="239">
        <f t="shared" ref="Y26" si="13">(Y25/X25)-1</f>
        <v>1.3295699673607553E-2</v>
      </c>
      <c r="Z26" s="239">
        <f t="shared" ref="Z26" si="14">(Z25/Y25)-1</f>
        <v>1.3121243559890639E-2</v>
      </c>
      <c r="AA26" s="256">
        <f t="shared" ref="AA26" si="15">(AA25/Z25)-1</f>
        <v>1.3477077828851991E-2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" si="16">F24-F25</f>
        <v>-16.659502619583094</v>
      </c>
      <c r="G27" s="150">
        <f t="shared" ref="G27" si="17">G24-G25</f>
        <v>-20.937831399481894</v>
      </c>
      <c r="H27" s="225">
        <f t="shared" ref="H27" si="18">H24-H25</f>
        <v>-26.641254195579705</v>
      </c>
      <c r="I27" s="225">
        <f t="shared" ref="I27" si="19">I24-I25</f>
        <v>-34.183111242533812</v>
      </c>
      <c r="J27" s="225">
        <f t="shared" ref="J27" si="20">J24-J25</f>
        <v>-41.724968289487691</v>
      </c>
      <c r="K27" s="150">
        <f t="shared" ref="K27:AA27" si="21">K24-K25</f>
        <v>-39.457568432331414</v>
      </c>
      <c r="L27" s="225">
        <f t="shared" si="21"/>
        <v>5.749168324439097</v>
      </c>
      <c r="M27" s="249">
        <f t="shared" si="21"/>
        <v>8.0165681815954883</v>
      </c>
      <c r="N27" s="225">
        <f t="shared" si="21"/>
        <v>7.9343178535486345</v>
      </c>
      <c r="O27" s="150">
        <f t="shared" si="21"/>
        <v>7.8528747680539652</v>
      </c>
      <c r="P27" s="225">
        <f t="shared" si="21"/>
        <v>7.771431682559296</v>
      </c>
      <c r="Q27" s="225">
        <f t="shared" si="21"/>
        <v>7.6899885970646267</v>
      </c>
      <c r="R27" s="225">
        <f t="shared" si="21"/>
        <v>7.6085455115699858</v>
      </c>
      <c r="S27" s="150">
        <f t="shared" si="21"/>
        <v>7.694282358640038</v>
      </c>
      <c r="T27" s="225">
        <f t="shared" si="21"/>
        <v>7.7800192057100617</v>
      </c>
      <c r="U27" s="225">
        <f t="shared" si="21"/>
        <v>7.8657560527801138</v>
      </c>
      <c r="V27" s="225">
        <f t="shared" si="21"/>
        <v>7.9514928998501375</v>
      </c>
      <c r="W27" s="150">
        <f t="shared" si="21"/>
        <v>8.0601016192330803</v>
      </c>
      <c r="X27" s="225">
        <f t="shared" si="21"/>
        <v>8.1687103386159947</v>
      </c>
      <c r="Y27" s="225">
        <f t="shared" si="21"/>
        <v>8.2773190579989091</v>
      </c>
      <c r="Z27" s="225">
        <f t="shared" si="21"/>
        <v>8.3859277773818519</v>
      </c>
      <c r="AA27" s="150">
        <f t="shared" si="21"/>
        <v>8.4989455787047632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main!L107/1000</f>
        <v>392.40166666666676</v>
      </c>
      <c r="F31" s="104">
        <f>main!M107/1000</f>
        <v>330.77699999999999</v>
      </c>
      <c r="G31" s="104">
        <f>main!P107/1000</f>
        <v>229.96728749999997</v>
      </c>
      <c r="H31" s="104">
        <f>main!Q107/1000</f>
        <v>203.32470571875001</v>
      </c>
      <c r="I31" s="104">
        <f>main!R107/1000</f>
        <v>187.68301748304685</v>
      </c>
      <c r="J31" s="104">
        <f>main!S107/1000</f>
        <v>188.40143257046211</v>
      </c>
      <c r="K31" s="104">
        <f>main!T107/1000</f>
        <v>189.48444331474056</v>
      </c>
      <c r="L31" s="104">
        <f>main!U107/1000</f>
        <v>190.9392877478879</v>
      </c>
      <c r="M31" s="104">
        <f>L31*(1 + M33)</f>
        <v>231.01005759196664</v>
      </c>
      <c r="N31" s="104">
        <f t="shared" ref="N31:AA31" si="22">M31*(1 + N33)</f>
        <v>268.96732512240902</v>
      </c>
      <c r="O31" s="104">
        <f t="shared" si="22"/>
        <v>304.45865517210234</v>
      </c>
      <c r="P31" s="104">
        <f t="shared" si="22"/>
        <v>339.35820457397739</v>
      </c>
      <c r="Q31" s="104">
        <f t="shared" si="22"/>
        <v>376.11763601185311</v>
      </c>
      <c r="R31" s="104">
        <f t="shared" si="22"/>
        <v>412.70798726463727</v>
      </c>
      <c r="S31" s="104">
        <f t="shared" si="22"/>
        <v>411.49460192584024</v>
      </c>
      <c r="T31" s="104">
        <f t="shared" si="22"/>
        <v>411.29569769758933</v>
      </c>
      <c r="U31" s="104">
        <f t="shared" si="22"/>
        <v>412.02673448733771</v>
      </c>
      <c r="V31" s="104">
        <f t="shared" si="22"/>
        <v>414.11041275781412</v>
      </c>
      <c r="W31" s="104">
        <f t="shared" si="22"/>
        <v>411.25265348198167</v>
      </c>
      <c r="X31" s="104">
        <f t="shared" si="22"/>
        <v>408.2258140210584</v>
      </c>
      <c r="Y31" s="104">
        <f t="shared" si="22"/>
        <v>405.87529530049824</v>
      </c>
      <c r="Z31" s="104">
        <f t="shared" si="22"/>
        <v>404.28563741284785</v>
      </c>
      <c r="AA31" s="104">
        <f t="shared" si="22"/>
        <v>402.37083281613849</v>
      </c>
      <c r="AB31" s="95"/>
    </row>
    <row r="32" spans="1:28" x14ac:dyDescent="0.35">
      <c r="B32" t="s">
        <v>178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143.73299999999989</v>
      </c>
      <c r="G32" s="149">
        <f t="shared" si="23"/>
        <v>119.7103015934359</v>
      </c>
      <c r="H32" s="104">
        <f t="shared" si="23"/>
        <v>95.692774643121879</v>
      </c>
      <c r="I32" s="104">
        <f t="shared" si="23"/>
        <v>71.680432077698356</v>
      </c>
      <c r="J32" s="104">
        <f t="shared" si="23"/>
        <v>49.757422545121358</v>
      </c>
      <c r="K32" s="149">
        <f t="shared" si="23"/>
        <v>63.885229528435843</v>
      </c>
      <c r="L32" s="232">
        <f t="shared" si="23"/>
        <v>80.170429568141572</v>
      </c>
      <c r="M32" s="104">
        <f t="shared" si="23"/>
        <v>96.995101270948112</v>
      </c>
      <c r="N32" s="104">
        <f t="shared" si="23"/>
        <v>112.932368446504</v>
      </c>
      <c r="O32" s="149">
        <f t="shared" si="23"/>
        <v>127.8342527553297</v>
      </c>
      <c r="P32" s="104">
        <f t="shared" si="23"/>
        <v>142.4876637965252</v>
      </c>
      <c r="Q32" s="104">
        <f t="shared" si="23"/>
        <v>157.92199082170151</v>
      </c>
      <c r="R32" s="104">
        <f t="shared" si="23"/>
        <v>173.28532548469749</v>
      </c>
      <c r="S32" s="149">
        <f t="shared" si="23"/>
        <v>172.77585661115961</v>
      </c>
      <c r="T32" s="104">
        <f t="shared" si="23"/>
        <v>172.69234191070231</v>
      </c>
      <c r="U32" s="104">
        <f t="shared" si="23"/>
        <v>172.999285202235</v>
      </c>
      <c r="V32" s="104">
        <f t="shared" si="23"/>
        <v>173.8741673912084</v>
      </c>
      <c r="W32" s="149">
        <f t="shared" si="23"/>
        <v>172.67426876663441</v>
      </c>
      <c r="X32" s="104">
        <f t="shared" si="23"/>
        <v>171.4033777798804</v>
      </c>
      <c r="Y32" s="104">
        <f t="shared" si="23"/>
        <v>170.41645624184639</v>
      </c>
      <c r="Z32" s="104">
        <f t="shared" si="23"/>
        <v>169.74900033362289</v>
      </c>
      <c r="AA32" s="149">
        <f t="shared" si="23"/>
        <v>168.94502379810791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0.20986131412089115</v>
      </c>
      <c r="N33" s="239">
        <f t="shared" ref="N33" si="25">(N32/M32)-1</f>
        <v>0.16431002150342011</v>
      </c>
      <c r="O33" s="256">
        <f t="shared" ref="O33" si="26">(O32/N32)-1</f>
        <v>0.13195405811297323</v>
      </c>
      <c r="P33" s="239">
        <f t="shared" ref="P33" si="27">(P32/O32)-1</f>
        <v>0.11462820586311562</v>
      </c>
      <c r="Q33" s="239">
        <f t="shared" ref="Q33" si="28">(Q32/P32)-1</f>
        <v>0.10832044412782849</v>
      </c>
      <c r="R33" s="239">
        <f t="shared" ref="R33" si="29">(R32/Q32)-1</f>
        <v>9.7284327426834682E-2</v>
      </c>
      <c r="S33" s="256">
        <f t="shared" ref="S33" si="30">(S32/R32)-1</f>
        <v>-2.940057804161067E-3</v>
      </c>
      <c r="T33" s="239">
        <f t="shared" ref="T33" si="31">(T32/S32)-1</f>
        <v>-4.8337020053246249E-4</v>
      </c>
      <c r="U33" s="239">
        <f t="shared" ref="U33" si="32">(U32/T32)-1</f>
        <v>1.7773995542396115E-3</v>
      </c>
      <c r="V33" s="239">
        <f t="shared" ref="V33" si="33">(V32/U32)-1</f>
        <v>5.0571433746138261E-3</v>
      </c>
      <c r="W33" s="256">
        <f t="shared" ref="W33" si="34">(W32/V32)-1</f>
        <v>-6.9009597145864854E-3</v>
      </c>
      <c r="X33" s="239">
        <f t="shared" ref="X33" si="35">(X32/W32)-1</f>
        <v>-7.3600484648445041E-3</v>
      </c>
      <c r="Y33" s="239">
        <f t="shared" ref="Y33" si="36">(Y32/X32)-1</f>
        <v>-5.7578885014823999E-3</v>
      </c>
      <c r="Z33" s="239">
        <f t="shared" ref="Z33" si="37">(Z32/Y32)-1</f>
        <v>-3.9166165225046345E-3</v>
      </c>
      <c r="AA33" s="256">
        <f t="shared" ref="AA33" si="38">(AA32/Z32)-1</f>
        <v>-4.736266687490609E-3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" si="39">F31-F32</f>
        <v>187.0440000000001</v>
      </c>
      <c r="G34" s="150">
        <f t="shared" ref="G34" si="40">G31-G32</f>
        <v>110.25698590656407</v>
      </c>
      <c r="H34" s="225">
        <f t="shared" ref="H34" si="41">H31-H32</f>
        <v>107.63193107562813</v>
      </c>
      <c r="I34" s="225">
        <f t="shared" ref="I34" si="42">I31-I32</f>
        <v>116.0025854053485</v>
      </c>
      <c r="J34" s="225">
        <f t="shared" ref="J34" si="43">J31-J32</f>
        <v>138.64401002534075</v>
      </c>
      <c r="K34" s="150">
        <f t="shared" ref="K34:N34" si="44">K31-K32</f>
        <v>125.59921378630472</v>
      </c>
      <c r="L34" s="249">
        <f t="shared" si="44"/>
        <v>110.76885817974633</v>
      </c>
      <c r="M34" s="225">
        <f t="shared" si="44"/>
        <v>134.01495632101853</v>
      </c>
      <c r="N34" s="225">
        <f t="shared" si="44"/>
        <v>156.03495667590502</v>
      </c>
      <c r="O34" s="150">
        <f t="shared" ref="O34:AA34" si="45">O31-O32</f>
        <v>176.62440241677263</v>
      </c>
      <c r="P34" s="150">
        <f t="shared" si="45"/>
        <v>196.87054077745219</v>
      </c>
      <c r="Q34" s="150">
        <f t="shared" si="45"/>
        <v>218.19564519015159</v>
      </c>
      <c r="R34" s="150">
        <f t="shared" si="45"/>
        <v>239.42266177993977</v>
      </c>
      <c r="S34" s="150">
        <f t="shared" si="45"/>
        <v>238.71874531468063</v>
      </c>
      <c r="T34" s="150">
        <f t="shared" si="45"/>
        <v>238.60335578688702</v>
      </c>
      <c r="U34" s="150">
        <f t="shared" si="45"/>
        <v>239.0274492851027</v>
      </c>
      <c r="V34" s="150">
        <f t="shared" si="45"/>
        <v>240.23624536660571</v>
      </c>
      <c r="W34" s="150">
        <f t="shared" si="45"/>
        <v>238.57838471534725</v>
      </c>
      <c r="X34" s="150">
        <f t="shared" si="45"/>
        <v>236.822436241178</v>
      </c>
      <c r="Y34" s="150">
        <f t="shared" si="45"/>
        <v>235.45883905865185</v>
      </c>
      <c r="Z34" s="150">
        <f t="shared" si="45"/>
        <v>234.53663707922496</v>
      </c>
      <c r="AA34" s="150">
        <f t="shared" si="45"/>
        <v>233.42580901803058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273</v>
      </c>
      <c r="D38" s="102"/>
      <c r="E38" s="104">
        <f>main!L22</f>
        <v>1779.8019999999999</v>
      </c>
      <c r="F38" s="104">
        <f>main!M22</f>
        <v>1871.3489999999999</v>
      </c>
      <c r="G38" s="149">
        <f>main!P22</f>
        <v>1909.1908330926583</v>
      </c>
      <c r="H38" s="104">
        <f>main!Q22</f>
        <v>1940.8545978916857</v>
      </c>
      <c r="I38" s="104">
        <f>main!R22</f>
        <v>1971.716984299685</v>
      </c>
      <c r="J38" s="104">
        <f>main!S22</f>
        <v>2004.7039552792487</v>
      </c>
      <c r="K38" s="149">
        <f>main!T22</f>
        <v>2026.797771152849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179</v>
      </c>
      <c r="D40" s="103"/>
      <c r="E40" s="225"/>
      <c r="F40" s="225">
        <f>F38-F39</f>
        <v>4.8999999999978172E-2</v>
      </c>
      <c r="G40" s="150">
        <f t="shared" ref="G40:K40" si="47">G38-G39</f>
        <v>4.9990862646382084E-2</v>
      </c>
      <c r="H40" s="225">
        <f t="shared" si="47"/>
        <v>5.0819956777559128E-2</v>
      </c>
      <c r="I40" s="225">
        <f t="shared" si="47"/>
        <v>5.1628067362116781E-2</v>
      </c>
      <c r="J40" s="225">
        <f t="shared" si="47"/>
        <v>5.2491808747618052E-2</v>
      </c>
      <c r="K40" s="150">
        <f t="shared" si="47"/>
        <v>5.3070320278948202E-2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273</v>
      </c>
      <c r="D44" s="102"/>
      <c r="E44" s="104">
        <f>main!L26</f>
        <v>54.2</v>
      </c>
      <c r="F44" s="104">
        <f>main!M26</f>
        <v>90.2</v>
      </c>
      <c r="G44" s="149">
        <f>main!P26</f>
        <v>92.023996135920015</v>
      </c>
      <c r="H44" s="104">
        <f>main!Q26</f>
        <v>93.550206150659264</v>
      </c>
      <c r="I44" s="104">
        <f>main!R26</f>
        <v>95.037789308050833</v>
      </c>
      <c r="J44" s="104">
        <f>main!S26</f>
        <v>96.627778552364219</v>
      </c>
      <c r="K44" s="149">
        <f>main!T26</f>
        <v>97.692712026450963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0</v>
      </c>
      <c r="H46" s="225">
        <f t="shared" si="49"/>
        <v>0</v>
      </c>
      <c r="I46" s="225">
        <f t="shared" si="49"/>
        <v>0</v>
      </c>
      <c r="J46" s="225">
        <f t="shared" si="49"/>
        <v>0</v>
      </c>
      <c r="K46" s="150">
        <f t="shared" si="49"/>
        <v>0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main!P89/1000</f>
        <v>1368.1173718507844</v>
      </c>
      <c r="H50" s="104">
        <f>main!Q89/1000</f>
        <v>1399.852444352445</v>
      </c>
      <c r="I50" s="104">
        <f>main!R89/1000</f>
        <v>1427.8063628181037</v>
      </c>
      <c r="J50" s="232">
        <f>main!S89/1000</f>
        <v>1450.8060635893014</v>
      </c>
      <c r="K50" s="149">
        <f>J50*(1+K52)</f>
        <v>1487.713924862433</v>
      </c>
      <c r="L50" s="104">
        <f t="shared" ref="L50:AA50" si="50">K50*(1+L52)</f>
        <v>1524.6217861355647</v>
      </c>
      <c r="M50" s="104">
        <f t="shared" si="50"/>
        <v>1561.5296474086963</v>
      </c>
      <c r="N50" s="104">
        <f t="shared" si="50"/>
        <v>1598.4375086818279</v>
      </c>
      <c r="O50" s="149">
        <f t="shared" si="50"/>
        <v>1602.9572009631897</v>
      </c>
      <c r="P50" s="104">
        <f t="shared" si="50"/>
        <v>1607.4768932445511</v>
      </c>
      <c r="Q50" s="104">
        <f t="shared" si="50"/>
        <v>1611.9965855259129</v>
      </c>
      <c r="R50" s="104">
        <f t="shared" si="50"/>
        <v>1616.5162778072749</v>
      </c>
      <c r="S50" s="149">
        <f t="shared" si="50"/>
        <v>1628.8263704408703</v>
      </c>
      <c r="T50" s="104">
        <f t="shared" si="50"/>
        <v>1641.1364630744656</v>
      </c>
      <c r="U50" s="104">
        <f t="shared" si="50"/>
        <v>1653.44655570806</v>
      </c>
      <c r="V50" s="104">
        <f t="shared" si="50"/>
        <v>1665.7566483416565</v>
      </c>
      <c r="W50" s="149">
        <f t="shared" si="50"/>
        <v>1705.5391457274475</v>
      </c>
      <c r="X50" s="104">
        <f t="shared" si="50"/>
        <v>1745.3216431132385</v>
      </c>
      <c r="Y50" s="104">
        <f t="shared" si="50"/>
        <v>1785.1041404990306</v>
      </c>
      <c r="Z50" s="104">
        <f t="shared" si="50"/>
        <v>1824.8866378848215</v>
      </c>
      <c r="AA50" s="149">
        <f t="shared" si="50"/>
        <v>1854.6002781376694</v>
      </c>
      <c r="AB50" s="95"/>
    </row>
    <row r="51" spans="1:28" x14ac:dyDescent="0.35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3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2.3325467190506988E-2</v>
      </c>
      <c r="Y52" s="239">
        <f t="shared" ref="Y52" si="66">(Y51/X51)-1</f>
        <v>2.2793791358038495E-2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35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59.561193892373922</v>
      </c>
      <c r="I53" s="225">
        <f t="shared" ref="I53" si="72">I50-I51</f>
        <v>81.75548712799673</v>
      </c>
      <c r="J53" s="249">
        <f t="shared" ref="J53" si="73">J50-J51</f>
        <v>98.995562669159426</v>
      </c>
      <c r="K53" s="150">
        <f t="shared" ref="K53:AA53" si="74">K50-K51</f>
        <v>101.51396577302398</v>
      </c>
      <c r="L53" s="225">
        <f t="shared" si="74"/>
        <v>104.03236887688877</v>
      </c>
      <c r="M53" s="225">
        <f t="shared" si="74"/>
        <v>106.55077198075332</v>
      </c>
      <c r="N53" s="225">
        <f t="shared" si="74"/>
        <v>109.06917508461788</v>
      </c>
      <c r="O53" s="150">
        <f t="shared" si="74"/>
        <v>109.37757569839664</v>
      </c>
      <c r="P53" s="225">
        <f t="shared" si="74"/>
        <v>109.68597631217517</v>
      </c>
      <c r="Q53" s="225">
        <f t="shared" si="74"/>
        <v>109.99437692595393</v>
      </c>
      <c r="R53" s="225">
        <f t="shared" si="74"/>
        <v>110.30277753973292</v>
      </c>
      <c r="S53" s="150">
        <f t="shared" si="74"/>
        <v>111.14275510624338</v>
      </c>
      <c r="T53" s="225">
        <f t="shared" si="74"/>
        <v>111.98273267275363</v>
      </c>
      <c r="U53" s="225">
        <f t="shared" si="74"/>
        <v>112.8227102392641</v>
      </c>
      <c r="V53" s="225">
        <f t="shared" si="74"/>
        <v>113.66268780577457</v>
      </c>
      <c r="W53" s="150">
        <f t="shared" si="74"/>
        <v>116.3772413301424</v>
      </c>
      <c r="X53" s="225">
        <f t="shared" si="74"/>
        <v>119.09179485451045</v>
      </c>
      <c r="Y53" s="225">
        <f t="shared" si="74"/>
        <v>121.80634837887851</v>
      </c>
      <c r="Z53" s="225">
        <f t="shared" si="74"/>
        <v>124.52090190324657</v>
      </c>
      <c r="AA53" s="150">
        <f t="shared" si="74"/>
        <v>126.54840827339649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190</v>
      </c>
      <c r="D57" s="102">
        <f>main!K88/1000</f>
        <v>1574.462</v>
      </c>
      <c r="E57" s="104">
        <f>main!L88/1000</f>
        <v>3741.5573333333332</v>
      </c>
      <c r="F57" s="104">
        <f>main!M88/1000</f>
        <v>2466.0010000000002</v>
      </c>
      <c r="G57" s="149">
        <f>main!P88/1000</f>
        <v>1966.8823341534182</v>
      </c>
      <c r="H57" s="104">
        <f>main!Q88/1000</f>
        <v>3089.2255068547402</v>
      </c>
      <c r="I57" s="104">
        <f>main!R88/1000</f>
        <v>1856.5115519714532</v>
      </c>
      <c r="J57" s="104">
        <f>main!S88/1000</f>
        <v>1668.2677153316674</v>
      </c>
      <c r="K57" s="274">
        <f>main!T88/1000</f>
        <v>1664.5717310616424</v>
      </c>
      <c r="L57" s="104">
        <f>K57*(1+L59)</f>
        <v>1681.2727898882304</v>
      </c>
      <c r="M57" s="104">
        <f t="shared" ref="M57:AA57" si="75">L57*(1+M59)</f>
        <v>1680.5644533994202</v>
      </c>
      <c r="N57" s="104">
        <f t="shared" si="75"/>
        <v>1655.7496888137784</v>
      </c>
      <c r="O57" s="104">
        <f t="shared" si="75"/>
        <v>1657.566423178687</v>
      </c>
      <c r="P57" s="104">
        <f t="shared" si="75"/>
        <v>1660.3895203244397</v>
      </c>
      <c r="Q57" s="104">
        <f t="shared" si="75"/>
        <v>1663.9008680978411</v>
      </c>
      <c r="R57" s="104">
        <f t="shared" si="75"/>
        <v>1669.3841935883013</v>
      </c>
      <c r="S57" s="104">
        <f t="shared" si="75"/>
        <v>1686.2794632075206</v>
      </c>
      <c r="T57" s="104">
        <f t="shared" si="75"/>
        <v>1702.5126834431453</v>
      </c>
      <c r="U57" s="104">
        <f t="shared" si="75"/>
        <v>1715.659023623029</v>
      </c>
      <c r="V57" s="104">
        <f t="shared" si="75"/>
        <v>1726.9132010123569</v>
      </c>
      <c r="W57" s="104">
        <f t="shared" si="75"/>
        <v>1766.739208199637</v>
      </c>
      <c r="X57" s="104">
        <f t="shared" si="75"/>
        <v>1800.3369771000982</v>
      </c>
      <c r="Y57" s="104">
        <f t="shared" si="75"/>
        <v>1828.4173669491454</v>
      </c>
      <c r="Z57" s="104">
        <f t="shared" si="75"/>
        <v>1850.3866279624326</v>
      </c>
      <c r="AA57" s="104">
        <f t="shared" si="75"/>
        <v>1862.2029187784933</v>
      </c>
      <c r="AB57" s="95"/>
    </row>
    <row r="58" spans="1:28" x14ac:dyDescent="0.35">
      <c r="B58" t="s">
        <v>178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2653.2669999999998</v>
      </c>
      <c r="G58" s="149">
        <f t="shared" si="76"/>
        <v>2317.9343666284731</v>
      </c>
      <c r="H58" s="104">
        <f t="shared" si="76"/>
        <v>2053.9178721883209</v>
      </c>
      <c r="I58" s="104">
        <f t="shared" si="76"/>
        <v>1841.244964503114</v>
      </c>
      <c r="J58" s="104">
        <f t="shared" si="76"/>
        <v>1692.806943814478</v>
      </c>
      <c r="K58" s="274">
        <f t="shared" si="76"/>
        <v>1738.8476760207</v>
      </c>
      <c r="L58" s="104">
        <f t="shared" si="76"/>
        <v>1756.293963726893</v>
      </c>
      <c r="M58" s="104">
        <f t="shared" si="76"/>
        <v>1755.5540200918881</v>
      </c>
      <c r="N58" s="104">
        <f t="shared" si="76"/>
        <v>1729.6319796501559</v>
      </c>
      <c r="O58" s="149">
        <f t="shared" si="76"/>
        <v>1731.529779708525</v>
      </c>
      <c r="P58" s="104">
        <f t="shared" si="76"/>
        <v>1734.478848120219</v>
      </c>
      <c r="Q58" s="104">
        <f t="shared" si="76"/>
        <v>1738.1468780413959</v>
      </c>
      <c r="R58" s="104">
        <f t="shared" si="76"/>
        <v>1743.874878588342</v>
      </c>
      <c r="S58" s="149">
        <f t="shared" si="76"/>
        <v>1761.5240430940889</v>
      </c>
      <c r="T58" s="104">
        <f t="shared" si="76"/>
        <v>1778.481616477271</v>
      </c>
      <c r="U58" s="104">
        <f t="shared" si="76"/>
        <v>1792.214568108853</v>
      </c>
      <c r="V58" s="104">
        <f t="shared" si="76"/>
        <v>1803.970925515257</v>
      </c>
      <c r="W58" s="149">
        <f t="shared" si="76"/>
        <v>1845.574035042185</v>
      </c>
      <c r="X58" s="104">
        <f t="shared" si="76"/>
        <v>1880.670991984249</v>
      </c>
      <c r="Y58" s="104">
        <f t="shared" si="76"/>
        <v>1910.0043752921761</v>
      </c>
      <c r="Z58" s="104">
        <f t="shared" si="76"/>
        <v>1932.953941083782</v>
      </c>
      <c r="AA58" s="149">
        <f t="shared" si="76"/>
        <v>1945.2974943481329</v>
      </c>
      <c r="AB58" s="95"/>
    </row>
    <row r="59" spans="1:28" s="171" customFormat="1" ht="12" x14ac:dyDescent="0.3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1.0033246699399534E-2</v>
      </c>
      <c r="M59" s="239">
        <f t="shared" ref="M59" si="78">(M58/L58)-1</f>
        <v>-4.2130967268982911E-4</v>
      </c>
      <c r="N59" s="239">
        <f t="shared" ref="N59" si="79">(N58/M58)-1</f>
        <v>-1.4765732153531497E-2</v>
      </c>
      <c r="O59" s="256">
        <f t="shared" ref="O59" si="80">(O58/N58)-1</f>
        <v>1.0972276650162982E-3</v>
      </c>
      <c r="P59" s="239">
        <f t="shared" ref="P59" si="81">(P58/O58)-1</f>
        <v>1.7031577777371076E-3</v>
      </c>
      <c r="Q59" s="239">
        <f t="shared" ref="Q59" si="82">(Q58/P58)-1</f>
        <v>2.114773509721557E-3</v>
      </c>
      <c r="R59" s="239">
        <f t="shared" ref="R59" si="83">(R58/Q58)-1</f>
        <v>3.2954640481248632E-3</v>
      </c>
      <c r="S59" s="256">
        <f t="shared" ref="S59" si="84">(S58/R58)-1</f>
        <v>1.0120659872131288E-2</v>
      </c>
      <c r="T59" s="239">
        <f t="shared" ref="T59" si="85">(T58/S58)-1</f>
        <v>9.626648838352736E-3</v>
      </c>
      <c r="U59" s="239">
        <f t="shared" ref="U59" si="86">(U58/T58)-1</f>
        <v>7.7217281890062939E-3</v>
      </c>
      <c r="V59" s="239">
        <f t="shared" ref="V59" si="87">(V58/U58)-1</f>
        <v>6.5596818682316371E-3</v>
      </c>
      <c r="W59" s="256">
        <f t="shared" ref="W59" si="88">(W58/V58)-1</f>
        <v>2.3061962329046448E-2</v>
      </c>
      <c r="X59" s="239">
        <f t="shared" ref="X59" si="89">(X58/W58)-1</f>
        <v>1.9016824183518466E-2</v>
      </c>
      <c r="Y59" s="239">
        <f t="shared" ref="Y59" si="90">(Y58/X58)-1</f>
        <v>1.5597296620701417E-2</v>
      </c>
      <c r="Z59" s="239">
        <f t="shared" ref="Z59" si="91">(Z58/Y58)-1</f>
        <v>1.20154519479021E-2</v>
      </c>
      <c r="AA59" s="256">
        <f t="shared" ref="AA59" si="92">(AA58/Z58)-1</f>
        <v>6.3858496583886204E-3</v>
      </c>
      <c r="AB59" s="253"/>
    </row>
    <row r="60" spans="1:28" s="97" customFormat="1" x14ac:dyDescent="0.35">
      <c r="B60" s="99" t="s">
        <v>179</v>
      </c>
      <c r="D60" s="103"/>
      <c r="E60" s="225"/>
      <c r="F60" s="225">
        <f t="shared" ref="F60" si="93">F57-F58</f>
        <v>-187.26599999999962</v>
      </c>
      <c r="G60" s="150">
        <f t="shared" ref="G60" si="94">G57-G58</f>
        <v>-351.05203247505483</v>
      </c>
      <c r="H60" s="225">
        <f t="shared" ref="H60" si="95">H57-H58</f>
        <v>1035.3076346664193</v>
      </c>
      <c r="I60" s="225">
        <f t="shared" ref="I60" si="96">I57-I58</f>
        <v>15.266587468339139</v>
      </c>
      <c r="J60" s="225">
        <f t="shared" ref="J60" si="97">J57-J58</f>
        <v>-24.539228482810586</v>
      </c>
      <c r="K60" s="275">
        <f t="shared" ref="K60" si="98">K57-K58</f>
        <v>-74.275944959057597</v>
      </c>
      <c r="L60" s="225">
        <f t="shared" ref="L60:AA60" si="99">L57-L58</f>
        <v>-75.021173838662662</v>
      </c>
      <c r="M60" s="225">
        <f t="shared" si="99"/>
        <v>-74.989566692467861</v>
      </c>
      <c r="N60" s="225">
        <f t="shared" si="99"/>
        <v>-73.882290836377479</v>
      </c>
      <c r="O60" s="150">
        <f t="shared" si="99"/>
        <v>-73.963356529837938</v>
      </c>
      <c r="P60" s="225">
        <f t="shared" si="99"/>
        <v>-74.089327795779354</v>
      </c>
      <c r="Q60" s="225">
        <f t="shared" si="99"/>
        <v>-74.246009943554782</v>
      </c>
      <c r="R60" s="225">
        <f t="shared" si="99"/>
        <v>-74.490685000040685</v>
      </c>
      <c r="S60" s="150">
        <f t="shared" si="99"/>
        <v>-75.244579886568317</v>
      </c>
      <c r="T60" s="225">
        <f t="shared" si="99"/>
        <v>-75.968933034125712</v>
      </c>
      <c r="U60" s="225">
        <f t="shared" si="99"/>
        <v>-76.55554448582393</v>
      </c>
      <c r="V60" s="225">
        <f t="shared" si="99"/>
        <v>-77.057724502900101</v>
      </c>
      <c r="W60" s="150">
        <f t="shared" si="99"/>
        <v>-78.834826842547955</v>
      </c>
      <c r="X60" s="225">
        <f t="shared" si="99"/>
        <v>-80.334014884150747</v>
      </c>
      <c r="Y60" s="225">
        <f t="shared" si="99"/>
        <v>-81.587008343030675</v>
      </c>
      <c r="Z60" s="225">
        <f t="shared" si="99"/>
        <v>-82.567313121349343</v>
      </c>
      <c r="AA60" s="150">
        <f t="shared" si="99"/>
        <v>-83.094575569639574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212</v>
      </c>
      <c r="D64" s="100"/>
      <c r="E64" s="104">
        <f>main!L50/1000</f>
        <v>1086.548</v>
      </c>
      <c r="F64" s="104">
        <f>main!M50/1000</f>
        <v>1213.48</v>
      </c>
      <c r="G64" s="149">
        <f>main!P50/1000</f>
        <v>382.93200834658188</v>
      </c>
      <c r="H64" s="104">
        <f>main!Q50/1000</f>
        <v>577.41691666666668</v>
      </c>
      <c r="I64" s="104">
        <f>main!R50/1000</f>
        <v>577.41691666666668</v>
      </c>
      <c r="J64" s="104">
        <f>main!S50/1000</f>
        <v>577.41691666666668</v>
      </c>
      <c r="K64" s="149">
        <f>main!T50/1000</f>
        <v>122.75024999999999</v>
      </c>
      <c r="L64" s="232">
        <f>main!U50/1000</f>
        <v>77.330250000000007</v>
      </c>
      <c r="M64" s="240">
        <f>L64*(1+M66)</f>
        <v>77.668082321497494</v>
      </c>
      <c r="N64" s="240">
        <f>M64*(1+N66)</f>
        <v>78.010230735371749</v>
      </c>
      <c r="O64" s="257">
        <f>N64*(1+O66)</f>
        <v>78.356695241622859</v>
      </c>
      <c r="P64" s="240">
        <f>O64*(1+P66)</f>
        <v>78.70826058431939</v>
      </c>
      <c r="Q64" s="240">
        <f t="shared" ref="Q64:AA64" si="100">P64*(1+Q66)</f>
        <v>79.061395415152944</v>
      </c>
      <c r="R64" s="240">
        <f t="shared" si="100"/>
        <v>79.419631082431863</v>
      </c>
      <c r="S64" s="257">
        <f t="shared" si="100"/>
        <v>79.782967586156147</v>
      </c>
      <c r="T64" s="240">
        <f t="shared" si="100"/>
        <v>80.150227810223072</v>
      </c>
      <c r="U64" s="240">
        <f t="shared" si="100"/>
        <v>80.518272778358522</v>
      </c>
      <c r="V64" s="240">
        <f t="shared" si="100"/>
        <v>80.888279606665222</v>
      </c>
      <c r="W64" s="257">
        <f t="shared" si="100"/>
        <v>81.260248295143214</v>
      </c>
      <c r="X64" s="240">
        <f t="shared" si="100"/>
        <v>81.633001727689773</v>
      </c>
      <c r="Y64" s="240">
        <f t="shared" si="100"/>
        <v>82.003793300064999</v>
      </c>
      <c r="Z64" s="240">
        <f t="shared" si="100"/>
        <v>82.374977244474536</v>
      </c>
      <c r="AA64" s="257">
        <f t="shared" si="100"/>
        <v>82.746161188884003</v>
      </c>
      <c r="AB64" s="95"/>
    </row>
    <row r="65" spans="1:32" x14ac:dyDescent="0.35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32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3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4.3686955815800399E-3</v>
      </c>
      <c r="N66" s="239">
        <f t="shared" si="102"/>
        <v>4.4052640885090533E-3</v>
      </c>
      <c r="O66" s="256">
        <f t="shared" si="102"/>
        <v>4.4412701127163334E-3</v>
      </c>
      <c r="P66" s="239">
        <f t="shared" si="102"/>
        <v>4.4867300951429989E-3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4.5748953850863749E-3</v>
      </c>
      <c r="T66" s="239">
        <f t="shared" si="102"/>
        <v>4.6032409570417876E-3</v>
      </c>
      <c r="U66" s="239">
        <f t="shared" si="102"/>
        <v>4.5919391396727072E-3</v>
      </c>
      <c r="V66" s="239">
        <f t="shared" si="102"/>
        <v>4.5953150202961979E-3</v>
      </c>
      <c r="W66" s="256">
        <f t="shared" si="102"/>
        <v>4.5985486437190026E-3</v>
      </c>
      <c r="X66" s="239">
        <f t="shared" si="102"/>
        <v>4.5871559633030579E-3</v>
      </c>
      <c r="Y66" s="239">
        <f t="shared" si="102"/>
        <v>4.5421773612110972E-3</v>
      </c>
      <c r="Z66" s="239">
        <f t="shared" si="102"/>
        <v>4.5264240771316633E-3</v>
      </c>
      <c r="AA66" s="256">
        <f t="shared" si="102"/>
        <v>4.5060278840243218E-3</v>
      </c>
      <c r="AB66" s="253"/>
    </row>
    <row r="67" spans="1:32" s="97" customFormat="1" x14ac:dyDescent="0.35">
      <c r="B67" s="99" t="s">
        <v>179</v>
      </c>
      <c r="D67" s="103"/>
      <c r="E67" s="225"/>
      <c r="F67" s="225">
        <f>F64-F65</f>
        <v>0.57999999999992724</v>
      </c>
      <c r="G67" s="150">
        <f t="shared" ref="G67:AA67" si="103">G64-G65</f>
        <v>-833.94013103694624</v>
      </c>
      <c r="H67" s="225">
        <f t="shared" si="103"/>
        <v>-643.57844188676734</v>
      </c>
      <c r="I67" s="225">
        <f t="shared" si="103"/>
        <v>-647.99123064723142</v>
      </c>
      <c r="J67" s="225">
        <f t="shared" si="103"/>
        <v>-652.75653890924525</v>
      </c>
      <c r="K67" s="150">
        <f t="shared" si="103"/>
        <v>-1112.559918312772</v>
      </c>
      <c r="L67" s="225">
        <f t="shared" si="103"/>
        <v>-1163.3117757737041</v>
      </c>
      <c r="M67" s="225">
        <f t="shared" si="103"/>
        <v>-1168.3939307885266</v>
      </c>
      <c r="N67" s="225">
        <f t="shared" si="103"/>
        <v>-1173.5410146130612</v>
      </c>
      <c r="O67" s="150">
        <f t="shared" si="103"/>
        <v>-1178.7530272473091</v>
      </c>
      <c r="P67" s="225">
        <f t="shared" si="103"/>
        <v>-1184.0417739294007</v>
      </c>
      <c r="Q67" s="225">
        <f t="shared" si="103"/>
        <v>-1189.3541310877511</v>
      </c>
      <c r="R67" s="225">
        <f t="shared" si="103"/>
        <v>-1194.7432222939442</v>
      </c>
      <c r="S67" s="150">
        <f t="shared" si="103"/>
        <v>-1200.2090475479797</v>
      </c>
      <c r="T67" s="225">
        <f t="shared" si="103"/>
        <v>-1205.733898992665</v>
      </c>
      <c r="U67" s="225">
        <f t="shared" si="103"/>
        <v>-1211.2705556754795</v>
      </c>
      <c r="V67" s="225">
        <f t="shared" si="103"/>
        <v>-1216.8367254536176</v>
      </c>
      <c r="W67" s="150">
        <f t="shared" si="103"/>
        <v>-1222.4324083270799</v>
      </c>
      <c r="X67" s="225">
        <f t="shared" si="103"/>
        <v>-1228.0398964386723</v>
      </c>
      <c r="Y67" s="225">
        <f t="shared" si="103"/>
        <v>-1233.6178714549401</v>
      </c>
      <c r="Z67" s="225">
        <f t="shared" si="103"/>
        <v>-1239.2017490902733</v>
      </c>
      <c r="AA67" s="150">
        <f t="shared" si="103"/>
        <v>-1244.7856267256061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209</v>
      </c>
      <c r="D71" s="100"/>
      <c r="E71" s="226">
        <f>main!L78/1000</f>
        <v>279.25</v>
      </c>
      <c r="F71" s="226">
        <f>main!M78/1000</f>
        <v>286.98038194444445</v>
      </c>
      <c r="G71" s="151">
        <f>main!P78/1000</f>
        <v>298.42437754843183</v>
      </c>
      <c r="H71" s="226">
        <f>main!Q78/1000</f>
        <v>341.19269489482321</v>
      </c>
      <c r="I71" s="226">
        <f>main!R78/1000</f>
        <v>314.07437053822298</v>
      </c>
      <c r="J71" s="226">
        <f>main!S78/1000</f>
        <v>315.10719057763401</v>
      </c>
      <c r="K71" s="151">
        <f>main!T78/1000</f>
        <v>310.59699489026309</v>
      </c>
      <c r="L71" s="226">
        <f>main!U78/1000</f>
        <v>306.29387850499586</v>
      </c>
      <c r="M71" s="226">
        <f>main!V78/1000</f>
        <v>308.01210563686004</v>
      </c>
      <c r="N71" s="226">
        <f>main!W78/1000</f>
        <v>309.9208485534183</v>
      </c>
      <c r="O71" s="151">
        <f>main!X78/1000</f>
        <v>311.67699647715051</v>
      </c>
      <c r="P71" s="258">
        <f>main!Y78/1000</f>
        <v>313.62750241134353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35">
      <c r="B72" t="s">
        <v>178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40">
        <f t="shared" ref="P72:AA72" si="106">P20</f>
        <v>257.44254207870313</v>
      </c>
      <c r="Q72" s="240">
        <f t="shared" si="106"/>
        <v>269.82423671275279</v>
      </c>
      <c r="R72" s="240">
        <f t="shared" si="106"/>
        <v>282.95791896096779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3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4.8094982803053687E-2</v>
      </c>
      <c r="R73" s="239">
        <f t="shared" ref="R73" si="108">(R72/Q72)-1</f>
        <v>4.867495377072717E-2</v>
      </c>
      <c r="S73" s="256">
        <f t="shared" ref="S73" si="109">(S72/R72)-1</f>
        <v>6.6658920658153598E-3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35">
      <c r="B74" s="99" t="s">
        <v>179</v>
      </c>
      <c r="D74" s="103"/>
      <c r="E74" s="225"/>
      <c r="F74" s="225">
        <f>F71-F72</f>
        <v>44.85238194444446</v>
      </c>
      <c r="G74" s="150">
        <f t="shared" ref="G74:K74" si="118">G71-G72</f>
        <v>69.293656609261546</v>
      </c>
      <c r="H74" s="225">
        <f t="shared" si="118"/>
        <v>127.66634709591</v>
      </c>
      <c r="I74" s="225">
        <f t="shared" si="118"/>
        <v>115.71788019966229</v>
      </c>
      <c r="J74" s="225">
        <f t="shared" si="118"/>
        <v>131.34120345955321</v>
      </c>
      <c r="K74" s="150">
        <f t="shared" si="118"/>
        <v>115.54367465655329</v>
      </c>
      <c r="L74" s="225">
        <f t="shared" ref="L74:N74" si="119">L71-L72</f>
        <v>99.159465844497163</v>
      </c>
      <c r="M74" s="225">
        <f t="shared" si="119"/>
        <v>88.714788339062352</v>
      </c>
      <c r="N74" s="225">
        <f t="shared" si="119"/>
        <v>77.730357216756403</v>
      </c>
      <c r="O74" s="150">
        <f t="shared" ref="O74:AA74" si="120">O71-O72</f>
        <v>67.23297832179702</v>
      </c>
      <c r="P74" s="260">
        <f t="shared" si="120"/>
        <v>56.184960332640401</v>
      </c>
      <c r="Q74" s="260">
        <f t="shared" si="120"/>
        <v>60.681221313274534</v>
      </c>
      <c r="R74" s="260">
        <f t="shared" si="120"/>
        <v>47.547539065059539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J1" activePane="topRight" state="frozen"/>
      <selection pane="topRight" activeCell="K19" sqref="K19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35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TRANSPOSE(main!L38:R38)/1000</f>
        <v>834.93333333333328</v>
      </c>
      <c r="M2" cm="1">
        <f t="array" ref="M2:M12">TRANSPOSE(main!L42:X42)/1000</f>
        <v>249.06666666666672</v>
      </c>
      <c r="N2">
        <f t="array" ref="N2:N16">TRANSPOSE(main!L73:AB73/1000)</f>
        <v>0</v>
      </c>
      <c r="O2">
        <f t="array" ref="O2:O16">TRANSPOSE(main!L83:AB83/1000)</f>
        <v>0</v>
      </c>
      <c r="P2">
        <v>0</v>
      </c>
    </row>
    <row r="3" spans="1:16" x14ac:dyDescent="0.35">
      <c r="A3" s="190">
        <v>44104</v>
      </c>
      <c r="B3" s="102">
        <f t="array" ref="B3:B24">TRANSPOSE('add-ons calculations'!F27:AA27)</f>
        <v>-16.659502619583094</v>
      </c>
      <c r="C3">
        <f t="array" ref="C3:C24">TRANSPOSE('add-ons calculations'!F34:AA34)</f>
        <v>187.0440000000001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-187.26599999999962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44.85238194444446</v>
      </c>
      <c r="J3" s="102">
        <f>'add-ons calculations'!F71</f>
        <v>286.98038194444445</v>
      </c>
      <c r="K3" s="102" cm="1">
        <f t="array" ref="K3:K12">TRANSPOSE(main!M36:X36)/1000</f>
        <v>881.35400000000004</v>
      </c>
      <c r="L3">
        <v>695.2</v>
      </c>
      <c r="M3">
        <v>186</v>
      </c>
      <c r="N3">
        <v>0</v>
      </c>
      <c r="O3">
        <v>0</v>
      </c>
      <c r="P3">
        <v>0</v>
      </c>
    </row>
    <row r="4" spans="1:16" x14ac:dyDescent="0.35">
      <c r="A4" s="190">
        <v>44196</v>
      </c>
      <c r="B4">
        <v>-20.937831399481894</v>
      </c>
      <c r="C4">
        <v>110.25698590656407</v>
      </c>
      <c r="D4">
        <v>4.9990862646382084E-2</v>
      </c>
      <c r="E4">
        <v>0</v>
      </c>
      <c r="F4">
        <v>33.585746620749433</v>
      </c>
      <c r="G4">
        <v>-351.05203247505483</v>
      </c>
      <c r="H4">
        <v>-833.94013103694624</v>
      </c>
      <c r="I4">
        <v>69.293656609261546</v>
      </c>
      <c r="J4" s="102"/>
      <c r="K4" s="102">
        <v>874.87800000000004</v>
      </c>
      <c r="L4">
        <v>738.2</v>
      </c>
      <c r="M4">
        <v>140</v>
      </c>
      <c r="N4">
        <v>0</v>
      </c>
      <c r="O4">
        <v>0</v>
      </c>
      <c r="P4">
        <v>0</v>
      </c>
    </row>
    <row r="5" spans="1:16" x14ac:dyDescent="0.35">
      <c r="A5" s="190">
        <v>44286</v>
      </c>
      <c r="B5">
        <v>-26.641254195579705</v>
      </c>
      <c r="C5">
        <v>107.63193107562813</v>
      </c>
      <c r="D5">
        <v>5.0819956777559128E-2</v>
      </c>
      <c r="E5">
        <v>0</v>
      </c>
      <c r="F5">
        <v>59.561193892373922</v>
      </c>
      <c r="G5">
        <v>1035.3076346664193</v>
      </c>
      <c r="H5">
        <v>-643.57844188676734</v>
      </c>
      <c r="I5">
        <v>127.66634709591</v>
      </c>
      <c r="K5">
        <v>-6.476</v>
      </c>
      <c r="L5">
        <v>43</v>
      </c>
      <c r="M5">
        <v>-46</v>
      </c>
      <c r="N5">
        <v>0</v>
      </c>
      <c r="O5">
        <v>0</v>
      </c>
      <c r="P5" s="313">
        <f>664000/1000</f>
        <v>664</v>
      </c>
    </row>
    <row r="6" spans="1:16" x14ac:dyDescent="0.35">
      <c r="A6" s="190">
        <v>44377</v>
      </c>
      <c r="B6">
        <v>-34.183111242533812</v>
      </c>
      <c r="C6">
        <v>116.0025854053485</v>
      </c>
      <c r="D6">
        <v>5.1628067362116781E-2</v>
      </c>
      <c r="E6">
        <v>0</v>
      </c>
      <c r="F6">
        <v>81.75548712799673</v>
      </c>
      <c r="G6">
        <v>15.266587468339139</v>
      </c>
      <c r="H6">
        <v>-647.99123064723142</v>
      </c>
      <c r="I6">
        <v>115.71788019966229</v>
      </c>
      <c r="K6">
        <v>344.8</v>
      </c>
      <c r="L6">
        <v>257.8</v>
      </c>
      <c r="M6">
        <v>87</v>
      </c>
      <c r="N6">
        <v>0</v>
      </c>
      <c r="O6">
        <v>0</v>
      </c>
      <c r="P6">
        <v>0</v>
      </c>
    </row>
    <row r="7" spans="1:16" x14ac:dyDescent="0.35">
      <c r="A7" s="190">
        <v>44469</v>
      </c>
      <c r="B7">
        <v>-41.724968289487691</v>
      </c>
      <c r="C7">
        <v>138.64401002534075</v>
      </c>
      <c r="D7">
        <v>5.2491808747618052E-2</v>
      </c>
      <c r="E7">
        <v>0</v>
      </c>
      <c r="F7">
        <v>98.995562669159426</v>
      </c>
      <c r="G7">
        <v>-24.539228482810586</v>
      </c>
      <c r="H7">
        <v>-652.75653890924525</v>
      </c>
      <c r="I7">
        <v>131.34120345955321</v>
      </c>
      <c r="K7">
        <v>724</v>
      </c>
      <c r="L7">
        <v>0</v>
      </c>
      <c r="M7">
        <v>60</v>
      </c>
      <c r="N7">
        <v>59</v>
      </c>
      <c r="O7">
        <v>71.400000000000006</v>
      </c>
      <c r="P7">
        <v>0</v>
      </c>
    </row>
    <row r="8" spans="1:16" x14ac:dyDescent="0.35">
      <c r="A8" s="190">
        <v>44561</v>
      </c>
      <c r="B8">
        <v>-39.457568432331414</v>
      </c>
      <c r="C8">
        <v>125.59921378630472</v>
      </c>
      <c r="D8">
        <v>5.3070320278948202E-2</v>
      </c>
      <c r="E8">
        <v>0</v>
      </c>
      <c r="F8">
        <v>101.51396577302398</v>
      </c>
      <c r="G8">
        <v>-74.275944959057597</v>
      </c>
      <c r="H8">
        <v>-1112.559918312772</v>
      </c>
      <c r="I8">
        <v>115.54367465655329</v>
      </c>
      <c r="K8">
        <v>152</v>
      </c>
      <c r="L8">
        <v>0</v>
      </c>
      <c r="M8">
        <v>44</v>
      </c>
      <c r="N8">
        <v>59</v>
      </c>
      <c r="O8">
        <v>71.400000000000006</v>
      </c>
      <c r="P8">
        <v>0</v>
      </c>
    </row>
    <row r="9" spans="1:16" x14ac:dyDescent="0.35">
      <c r="A9" s="190">
        <v>44651</v>
      </c>
      <c r="B9">
        <v>5.749168324439097</v>
      </c>
      <c r="C9">
        <v>110.76885817974633</v>
      </c>
      <c r="D9">
        <v>0</v>
      </c>
      <c r="E9">
        <v>0</v>
      </c>
      <c r="F9">
        <v>104.03236887688877</v>
      </c>
      <c r="G9">
        <v>-75.021173838662662</v>
      </c>
      <c r="H9">
        <v>-1163.3117757737041</v>
      </c>
      <c r="I9">
        <v>99.159465844497163</v>
      </c>
      <c r="K9">
        <v>44</v>
      </c>
      <c r="L9">
        <v>0</v>
      </c>
      <c r="M9">
        <v>44</v>
      </c>
      <c r="N9">
        <v>59</v>
      </c>
      <c r="O9">
        <v>30.6</v>
      </c>
      <c r="P9">
        <v>0</v>
      </c>
    </row>
    <row r="10" spans="1:16" x14ac:dyDescent="0.35">
      <c r="A10" s="190">
        <v>44742</v>
      </c>
      <c r="B10">
        <v>8.0165681815954883</v>
      </c>
      <c r="C10">
        <v>134.01495632101853</v>
      </c>
      <c r="D10">
        <v>0</v>
      </c>
      <c r="E10">
        <v>0</v>
      </c>
      <c r="F10">
        <v>106.55077198075332</v>
      </c>
      <c r="G10">
        <v>-74.989566692467861</v>
      </c>
      <c r="H10">
        <v>-1168.3939307885266</v>
      </c>
      <c r="I10">
        <v>88.714788339062352</v>
      </c>
      <c r="K10">
        <v>44</v>
      </c>
      <c r="L10">
        <v>0</v>
      </c>
      <c r="M10">
        <v>44</v>
      </c>
      <c r="N10">
        <v>59</v>
      </c>
      <c r="O10">
        <v>30.6</v>
      </c>
      <c r="P10">
        <v>0</v>
      </c>
    </row>
    <row r="11" spans="1:16" x14ac:dyDescent="0.35">
      <c r="A11" s="190">
        <v>44834</v>
      </c>
      <c r="B11">
        <v>7.9343178535486345</v>
      </c>
      <c r="C11">
        <v>156.03495667590502</v>
      </c>
      <c r="D11">
        <v>0</v>
      </c>
      <c r="E11">
        <v>0</v>
      </c>
      <c r="F11">
        <v>109.06917508461788</v>
      </c>
      <c r="G11">
        <v>-73.882290836377479</v>
      </c>
      <c r="H11">
        <v>-1173.5410146130612</v>
      </c>
      <c r="I11">
        <v>77.730357216756403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35">
      <c r="A12" s="190">
        <v>44926</v>
      </c>
      <c r="B12">
        <v>7.8528747680539652</v>
      </c>
      <c r="C12">
        <v>176.62440241677263</v>
      </c>
      <c r="D12">
        <v>0</v>
      </c>
      <c r="E12">
        <v>0</v>
      </c>
      <c r="F12">
        <v>109.37757569839664</v>
      </c>
      <c r="G12">
        <v>-73.963356529837938</v>
      </c>
      <c r="H12">
        <v>-1178.7530272473091</v>
      </c>
      <c r="I12">
        <v>67.23297832179702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35">
      <c r="A13" s="190">
        <v>45016</v>
      </c>
      <c r="B13">
        <v>7.771431682559296</v>
      </c>
      <c r="C13">
        <v>196.87054077745219</v>
      </c>
      <c r="D13">
        <v>0</v>
      </c>
      <c r="E13">
        <v>0</v>
      </c>
      <c r="F13">
        <v>109.68597631217517</v>
      </c>
      <c r="G13">
        <v>-74.089327795779354</v>
      </c>
      <c r="H13">
        <v>-1184.0417739294007</v>
      </c>
      <c r="I13">
        <v>56.184960332640401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35">
      <c r="A14" s="190">
        <v>45107</v>
      </c>
      <c r="B14">
        <v>7.6899885970646267</v>
      </c>
      <c r="C14">
        <v>218.19564519015159</v>
      </c>
      <c r="D14">
        <v>0</v>
      </c>
      <c r="E14">
        <v>0</v>
      </c>
      <c r="F14">
        <v>109.99437692595393</v>
      </c>
      <c r="G14">
        <v>-74.246009943554782</v>
      </c>
      <c r="H14">
        <v>-1189.3541310877511</v>
      </c>
      <c r="I14">
        <v>60.681221313274534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35">
      <c r="A15" s="190">
        <v>45199</v>
      </c>
      <c r="B15">
        <v>7.6085455115699858</v>
      </c>
      <c r="C15">
        <v>239.42266177993977</v>
      </c>
      <c r="D15">
        <v>0</v>
      </c>
      <c r="E15">
        <v>0</v>
      </c>
      <c r="F15">
        <v>110.30277753973292</v>
      </c>
      <c r="G15">
        <v>-74.490685000040685</v>
      </c>
      <c r="H15">
        <v>-1194.7432222939442</v>
      </c>
      <c r="I15">
        <v>47.547539065059539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35">
      <c r="A16" s="190">
        <v>45291</v>
      </c>
      <c r="B16">
        <v>7.694282358640038</v>
      </c>
      <c r="C16">
        <v>238.71874531468063</v>
      </c>
      <c r="D16">
        <v>0</v>
      </c>
      <c r="E16">
        <v>0</v>
      </c>
      <c r="F16">
        <v>111.14275510624338</v>
      </c>
      <c r="G16">
        <v>-75.244579886568317</v>
      </c>
      <c r="H16">
        <v>-1200.2090475479797</v>
      </c>
      <c r="I16">
        <v>45.661372118098029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35">
      <c r="A17" s="190">
        <v>45382</v>
      </c>
      <c r="B17">
        <v>7.7800192057100617</v>
      </c>
      <c r="C17">
        <v>238.60335578688702</v>
      </c>
      <c r="D17">
        <v>0</v>
      </c>
      <c r="E17">
        <v>0</v>
      </c>
      <c r="F17">
        <v>111.98273267275363</v>
      </c>
      <c r="G17">
        <v>-75.968933034125712</v>
      </c>
      <c r="H17">
        <v>-1205.733898992665</v>
      </c>
      <c r="I17">
        <v>45.975992958117956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90">
        <v>45473</v>
      </c>
      <c r="B18">
        <v>7.8657560527801138</v>
      </c>
      <c r="C18">
        <v>239.0274492851027</v>
      </c>
      <c r="D18">
        <v>0</v>
      </c>
      <c r="E18">
        <v>0</v>
      </c>
      <c r="F18">
        <v>112.8227102392641</v>
      </c>
      <c r="G18">
        <v>-76.55554448582393</v>
      </c>
      <c r="H18">
        <v>-1211.2705556754795</v>
      </c>
      <c r="I18">
        <v>46.297859579612521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90">
        <v>45565</v>
      </c>
      <c r="B19">
        <v>7.9514928998501375</v>
      </c>
      <c r="C19">
        <v>240.23624536660571</v>
      </c>
      <c r="D19">
        <v>0</v>
      </c>
      <c r="E19">
        <v>0</v>
      </c>
      <c r="F19">
        <v>113.66268780577457</v>
      </c>
      <c r="G19">
        <v>-77.057724502900101</v>
      </c>
      <c r="H19">
        <v>-1216.8367254536176</v>
      </c>
      <c r="I19">
        <v>46.628917748543074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90">
        <v>45657</v>
      </c>
      <c r="B20">
        <v>8.0601016192330803</v>
      </c>
      <c r="C20">
        <v>238.57838471534725</v>
      </c>
      <c r="D20">
        <v>0</v>
      </c>
      <c r="E20">
        <v>0</v>
      </c>
      <c r="F20">
        <v>116.3772413301424</v>
      </c>
      <c r="G20">
        <v>-78.834826842547955</v>
      </c>
      <c r="H20">
        <v>-1222.4324083270799</v>
      </c>
      <c r="I20">
        <v>46.720623828499299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90">
        <v>45747</v>
      </c>
      <c r="B21">
        <v>8.1687103386159947</v>
      </c>
      <c r="C21">
        <v>236.822436241178</v>
      </c>
      <c r="D21">
        <v>0</v>
      </c>
      <c r="E21">
        <v>0</v>
      </c>
      <c r="F21">
        <v>119.09179485451045</v>
      </c>
      <c r="G21">
        <v>-80.334014884150747</v>
      </c>
      <c r="H21">
        <v>-1228.0398964386723</v>
      </c>
      <c r="I21">
        <v>46.930226557055903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90">
        <v>45838</v>
      </c>
      <c r="B22">
        <v>8.2773190579989091</v>
      </c>
      <c r="C22">
        <v>235.45883905865185</v>
      </c>
      <c r="D22">
        <v>0</v>
      </c>
      <c r="E22">
        <v>0</v>
      </c>
      <c r="F22">
        <v>121.80634837887851</v>
      </c>
      <c r="G22">
        <v>-81.587008343030675</v>
      </c>
      <c r="H22">
        <v>-1233.6178714549401</v>
      </c>
      <c r="I22">
        <v>47.032571404843281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90">
        <v>45930</v>
      </c>
      <c r="B23">
        <v>8.3859277773818519</v>
      </c>
      <c r="C23">
        <v>234.53663707922496</v>
      </c>
      <c r="D23">
        <v>0</v>
      </c>
      <c r="E23">
        <v>0</v>
      </c>
      <c r="F23">
        <v>124.52090190324657</v>
      </c>
      <c r="G23">
        <v>-82.567313121349343</v>
      </c>
      <c r="H23">
        <v>-1239.2017490902733</v>
      </c>
      <c r="I23">
        <v>47.141596715840137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90">
        <v>46022</v>
      </c>
      <c r="B24">
        <v>8.4989455787047632</v>
      </c>
      <c r="C24">
        <v>233.42580901803058</v>
      </c>
      <c r="D24">
        <v>0</v>
      </c>
      <c r="E24">
        <v>0</v>
      </c>
      <c r="F24">
        <v>126.54840827339649</v>
      </c>
      <c r="G24">
        <v>-83.094575569639574</v>
      </c>
      <c r="H24">
        <v>-1244.7856267256061</v>
      </c>
      <c r="I24">
        <v>47.208731610573466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24" t="s">
        <v>21</v>
      </c>
      <c r="E1" s="324"/>
      <c r="F1" s="324"/>
      <c r="G1" s="324"/>
      <c r="H1" s="324" t="s">
        <v>9</v>
      </c>
      <c r="I1" s="324"/>
      <c r="J1" s="324"/>
      <c r="K1" s="324"/>
      <c r="L1" s="324" t="s">
        <v>10</v>
      </c>
      <c r="M1" s="324"/>
      <c r="N1" s="324"/>
      <c r="O1" s="324"/>
      <c r="P1" s="324" t="s">
        <v>11</v>
      </c>
      <c r="Q1" s="324"/>
      <c r="R1" s="324"/>
      <c r="S1" s="324"/>
      <c r="T1" s="324" t="s">
        <v>268</v>
      </c>
      <c r="U1" s="324"/>
      <c r="V1" s="324"/>
      <c r="W1" s="324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main!P30</f>
        <v>2855130.6794988289</v>
      </c>
      <c r="M3" s="266">
        <f>main!Q30</f>
        <v>3244347.6672774283</v>
      </c>
      <c r="N3" s="266">
        <f>main!R30</f>
        <v>2682732.759694315</v>
      </c>
      <c r="O3" s="266">
        <f>main!S30</f>
        <v>2585488.623825727</v>
      </c>
      <c r="P3" s="266">
        <f>main!T30</f>
        <v>2651916.1476522055</v>
      </c>
      <c r="Q3" s="266">
        <f>main!U30</f>
        <v>2708085.6514252573</v>
      </c>
      <c r="R3" s="266">
        <f>main!V30</f>
        <v>2765655.2499653636</v>
      </c>
      <c r="S3" s="266">
        <f>main!W30</f>
        <v>2824664.1763997721</v>
      </c>
      <c r="T3" s="266">
        <f>main!X30</f>
        <v>0</v>
      </c>
      <c r="U3" s="266"/>
      <c r="V3" s="266"/>
      <c r="W3" s="266"/>
      <c r="AJ3" s="243"/>
    </row>
    <row r="4" spans="1:36" s="35" customFormat="1" x14ac:dyDescent="0.35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main!P31</f>
        <v>853053.18699882878</v>
      </c>
      <c r="M4" s="220">
        <f>main!Q31</f>
        <v>875499.75597117806</v>
      </c>
      <c r="N4" s="220">
        <f>main!R31</f>
        <v>898221.20772286167</v>
      </c>
      <c r="O4" s="220">
        <f>main!S31</f>
        <v>921220.90849405946</v>
      </c>
      <c r="P4" s="220">
        <f>main!T31</f>
        <v>963344.41659056314</v>
      </c>
      <c r="Q4" s="220">
        <f>main!U31</f>
        <v>994845.34439769038</v>
      </c>
      <c r="R4" s="220">
        <f>main!V31</f>
        <v>1027376.3383323837</v>
      </c>
      <c r="S4" s="220">
        <f>main!W31</f>
        <v>1060971.0810922973</v>
      </c>
      <c r="T4" s="220">
        <f>main!X31</f>
        <v>1071662.5838938125</v>
      </c>
      <c r="U4" s="220">
        <f>main!Y31</f>
        <v>1082461.8259487266</v>
      </c>
      <c r="V4" s="220">
        <f>main!Z31</f>
        <v>1093369.8929553684</v>
      </c>
      <c r="W4" s="220">
        <f>main!AA31</f>
        <v>1104387.8815527481</v>
      </c>
      <c r="AJ4" s="243"/>
    </row>
    <row r="5" spans="1:36" s="35" customFormat="1" x14ac:dyDescent="0.35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main!P91</f>
        <v>838999.96973237256</v>
      </c>
      <c r="M5" s="273">
        <f>main!Q91</f>
        <v>851909.41974748904</v>
      </c>
      <c r="N5" s="273">
        <f>main!R91</f>
        <v>859338.63247661723</v>
      </c>
      <c r="O5" s="273">
        <f>main!S91</f>
        <v>860057.04756403249</v>
      </c>
      <c r="P5" s="273">
        <f>main!T91</f>
        <v>861140.05830831092</v>
      </c>
      <c r="Q5" s="273">
        <f>main!U91</f>
        <v>862594.90274145827</v>
      </c>
      <c r="R5" s="273">
        <f>main!V91</f>
        <v>864142.72686504154</v>
      </c>
      <c r="S5" s="273">
        <f>main!W91</f>
        <v>865537.60394083988</v>
      </c>
      <c r="T5" s="273">
        <f>main!X91</f>
        <v>866767.29820503015</v>
      </c>
      <c r="U5" s="273"/>
      <c r="V5" s="273"/>
      <c r="W5" s="273"/>
      <c r="AJ5" s="269"/>
    </row>
    <row r="6" spans="1:36" s="35" customFormat="1" x14ac:dyDescent="0.35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main!P94</f>
        <v>696032.68223237258</v>
      </c>
      <c r="M6" s="35">
        <f>main!Q94</f>
        <v>708584.71402873902</v>
      </c>
      <c r="N6" s="35">
        <f>main!R94</f>
        <v>715655.61499357037</v>
      </c>
      <c r="O6" s="35">
        <f>main!S94</f>
        <v>715655.61499357037</v>
      </c>
      <c r="P6" s="35">
        <f>main!T94</f>
        <v>715655.61499357037</v>
      </c>
      <c r="Q6" s="35">
        <f>main!U94</f>
        <v>715655.61499357037</v>
      </c>
      <c r="R6" s="35">
        <f>main!V94</f>
        <v>715655.61499357037</v>
      </c>
      <c r="S6" s="35">
        <f>main!W94</f>
        <v>715655.61499357037</v>
      </c>
      <c r="T6" s="35">
        <f>main!X94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29" t="s">
        <v>208</v>
      </c>
      <c r="B1" s="330"/>
      <c r="C1" s="35"/>
      <c r="I1" s="250"/>
      <c r="J1" s="337" t="s">
        <v>282</v>
      </c>
      <c r="V1" s="324"/>
      <c r="W1" s="324"/>
      <c r="X1" s="324"/>
      <c r="Y1" s="324"/>
    </row>
    <row r="2" spans="1:27" x14ac:dyDescent="0.35">
      <c r="A2" s="331" t="s">
        <v>192</v>
      </c>
      <c r="B2" s="126"/>
      <c r="C2" t="s">
        <v>193</v>
      </c>
      <c r="H2" s="95"/>
      <c r="I2" s="251"/>
      <c r="J2" s="337"/>
    </row>
    <row r="3" spans="1:27" x14ac:dyDescent="0.35">
      <c r="A3" s="332"/>
      <c r="B3" s="127"/>
      <c r="C3" t="s">
        <v>194</v>
      </c>
      <c r="H3" s="95"/>
      <c r="I3" s="251"/>
      <c r="J3" s="337"/>
    </row>
    <row r="4" spans="1:27" x14ac:dyDescent="0.35">
      <c r="A4" s="332"/>
      <c r="B4" s="128"/>
      <c r="C4" t="s">
        <v>195</v>
      </c>
      <c r="H4" s="95"/>
      <c r="I4" s="95"/>
      <c r="J4" s="95"/>
    </row>
    <row r="5" spans="1:27" x14ac:dyDescent="0.35">
      <c r="A5" s="333"/>
      <c r="B5" s="129"/>
      <c r="C5" t="s">
        <v>182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34" t="s">
        <v>160</v>
      </c>
      <c r="D7" s="335"/>
      <c r="E7" s="335"/>
      <c r="F7" s="336"/>
      <c r="G7" s="334" t="s">
        <v>166</v>
      </c>
      <c r="H7" s="335"/>
      <c r="I7" s="335"/>
      <c r="J7" s="336"/>
      <c r="K7" s="334" t="s">
        <v>177</v>
      </c>
      <c r="L7" s="335"/>
      <c r="M7" s="335"/>
      <c r="N7" s="335"/>
      <c r="O7" s="334" t="s">
        <v>272</v>
      </c>
      <c r="P7" s="335"/>
      <c r="Q7" s="335"/>
      <c r="R7" s="335"/>
      <c r="S7" s="334" t="s">
        <v>276</v>
      </c>
      <c r="T7" s="335"/>
      <c r="U7" s="335"/>
      <c r="V7" s="335"/>
      <c r="W7" s="334" t="s">
        <v>277</v>
      </c>
      <c r="X7" s="335"/>
      <c r="Y7" s="335"/>
      <c r="Z7" s="335"/>
      <c r="AA7" s="231" t="s">
        <v>278</v>
      </c>
    </row>
    <row r="8" spans="1:27" s="268" customFormat="1" x14ac:dyDescent="0.35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x14ac:dyDescent="0.35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x14ac:dyDescent="0.35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x14ac:dyDescent="0.35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x14ac:dyDescent="0.35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x14ac:dyDescent="0.35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x14ac:dyDescent="0.35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x14ac:dyDescent="0.35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x14ac:dyDescent="0.35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x14ac:dyDescent="0.35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35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35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838.99996973237251</v>
      </c>
      <c r="H31" s="104">
        <f>main_nipas!M5/1000</f>
        <v>851.90941974748898</v>
      </c>
      <c r="I31" s="104">
        <f>main_nipas!N5/1000</f>
        <v>859.33863247661725</v>
      </c>
      <c r="J31" s="104">
        <f>main_nipas!O5/1000</f>
        <v>860.05704756403247</v>
      </c>
      <c r="K31" s="149">
        <f>main_nipas!P5/1000</f>
        <v>861.14005830831093</v>
      </c>
      <c r="L31" s="104">
        <f>main_nipas!Q5/1000</f>
        <v>862.59490274145821</v>
      </c>
      <c r="M31" s="104">
        <f>L31*(1 + M33)</f>
        <v>1048.8529268004456</v>
      </c>
      <c r="N31" s="104">
        <f t="shared" ref="N31:AA31" si="4">M31*(1 + N33)</f>
        <v>1225.2996526720162</v>
      </c>
      <c r="O31" s="149">
        <f t="shared" si="4"/>
        <v>1390.2966356242066</v>
      </c>
      <c r="P31" s="104">
        <f t="shared" si="4"/>
        <v>1552.546455083919</v>
      </c>
      <c r="Q31" s="104">
        <f t="shared" si="4"/>
        <v>1723.4302169485613</v>
      </c>
      <c r="R31" s="104">
        <f t="shared" si="4"/>
        <v>1893.5290749582098</v>
      </c>
      <c r="S31" s="149">
        <f t="shared" si="4"/>
        <v>1887.6445212027816</v>
      </c>
      <c r="T31" s="104">
        <f t="shared" si="4"/>
        <v>1886.4693905773181</v>
      </c>
      <c r="U31" s="104">
        <f t="shared" si="4"/>
        <v>1889.6112311543147</v>
      </c>
      <c r="V31" s="104">
        <f t="shared" si="4"/>
        <v>1899.0323025712628</v>
      </c>
      <c r="W31" s="149">
        <f t="shared" si="4"/>
        <v>1885.4470715899415</v>
      </c>
      <c r="X31" s="104">
        <f t="shared" si="4"/>
        <v>1871.0769367536266</v>
      </c>
      <c r="Y31" s="104">
        <f t="shared" si="4"/>
        <v>1859.8464173372852</v>
      </c>
      <c r="Z31" s="104">
        <f t="shared" si="4"/>
        <v>1852.1479652684141</v>
      </c>
      <c r="AA31" s="149">
        <f t="shared" si="4"/>
        <v>1842.9271696391268</v>
      </c>
      <c r="AB31" s="95"/>
    </row>
    <row r="32" spans="1:28" x14ac:dyDescent="0.35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:AA34" si="7">F31-F32</f>
        <v>683.88</v>
      </c>
      <c r="G34" s="150">
        <f t="shared" si="7"/>
        <v>718.96612748239181</v>
      </c>
      <c r="H34" s="225">
        <f t="shared" si="7"/>
        <v>756.43646274752768</v>
      </c>
      <c r="I34" s="225">
        <f t="shared" si="7"/>
        <v>788.42127504542532</v>
      </c>
      <c r="J34" s="225">
        <f t="shared" si="7"/>
        <v>811.56513372945358</v>
      </c>
      <c r="K34" s="150">
        <f t="shared" si="7"/>
        <v>798.22202453105353</v>
      </c>
      <c r="L34" s="249">
        <f t="shared" si="7"/>
        <v>783.05120321857328</v>
      </c>
      <c r="M34" s="225">
        <f t="shared" si="7"/>
        <v>952.13354927113153</v>
      </c>
      <c r="N34" s="225">
        <f t="shared" si="7"/>
        <v>1112.3093404317283</v>
      </c>
      <c r="O34" s="150">
        <f t="shared" si="7"/>
        <v>1262.0912202197103</v>
      </c>
      <c r="P34" s="150">
        <f t="shared" si="7"/>
        <v>1409.379264637942</v>
      </c>
      <c r="Q34" s="150">
        <f t="shared" si="7"/>
        <v>1564.5050773611024</v>
      </c>
      <c r="R34" s="150">
        <f t="shared" si="7"/>
        <v>1718.9183656929056</v>
      </c>
      <c r="S34" s="150">
        <f t="shared" si="7"/>
        <v>1713.5764527231584</v>
      </c>
      <c r="T34" s="150">
        <f t="shared" si="7"/>
        <v>1712.5096861015568</v>
      </c>
      <c r="U34" s="150">
        <f t="shared" si="7"/>
        <v>1715.3618036324156</v>
      </c>
      <c r="V34" s="150">
        <f t="shared" si="7"/>
        <v>1723.9141162941337</v>
      </c>
      <c r="W34" s="150">
        <f t="shared" si="7"/>
        <v>1711.581639679541</v>
      </c>
      <c r="X34" s="150">
        <f t="shared" si="7"/>
        <v>1698.5366386735911</v>
      </c>
      <c r="Y34" s="150">
        <f t="shared" si="7"/>
        <v>1688.3417352330689</v>
      </c>
      <c r="Z34" s="150">
        <f t="shared" si="7"/>
        <v>1681.3531915536532</v>
      </c>
      <c r="AA34" s="150">
        <f t="shared" si="7"/>
        <v>1672.9826863614726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875.49975597117805</v>
      </c>
      <c r="I38" s="104">
        <f>main_nipas!N4/1000</f>
        <v>898.22120772286166</v>
      </c>
      <c r="J38" s="104">
        <f>main_nipas!O4/1000</f>
        <v>921.22090849405947</v>
      </c>
      <c r="K38" s="149">
        <f t="shared" ref="K38:AA38" si="8">J38*(1+K40)</f>
        <v>967.73486622895803</v>
      </c>
      <c r="L38" s="149">
        <f t="shared" si="8"/>
        <v>1014.2488239638564</v>
      </c>
      <c r="M38" s="149">
        <f t="shared" si="8"/>
        <v>1060.7627816987547</v>
      </c>
      <c r="N38" s="149">
        <f t="shared" si="8"/>
        <v>1107.2767394336531</v>
      </c>
      <c r="O38" s="149">
        <f t="shared" si="8"/>
        <v>1118.6046667700409</v>
      </c>
      <c r="P38" s="149">
        <f t="shared" si="8"/>
        <v>1129.9325941064287</v>
      </c>
      <c r="Q38" s="149">
        <f t="shared" si="8"/>
        <v>1141.2605214428168</v>
      </c>
      <c r="R38" s="149">
        <f t="shared" si="8"/>
        <v>1152.5884487792046</v>
      </c>
      <c r="S38" s="149">
        <f t="shared" si="8"/>
        <v>1159.172230590561</v>
      </c>
      <c r="T38" s="149">
        <f t="shared" si="8"/>
        <v>1165.7560124019174</v>
      </c>
      <c r="U38" s="149">
        <f t="shared" si="8"/>
        <v>1172.3397942132738</v>
      </c>
      <c r="V38" s="149">
        <f t="shared" si="8"/>
        <v>1178.9235760246302</v>
      </c>
      <c r="W38" s="149">
        <f t="shared" si="8"/>
        <v>1213.4941189581434</v>
      </c>
      <c r="X38" s="149">
        <f t="shared" si="8"/>
        <v>1248.0646618916555</v>
      </c>
      <c r="Y38" s="149">
        <f t="shared" si="8"/>
        <v>1282.6352048251679</v>
      </c>
      <c r="Z38" s="149">
        <f t="shared" si="8"/>
        <v>1317.2057477586802</v>
      </c>
      <c r="AA38" s="149">
        <f t="shared" si="8"/>
        <v>1340.5095139126324</v>
      </c>
      <c r="AB38" s="95"/>
    </row>
    <row r="39" spans="1:28" x14ac:dyDescent="0.35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58.379353230327069</v>
      </c>
      <c r="I41" s="225">
        <f t="shared" si="11"/>
        <v>93.890603611585107</v>
      </c>
      <c r="J41" s="249">
        <f t="shared" si="11"/>
        <v>129.68010301235745</v>
      </c>
      <c r="K41" s="150">
        <f t="shared" si="11"/>
        <v>136.22786454811614</v>
      </c>
      <c r="L41" s="225">
        <f t="shared" si="11"/>
        <v>142.77562608387473</v>
      </c>
      <c r="M41" s="225">
        <f t="shared" si="11"/>
        <v>149.32338761963342</v>
      </c>
      <c r="N41" s="225">
        <f t="shared" si="11"/>
        <v>155.87114915539212</v>
      </c>
      <c r="O41" s="150">
        <f t="shared" si="11"/>
        <v>157.46577946648722</v>
      </c>
      <c r="P41" s="225">
        <f t="shared" si="11"/>
        <v>159.06040977758232</v>
      </c>
      <c r="Q41" s="225">
        <f t="shared" si="11"/>
        <v>160.65504008867765</v>
      </c>
      <c r="R41" s="225">
        <f t="shared" si="11"/>
        <v>162.24967039977275</v>
      </c>
      <c r="S41" s="150">
        <f t="shared" si="11"/>
        <v>163.17646819130709</v>
      </c>
      <c r="T41" s="225">
        <f t="shared" si="11"/>
        <v>164.10326598284132</v>
      </c>
      <c r="U41" s="225">
        <f t="shared" si="11"/>
        <v>165.03006377437578</v>
      </c>
      <c r="V41" s="225">
        <f t="shared" si="11"/>
        <v>165.95686156591012</v>
      </c>
      <c r="W41" s="150">
        <f t="shared" si="11"/>
        <v>170.82335072988235</v>
      </c>
      <c r="X41" s="225">
        <f t="shared" si="11"/>
        <v>175.68983989385447</v>
      </c>
      <c r="Y41" s="225">
        <f t="shared" si="11"/>
        <v>180.55632905782682</v>
      </c>
      <c r="Z41" s="225">
        <f t="shared" si="11"/>
        <v>185.42281822179916</v>
      </c>
      <c r="AA41" s="150">
        <f t="shared" si="11"/>
        <v>188.70328522765635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2855.1306794988291</v>
      </c>
      <c r="H45" s="102">
        <f>main_nipas!M3/1000</f>
        <v>3244.3476672774282</v>
      </c>
      <c r="I45" s="102">
        <f>main_nipas!N3/1000</f>
        <v>2682.7327596943151</v>
      </c>
      <c r="J45" s="102">
        <f>main_nipas!O3/1000</f>
        <v>2585.4886238257272</v>
      </c>
      <c r="K45" s="274">
        <f>main_nipas!P3/1000</f>
        <v>2651.9161476522054</v>
      </c>
      <c r="L45" s="104">
        <f>K45*(1+L47)</f>
        <v>2678.7676523688633</v>
      </c>
      <c r="M45" s="104">
        <f t="shared" ref="M45:AA45" si="12">L45*(1+M47)</f>
        <v>2677.9504893689368</v>
      </c>
      <c r="N45" s="104">
        <f t="shared" si="12"/>
        <v>2638.8210968652602</v>
      </c>
      <c r="O45" s="104">
        <f t="shared" si="12"/>
        <v>2641.7835781343911</v>
      </c>
      <c r="P45" s="104">
        <f t="shared" si="12"/>
        <v>2646.3454669005164</v>
      </c>
      <c r="Q45" s="104">
        <f t="shared" si="12"/>
        <v>2652.0011890581568</v>
      </c>
      <c r="R45" s="104">
        <f t="shared" si="12"/>
        <v>2660.7909658575213</v>
      </c>
      <c r="S45" s="104">
        <f t="shared" si="12"/>
        <v>2687.6862156136722</v>
      </c>
      <c r="T45" s="104">
        <f t="shared" si="12"/>
        <v>2713.5292734886671</v>
      </c>
      <c r="U45" s="104">
        <f t="shared" si="12"/>
        <v>2734.4663678309867</v>
      </c>
      <c r="V45" s="104">
        <f t="shared" si="12"/>
        <v>2752.3962570079857</v>
      </c>
      <c r="W45" s="104">
        <f t="shared" si="12"/>
        <v>2815.9208927009422</v>
      </c>
      <c r="X45" s="104">
        <f t="shared" si="12"/>
        <v>2869.5470194281525</v>
      </c>
      <c r="Y45" s="104">
        <f t="shared" si="12"/>
        <v>2914.4044023320184</v>
      </c>
      <c r="Z45" s="104">
        <f t="shared" si="12"/>
        <v>2949.5493977539186</v>
      </c>
      <c r="AA45" s="104">
        <f t="shared" si="12"/>
        <v>2968.4835783421649</v>
      </c>
      <c r="AB45" s="95"/>
    </row>
    <row r="46" spans="1:28" x14ac:dyDescent="0.35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179</v>
      </c>
      <c r="D48" s="103"/>
      <c r="E48" s="225"/>
      <c r="F48" s="225">
        <f t="shared" ref="F48:AA48" si="30">F45-F46</f>
        <v>823.78800000000001</v>
      </c>
      <c r="G48" s="150">
        <f t="shared" si="30"/>
        <v>521.13909259879028</v>
      </c>
      <c r="H48" s="225">
        <f t="shared" si="30"/>
        <v>1175.784569445726</v>
      </c>
      <c r="I48" s="225">
        <f t="shared" si="30"/>
        <v>827.99265947764798</v>
      </c>
      <c r="J48" s="225">
        <f t="shared" si="30"/>
        <v>880.00897073990927</v>
      </c>
      <c r="K48" s="275">
        <f t="shared" si="30"/>
        <v>899.95703923885139</v>
      </c>
      <c r="L48" s="225">
        <f t="shared" si="30"/>
        <v>909.06939398102736</v>
      </c>
      <c r="M48" s="225">
        <f t="shared" si="30"/>
        <v>908.79208069016772</v>
      </c>
      <c r="N48" s="225">
        <f t="shared" si="30"/>
        <v>895.51308909912518</v>
      </c>
      <c r="O48" s="150">
        <f t="shared" si="30"/>
        <v>896.51843984301217</v>
      </c>
      <c r="P48" s="225">
        <f t="shared" si="30"/>
        <v>898.06656718894442</v>
      </c>
      <c r="Q48" s="225">
        <f t="shared" si="30"/>
        <v>899.98589897937586</v>
      </c>
      <c r="R48" s="225">
        <f t="shared" si="30"/>
        <v>902.96880683297832</v>
      </c>
      <c r="S48" s="150">
        <f t="shared" si="30"/>
        <v>912.09600693753828</v>
      </c>
      <c r="T48" s="225">
        <f t="shared" si="30"/>
        <v>920.86613410413406</v>
      </c>
      <c r="U48" s="225">
        <f t="shared" si="30"/>
        <v>927.97136835192873</v>
      </c>
      <c r="V48" s="225">
        <f t="shared" si="30"/>
        <v>934.05607430761961</v>
      </c>
      <c r="W48" s="150">
        <f t="shared" si="30"/>
        <v>955.61386115829828</v>
      </c>
      <c r="X48" s="225">
        <f t="shared" si="30"/>
        <v>973.81247964704448</v>
      </c>
      <c r="Y48" s="225">
        <f t="shared" si="30"/>
        <v>989.03532805494251</v>
      </c>
      <c r="Z48" s="225">
        <f t="shared" si="30"/>
        <v>1000.9621704824297</v>
      </c>
      <c r="AA48" s="150">
        <f t="shared" si="30"/>
        <v>1007.387693822486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35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4.8999999999978172E-2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0.57999999999992724</v>
      </c>
      <c r="I2" s="270">
        <f t="array" ref="I2:I23">TRANSPOSE('add-ons calculations'!F74:AA74)</f>
        <v>44.85238194444446</v>
      </c>
    </row>
    <row r="3" spans="1:9" x14ac:dyDescent="0.35">
      <c r="A3" s="271">
        <v>44196</v>
      </c>
      <c r="B3" s="270">
        <v>-29.642475517646631</v>
      </c>
      <c r="C3" s="270">
        <v>718.96612748239181</v>
      </c>
      <c r="D3" s="270">
        <v>4.9990862646382084E-2</v>
      </c>
      <c r="E3" s="270">
        <v>0</v>
      </c>
      <c r="F3" s="270">
        <v>23.142985628403267</v>
      </c>
      <c r="G3" s="270">
        <v>521.13909259879028</v>
      </c>
      <c r="H3" s="270">
        <v>-833.94013103694624</v>
      </c>
      <c r="I3" s="270">
        <v>69.293656609261546</v>
      </c>
    </row>
    <row r="4" spans="1:9" x14ac:dyDescent="0.35">
      <c r="A4" s="271">
        <v>44286</v>
      </c>
      <c r="B4" s="270">
        <v>-43.765601471299647</v>
      </c>
      <c r="C4" s="270">
        <v>756.43646274752768</v>
      </c>
      <c r="D4" s="270">
        <v>5.0819956777559128E-2</v>
      </c>
      <c r="E4" s="270">
        <v>0</v>
      </c>
      <c r="F4" s="270">
        <v>58.379353230327069</v>
      </c>
      <c r="G4" s="270">
        <v>1175.784569445726</v>
      </c>
      <c r="H4" s="270">
        <v>-643.57844188676734</v>
      </c>
      <c r="I4" s="270">
        <v>127.66634709591</v>
      </c>
    </row>
    <row r="5" spans="1:9" x14ac:dyDescent="0.35">
      <c r="A5" s="271">
        <v>44377</v>
      </c>
      <c r="B5" s="270">
        <v>-63.369858256487646</v>
      </c>
      <c r="C5" s="270">
        <v>788.42127504542532</v>
      </c>
      <c r="D5" s="270">
        <v>5.1628067362116781E-2</v>
      </c>
      <c r="E5" s="270">
        <v>0</v>
      </c>
      <c r="F5" s="270">
        <v>93.890603611585107</v>
      </c>
      <c r="G5" s="270">
        <v>827.99265947764798</v>
      </c>
      <c r="H5" s="270">
        <v>-647.99123064723142</v>
      </c>
      <c r="I5" s="270">
        <v>115.71788019966229</v>
      </c>
    </row>
    <row r="6" spans="1:9" x14ac:dyDescent="0.35">
      <c r="A6" s="271">
        <v>44469</v>
      </c>
      <c r="B6" s="270">
        <v>-90.045016006506785</v>
      </c>
      <c r="C6" s="270">
        <v>811.56513372945358</v>
      </c>
      <c r="D6" s="270">
        <v>5.2491808747618052E-2</v>
      </c>
      <c r="E6" s="270">
        <v>0</v>
      </c>
      <c r="F6" s="270">
        <v>129.68010301235745</v>
      </c>
      <c r="G6" s="270">
        <v>880.00897073990927</v>
      </c>
      <c r="H6" s="270">
        <v>-652.75653890924525</v>
      </c>
      <c r="I6" s="270">
        <v>131.34120345955321</v>
      </c>
    </row>
    <row r="7" spans="1:9" x14ac:dyDescent="0.35">
      <c r="A7" s="271">
        <v>44561</v>
      </c>
      <c r="B7" s="270">
        <v>-82.025340150088255</v>
      </c>
      <c r="C7" s="270">
        <v>798.22202453105353</v>
      </c>
      <c r="D7" s="270">
        <v>5.3070320278948202E-2</v>
      </c>
      <c r="E7" s="270">
        <v>0</v>
      </c>
      <c r="F7" s="270">
        <v>136.22786454811614</v>
      </c>
      <c r="G7" s="270">
        <v>899.95703923885139</v>
      </c>
      <c r="H7" s="270">
        <v>-1112.559918312772</v>
      </c>
      <c r="I7" s="270">
        <v>115.54367465655329</v>
      </c>
    </row>
    <row r="8" spans="1:9" x14ac:dyDescent="0.35">
      <c r="A8" s="271">
        <v>44651</v>
      </c>
      <c r="B8" s="270">
        <v>-74.005664293669838</v>
      </c>
      <c r="C8" s="270">
        <v>783.05120321857328</v>
      </c>
      <c r="D8" s="270">
        <v>0</v>
      </c>
      <c r="E8" s="270">
        <v>0</v>
      </c>
      <c r="F8" s="270">
        <v>142.77562608387473</v>
      </c>
      <c r="G8" s="270">
        <v>909.06939398102736</v>
      </c>
      <c r="H8" s="270">
        <v>-1163.3117757737041</v>
      </c>
      <c r="I8" s="270">
        <v>99.159465844497163</v>
      </c>
    </row>
    <row r="9" spans="1:9" x14ac:dyDescent="0.35">
      <c r="A9" s="271">
        <v>44742</v>
      </c>
      <c r="B9" s="270">
        <v>-65.985988437251422</v>
      </c>
      <c r="C9" s="270">
        <v>952.13354927113153</v>
      </c>
      <c r="D9" s="270">
        <v>0</v>
      </c>
      <c r="E9" s="270">
        <v>0</v>
      </c>
      <c r="F9" s="270">
        <v>149.32338761963342</v>
      </c>
      <c r="G9" s="270">
        <v>908.79208069016772</v>
      </c>
      <c r="H9" s="270">
        <v>-1168.3939307885266</v>
      </c>
      <c r="I9" s="270">
        <v>88.714788339062352</v>
      </c>
    </row>
    <row r="10" spans="1:9" x14ac:dyDescent="0.35">
      <c r="A10" s="271">
        <v>44834</v>
      </c>
      <c r="B10" s="270">
        <v>-65.308969409592919</v>
      </c>
      <c r="C10" s="270">
        <v>1112.3093404317283</v>
      </c>
      <c r="D10" s="270">
        <v>0</v>
      </c>
      <c r="E10" s="270">
        <v>0</v>
      </c>
      <c r="F10" s="270">
        <v>155.87114915539212</v>
      </c>
      <c r="G10" s="270">
        <v>895.51308909912518</v>
      </c>
      <c r="H10" s="270">
        <v>-1173.5410146130612</v>
      </c>
      <c r="I10" s="270">
        <v>77.730357216756403</v>
      </c>
    </row>
    <row r="11" spans="1:9" x14ac:dyDescent="0.35">
      <c r="A11" s="271">
        <v>44926</v>
      </c>
      <c r="B11" s="270">
        <v>-64.638594958081057</v>
      </c>
      <c r="C11" s="270">
        <v>1262.0912202197103</v>
      </c>
      <c r="D11" s="270">
        <v>0</v>
      </c>
      <c r="E11" s="270">
        <v>0</v>
      </c>
      <c r="F11" s="270">
        <v>157.46577946648722</v>
      </c>
      <c r="G11" s="270">
        <v>896.51843984301217</v>
      </c>
      <c r="H11" s="270">
        <v>-1178.7530272473091</v>
      </c>
      <c r="I11" s="270">
        <v>67.23297832179702</v>
      </c>
    </row>
    <row r="12" spans="1:9" x14ac:dyDescent="0.35">
      <c r="A12" s="271">
        <v>45016</v>
      </c>
      <c r="B12" s="270">
        <v>-63.968220506569196</v>
      </c>
      <c r="C12" s="270">
        <v>1409.379264637942</v>
      </c>
      <c r="D12" s="270">
        <v>0</v>
      </c>
      <c r="E12" s="270">
        <v>0</v>
      </c>
      <c r="F12" s="270">
        <v>159.06040977758232</v>
      </c>
      <c r="G12" s="270">
        <v>898.06656718894442</v>
      </c>
      <c r="H12" s="270">
        <v>-1184.0417739294007</v>
      </c>
      <c r="I12" s="270">
        <v>56.184960332640401</v>
      </c>
    </row>
    <row r="13" spans="1:9" x14ac:dyDescent="0.35">
      <c r="A13" s="271">
        <v>45107</v>
      </c>
      <c r="B13" s="270">
        <v>-63.297846055057335</v>
      </c>
      <c r="C13" s="270">
        <v>1564.5050773611024</v>
      </c>
      <c r="D13" s="270">
        <v>0</v>
      </c>
      <c r="E13" s="270">
        <v>0</v>
      </c>
      <c r="F13" s="270">
        <v>160.65504008867765</v>
      </c>
      <c r="G13" s="270">
        <v>899.98589897937586</v>
      </c>
      <c r="H13" s="270">
        <v>-1189.3541310877511</v>
      </c>
      <c r="I13" s="270">
        <v>60.681221313274534</v>
      </c>
    </row>
    <row r="14" spans="1:9" x14ac:dyDescent="0.35">
      <c r="A14" s="271">
        <v>45199</v>
      </c>
      <c r="B14" s="270">
        <v>-62.627471603545473</v>
      </c>
      <c r="C14" s="270">
        <v>1718.9183656929056</v>
      </c>
      <c r="D14" s="270">
        <v>0</v>
      </c>
      <c r="E14" s="270">
        <v>0</v>
      </c>
      <c r="F14" s="270">
        <v>162.24967039977275</v>
      </c>
      <c r="G14" s="270">
        <v>902.96880683297832</v>
      </c>
      <c r="H14" s="270">
        <v>-1194.7432222939442</v>
      </c>
      <c r="I14" s="270">
        <v>47.547539065059539</v>
      </c>
    </row>
    <row r="15" spans="1:9" x14ac:dyDescent="0.35">
      <c r="A15" s="271">
        <v>45291</v>
      </c>
      <c r="B15" s="270">
        <v>-63.333188871989364</v>
      </c>
      <c r="C15" s="270">
        <v>1713.5764527231584</v>
      </c>
      <c r="D15" s="270">
        <v>0</v>
      </c>
      <c r="E15" s="270">
        <v>0</v>
      </c>
      <c r="F15" s="270">
        <v>163.17646819130709</v>
      </c>
      <c r="G15" s="270">
        <v>912.09600693753828</v>
      </c>
      <c r="H15" s="270">
        <v>-1200.2090475479797</v>
      </c>
      <c r="I15" s="270">
        <v>45.661372118098029</v>
      </c>
    </row>
    <row r="16" spans="1:9" x14ac:dyDescent="0.35">
      <c r="A16" s="271">
        <v>45382</v>
      </c>
      <c r="B16" s="270">
        <v>-64.038906140433255</v>
      </c>
      <c r="C16" s="270">
        <v>1712.5096861015568</v>
      </c>
      <c r="D16" s="270">
        <v>0</v>
      </c>
      <c r="E16" s="270">
        <v>0</v>
      </c>
      <c r="F16" s="270">
        <v>164.10326598284132</v>
      </c>
      <c r="G16" s="270">
        <v>920.86613410413406</v>
      </c>
      <c r="H16" s="270">
        <v>-1205.733898992665</v>
      </c>
      <c r="I16" s="270">
        <v>45.975992958117956</v>
      </c>
    </row>
    <row r="17" spans="1:9" x14ac:dyDescent="0.35">
      <c r="A17" s="271">
        <v>45473</v>
      </c>
      <c r="B17" s="270">
        <v>-64.74462340887726</v>
      </c>
      <c r="C17" s="270">
        <v>1715.3618036324156</v>
      </c>
      <c r="D17" s="270">
        <v>0</v>
      </c>
      <c r="E17" s="270">
        <v>0</v>
      </c>
      <c r="F17" s="270">
        <v>165.03006377437578</v>
      </c>
      <c r="G17" s="270">
        <v>927.97136835192873</v>
      </c>
      <c r="H17" s="270">
        <v>-1211.2705556754795</v>
      </c>
      <c r="I17" s="270">
        <v>46.297859579612521</v>
      </c>
    </row>
    <row r="18" spans="1:9" x14ac:dyDescent="0.35">
      <c r="A18" s="271">
        <v>45565</v>
      </c>
      <c r="B18" s="270">
        <v>-65.450340677321265</v>
      </c>
      <c r="C18" s="270">
        <v>1723.9141162941337</v>
      </c>
      <c r="D18" s="270">
        <v>0</v>
      </c>
      <c r="E18" s="270">
        <v>0</v>
      </c>
      <c r="F18" s="270">
        <v>165.95686156591012</v>
      </c>
      <c r="G18" s="270">
        <v>934.05607430761961</v>
      </c>
      <c r="H18" s="270">
        <v>-1216.8367254536176</v>
      </c>
      <c r="I18" s="270">
        <v>46.628917748543074</v>
      </c>
    </row>
    <row r="19" spans="1:9" x14ac:dyDescent="0.35">
      <c r="A19" s="271">
        <v>45657</v>
      </c>
      <c r="B19" s="270">
        <v>-66.344320936584836</v>
      </c>
      <c r="C19" s="270">
        <v>1711.581639679541</v>
      </c>
      <c r="D19" s="270">
        <v>0</v>
      </c>
      <c r="E19" s="270">
        <v>0</v>
      </c>
      <c r="F19" s="270">
        <v>170.82335072988235</v>
      </c>
      <c r="G19" s="270">
        <v>955.61386115829828</v>
      </c>
      <c r="H19" s="270">
        <v>-1222.4324083270799</v>
      </c>
      <c r="I19" s="270">
        <v>46.720623828499299</v>
      </c>
    </row>
    <row r="20" spans="1:9" x14ac:dyDescent="0.35">
      <c r="A20" s="271">
        <v>45747</v>
      </c>
      <c r="B20" s="270">
        <v>-67.238301195848408</v>
      </c>
      <c r="C20" s="270">
        <v>1698.5366386735911</v>
      </c>
      <c r="D20" s="270">
        <v>0</v>
      </c>
      <c r="E20" s="270">
        <v>0</v>
      </c>
      <c r="F20" s="270">
        <v>175.68983989385447</v>
      </c>
      <c r="G20" s="270">
        <v>973.81247964704448</v>
      </c>
      <c r="H20" s="270">
        <v>-1228.0398964386723</v>
      </c>
      <c r="I20" s="270">
        <v>46.930226557055903</v>
      </c>
    </row>
    <row r="21" spans="1:9" x14ac:dyDescent="0.35">
      <c r="A21" s="271">
        <v>45838</v>
      </c>
      <c r="B21" s="270">
        <v>-68.132281455111979</v>
      </c>
      <c r="C21" s="270">
        <v>1688.3417352330689</v>
      </c>
      <c r="D21" s="270">
        <v>0</v>
      </c>
      <c r="E21" s="270">
        <v>0</v>
      </c>
      <c r="F21" s="270">
        <v>180.55632905782682</v>
      </c>
      <c r="G21" s="270">
        <v>989.03532805494251</v>
      </c>
      <c r="H21" s="270">
        <v>-1233.6178714549401</v>
      </c>
      <c r="I21" s="270">
        <v>47.032571404843281</v>
      </c>
    </row>
    <row r="22" spans="1:9" x14ac:dyDescent="0.35">
      <c r="A22" s="271">
        <v>45930</v>
      </c>
      <c r="B22" s="270">
        <v>-69.026261714375551</v>
      </c>
      <c r="C22" s="270">
        <v>1681.3531915536532</v>
      </c>
      <c r="D22" s="270">
        <v>0</v>
      </c>
      <c r="E22" s="270">
        <v>0</v>
      </c>
      <c r="F22" s="270">
        <v>185.42281822179916</v>
      </c>
      <c r="G22" s="270">
        <v>1000.9621704824297</v>
      </c>
      <c r="H22" s="270">
        <v>-1239.2017490902733</v>
      </c>
      <c r="I22" s="270">
        <v>47.141596715840137</v>
      </c>
    </row>
    <row r="23" spans="1:9" x14ac:dyDescent="0.35">
      <c r="A23" s="271">
        <v>46022</v>
      </c>
      <c r="B23" s="270">
        <v>-69.95653401573486</v>
      </c>
      <c r="C23" s="270">
        <v>1672.9826863614726</v>
      </c>
      <c r="D23" s="270">
        <v>0</v>
      </c>
      <c r="E23" s="270">
        <v>0</v>
      </c>
      <c r="F23" s="270">
        <v>188.70328522765635</v>
      </c>
      <c r="G23" s="270">
        <v>1007.387693822486</v>
      </c>
      <c r="H23" s="270">
        <v>-1244.7856267256061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defaultColWidth="8.81640625" defaultRowHeight="14.5" x14ac:dyDescent="0.35"/>
  <sheetData>
    <row r="1" spans="1:9" s="298" customFormat="1" x14ac:dyDescent="0.35">
      <c r="A1" s="298" t="s">
        <v>324</v>
      </c>
      <c r="B1" s="298" t="s">
        <v>325</v>
      </c>
      <c r="C1" s="298" t="s">
        <v>326</v>
      </c>
      <c r="D1" s="298" t="s">
        <v>327</v>
      </c>
      <c r="E1" s="298" t="s">
        <v>328</v>
      </c>
      <c r="F1" s="298" t="s">
        <v>329</v>
      </c>
      <c r="G1" s="298" t="s">
        <v>330</v>
      </c>
      <c r="H1" s="298" t="s">
        <v>331</v>
      </c>
      <c r="I1" s="298" t="s">
        <v>332</v>
      </c>
    </row>
    <row r="2" spans="1:9" x14ac:dyDescent="0.35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35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35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35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35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35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35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35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35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35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35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35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35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35">
      <c r="A15" t="s">
        <v>306</v>
      </c>
      <c r="H15">
        <v>1078100</v>
      </c>
      <c r="I15">
        <v>15600</v>
      </c>
    </row>
    <row r="16" spans="1:9" x14ac:dyDescent="0.35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35">
      <c r="A17" t="s">
        <v>308</v>
      </c>
      <c r="H17">
        <v>19100</v>
      </c>
      <c r="I17">
        <v>27000</v>
      </c>
    </row>
    <row r="18" spans="1:9" x14ac:dyDescent="0.35">
      <c r="A18" t="s">
        <v>309</v>
      </c>
      <c r="H18">
        <v>160900</v>
      </c>
      <c r="I18">
        <v>58400</v>
      </c>
    </row>
    <row r="19" spans="1:9" x14ac:dyDescent="0.35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35">
      <c r="A20" t="s">
        <v>311</v>
      </c>
      <c r="H20">
        <v>609300</v>
      </c>
      <c r="I20">
        <v>865600</v>
      </c>
    </row>
    <row r="21" spans="1:9" x14ac:dyDescent="0.35">
      <c r="A21" t="s">
        <v>312</v>
      </c>
      <c r="H21">
        <v>63800</v>
      </c>
      <c r="I21">
        <v>15000</v>
      </c>
    </row>
    <row r="22" spans="1:9" x14ac:dyDescent="0.35">
      <c r="A22" t="s">
        <v>313</v>
      </c>
      <c r="H22">
        <v>73300</v>
      </c>
      <c r="I22">
        <v>73300</v>
      </c>
    </row>
    <row r="23" spans="1:9" x14ac:dyDescent="0.35">
      <c r="A23" t="s">
        <v>314</v>
      </c>
      <c r="H23">
        <v>140000</v>
      </c>
      <c r="I23">
        <v>140000</v>
      </c>
    </row>
    <row r="24" spans="1:9" x14ac:dyDescent="0.35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35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35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35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35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35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35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35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35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35">
      <c r="A33" t="s">
        <v>336</v>
      </c>
      <c r="H33">
        <v>277100</v>
      </c>
      <c r="I33">
        <v>228300</v>
      </c>
    </row>
    <row r="34" spans="1:9" x14ac:dyDescent="0.35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257</v>
      </c>
      <c r="B1" t="s">
        <v>290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239</v>
      </c>
      <c r="C8" s="161"/>
      <c r="D8" s="162">
        <f>SUMPRODUCT(B5:B6,C5:C6)</f>
        <v>0.45</v>
      </c>
    </row>
    <row r="9" spans="1:16" x14ac:dyDescent="0.35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35">
      <c r="B8" s="161" t="s">
        <v>239</v>
      </c>
      <c r="C8" s="161"/>
      <c r="D8" s="162">
        <f>SUMPRODUCT(B5:B6,C5:C6)</f>
        <v>0.52500000000000002</v>
      </c>
    </row>
    <row r="9" spans="1:16" x14ac:dyDescent="0.35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38" t="s">
        <v>32</v>
      </c>
      <c r="B5" s="339"/>
      <c r="C5" s="339"/>
      <c r="D5" s="339"/>
      <c r="E5" s="339"/>
      <c r="F5" s="339"/>
      <c r="G5" s="339"/>
      <c r="H5" s="339"/>
      <c r="I5" s="339"/>
      <c r="J5" s="339"/>
      <c r="K5" s="339"/>
      <c r="L5" s="339"/>
      <c r="M5" s="339"/>
      <c r="N5" s="339"/>
      <c r="O5" s="339"/>
      <c r="P5" s="339"/>
      <c r="Q5" s="339"/>
      <c r="R5" s="339"/>
      <c r="S5" s="339"/>
    </row>
    <row r="6" spans="1:19" s="6" customFormat="1" ht="15" customHeight="1" x14ac:dyDescent="0.3">
      <c r="A6" s="340" t="s">
        <v>33</v>
      </c>
      <c r="B6" s="340"/>
      <c r="C6" s="340"/>
      <c r="D6" s="340"/>
      <c r="E6" s="340"/>
      <c r="F6" s="340"/>
      <c r="G6" s="340"/>
      <c r="H6" s="340"/>
      <c r="I6" s="340"/>
      <c r="J6" s="340"/>
      <c r="K6" s="340"/>
      <c r="L6" s="340"/>
      <c r="M6" s="340"/>
      <c r="N6" s="340"/>
      <c r="O6" s="340"/>
      <c r="P6" s="340"/>
      <c r="Q6" s="340"/>
      <c r="R6" s="340"/>
      <c r="S6" s="34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1"/>
      <c r="S8" s="342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35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25" t="s">
        <v>208</v>
      </c>
      <c r="B1" s="325"/>
      <c r="C1" s="35"/>
      <c r="H1"/>
      <c r="I1"/>
      <c r="J1"/>
      <c r="X1" t="s">
        <v>28</v>
      </c>
      <c r="Z1" s="343" t="s">
        <v>84</v>
      </c>
      <c r="AA1" s="343"/>
      <c r="AB1" s="343"/>
      <c r="AC1" s="324"/>
      <c r="AD1" s="324"/>
      <c r="AE1" s="324"/>
      <c r="AF1" s="324"/>
    </row>
    <row r="2" spans="1:32" x14ac:dyDescent="0.35">
      <c r="A2" s="344" t="s">
        <v>192</v>
      </c>
      <c r="B2" s="107"/>
      <c r="C2" t="s">
        <v>193</v>
      </c>
    </row>
    <row r="3" spans="1:32" x14ac:dyDescent="0.35">
      <c r="A3" s="344"/>
      <c r="B3" s="108"/>
      <c r="C3" t="s">
        <v>194</v>
      </c>
    </row>
    <row r="4" spans="1:32" x14ac:dyDescent="0.35">
      <c r="A4" s="344"/>
      <c r="B4" s="109"/>
      <c r="C4" t="s">
        <v>195</v>
      </c>
    </row>
    <row r="5" spans="1:32" x14ac:dyDescent="0.35">
      <c r="A5" s="344"/>
      <c r="B5" s="98"/>
      <c r="C5" t="s">
        <v>182</v>
      </c>
    </row>
    <row r="7" spans="1:32" x14ac:dyDescent="0.35">
      <c r="C7" s="334" t="s">
        <v>160</v>
      </c>
      <c r="D7" s="335"/>
      <c r="E7" s="335"/>
      <c r="F7" s="336"/>
      <c r="G7" s="334" t="s">
        <v>166</v>
      </c>
      <c r="H7" s="335"/>
      <c r="I7" s="335"/>
      <c r="J7" s="336"/>
      <c r="K7" s="334" t="s">
        <v>177</v>
      </c>
      <c r="L7" s="335"/>
      <c r="M7" s="335"/>
      <c r="N7" s="336"/>
    </row>
    <row r="8" spans="1:32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185</v>
      </c>
      <c r="B23" s="110"/>
    </row>
    <row r="24" spans="1:12" x14ac:dyDescent="0.35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188</v>
      </c>
      <c r="B31" s="110"/>
    </row>
    <row r="32" spans="1:12" x14ac:dyDescent="0.35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189</v>
      </c>
      <c r="B53" s="105"/>
    </row>
    <row r="54" spans="1:12" x14ac:dyDescent="0.35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190</v>
      </c>
      <c r="B61" s="105"/>
    </row>
    <row r="62" spans="1:12" x14ac:dyDescent="0.35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main!P50/1000</f>
        <v>382.93200834658188</v>
      </c>
      <c r="H70" s="102">
        <f>main!Q50/1000</f>
        <v>577.41691666666668</v>
      </c>
      <c r="I70" s="102">
        <f>main!R50/1000</f>
        <v>577.41691666666668</v>
      </c>
      <c r="J70" s="102">
        <f>main!S50/1000</f>
        <v>577.41691666666668</v>
      </c>
      <c r="K70" s="102">
        <f>main!T50/1000</f>
        <v>122.75024999999999</v>
      </c>
    </row>
    <row r="71" spans="1:11" x14ac:dyDescent="0.35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179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-519.67121484897336</v>
      </c>
      <c r="I72" s="103">
        <f t="shared" si="23"/>
        <v>-523.63619157232336</v>
      </c>
      <c r="J72" s="103">
        <f t="shared" si="23"/>
        <v>-527.91791393977326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3" zoomScale="110" zoomScaleNormal="110" workbookViewId="0">
      <selection activeCell="O8" sqref="O8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45" t="s">
        <v>104</v>
      </c>
      <c r="B2" s="345"/>
      <c r="C2" s="345"/>
      <c r="D2" s="345"/>
      <c r="E2" s="345"/>
      <c r="F2" s="345"/>
      <c r="G2" s="345"/>
      <c r="H2" s="345"/>
      <c r="I2" s="345"/>
      <c r="J2" s="345"/>
      <c r="K2" s="77"/>
    </row>
    <row r="3" spans="1:24" x14ac:dyDescent="0.35">
      <c r="A3" s="345" t="s">
        <v>105</v>
      </c>
      <c r="B3" s="345"/>
      <c r="C3" s="345"/>
      <c r="D3" s="345"/>
      <c r="E3" s="345"/>
      <c r="F3" s="345"/>
      <c r="G3" s="345"/>
      <c r="H3" s="345"/>
      <c r="I3" s="345"/>
      <c r="J3" s="345"/>
      <c r="K3" s="77"/>
    </row>
    <row r="4" spans="1:24" ht="15" thickBot="1" x14ac:dyDescent="0.4">
      <c r="A4" s="346"/>
      <c r="B4" s="346"/>
      <c r="C4" s="346"/>
      <c r="D4" s="346"/>
      <c r="E4" s="346"/>
      <c r="F4" s="346"/>
      <c r="G4" s="346"/>
      <c r="H4" s="346"/>
      <c r="I4" s="346"/>
      <c r="J4" s="346"/>
      <c r="K4" s="351" t="s">
        <v>160</v>
      </c>
      <c r="L4" s="351"/>
      <c r="M4" s="351"/>
      <c r="N4" s="351"/>
    </row>
    <row r="5" spans="1:24" x14ac:dyDescent="0.35">
      <c r="A5" s="47"/>
      <c r="B5" s="48"/>
      <c r="C5" s="347" t="s">
        <v>106</v>
      </c>
      <c r="D5" s="348"/>
      <c r="E5" s="348"/>
      <c r="F5" s="348"/>
      <c r="G5" s="348"/>
      <c r="H5" s="348"/>
      <c r="I5" s="348"/>
      <c r="J5" s="349"/>
      <c r="K5" s="78"/>
      <c r="L5" s="350" t="s">
        <v>107</v>
      </c>
      <c r="M5" s="324"/>
      <c r="N5" s="324"/>
    </row>
    <row r="6" spans="1:24" x14ac:dyDescent="0.35">
      <c r="A6" s="1" t="s">
        <v>109</v>
      </c>
      <c r="B6" s="49"/>
      <c r="C6" s="353">
        <v>2020</v>
      </c>
      <c r="D6" s="354"/>
      <c r="E6" s="354"/>
      <c r="F6" s="354"/>
      <c r="G6" s="354"/>
      <c r="H6" s="354"/>
      <c r="I6" s="354"/>
      <c r="J6" s="355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275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87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4" t="s">
        <v>9</v>
      </c>
      <c r="L22" s="324"/>
      <c r="M22" s="324"/>
      <c r="N22" s="324"/>
      <c r="O22" s="324" t="s">
        <v>10</v>
      </c>
      <c r="P22" s="324"/>
      <c r="Q22" s="324"/>
      <c r="R22" s="324"/>
      <c r="S22" s="324" t="s">
        <v>11</v>
      </c>
      <c r="T22" s="324"/>
      <c r="U22" s="324"/>
      <c r="V22" s="324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56" t="s">
        <v>108</v>
      </c>
      <c r="L23" s="356"/>
      <c r="M23" s="356"/>
      <c r="N23" s="356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68.75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52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52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2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52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2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52"/>
      <c r="J34" t="s">
        <v>260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36.75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134.33333333333337</v>
      </c>
      <c r="R35" s="72"/>
    </row>
    <row r="36" spans="3:23" x14ac:dyDescent="0.35">
      <c r="C36" t="s">
        <v>269</v>
      </c>
    </row>
    <row r="37" spans="3:23" x14ac:dyDescent="0.35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21.75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60" t="s">
        <v>87</v>
      </c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</row>
    <row r="7" spans="1:18" x14ac:dyDescent="0.35">
      <c r="A7" s="357" t="s">
        <v>88</v>
      </c>
      <c r="B7" s="357"/>
      <c r="C7" s="357"/>
      <c r="D7" s="35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57" t="s">
        <v>89</v>
      </c>
      <c r="C8" s="357"/>
      <c r="D8" s="35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57" t="s">
        <v>90</v>
      </c>
      <c r="C9" s="357"/>
      <c r="D9" s="35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57" t="s">
        <v>91</v>
      </c>
      <c r="C10" s="357"/>
      <c r="D10" s="35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57" t="s">
        <v>58</v>
      </c>
      <c r="C11" s="357"/>
      <c r="D11" s="35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57" t="s">
        <v>34</v>
      </c>
      <c r="D13" s="35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57" t="s">
        <v>89</v>
      </c>
      <c r="C19" s="357"/>
      <c r="D19" s="35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57" t="s">
        <v>90</v>
      </c>
      <c r="C20" s="357"/>
      <c r="D20" s="35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57" t="s">
        <v>91</v>
      </c>
      <c r="C21" s="357"/>
      <c r="D21" s="35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57" t="s">
        <v>58</v>
      </c>
      <c r="C22" s="357"/>
      <c r="D22" s="35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58" t="s">
        <v>95</v>
      </c>
      <c r="I27" s="358"/>
      <c r="J27" s="358"/>
      <c r="K27" s="358"/>
      <c r="L27" s="358"/>
      <c r="M27" s="358"/>
      <c r="N27" s="358"/>
      <c r="O27" s="358"/>
      <c r="P27" s="358"/>
      <c r="Q27" s="358"/>
      <c r="R27" s="358"/>
      <c r="S27" s="358"/>
      <c r="T27" s="358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59" t="s">
        <v>99</v>
      </c>
      <c r="G37" s="359"/>
      <c r="H37" s="359"/>
      <c r="I37" s="359"/>
      <c r="J37" s="359"/>
      <c r="K37" s="359"/>
      <c r="L37" s="359"/>
      <c r="M37" s="359"/>
      <c r="N37" s="359"/>
      <c r="O37" s="359"/>
      <c r="P37" s="359"/>
      <c r="Q37" s="359"/>
      <c r="R37" s="359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58" t="s">
        <v>101</v>
      </c>
      <c r="G48" s="358"/>
      <c r="H48" s="358"/>
      <c r="I48" s="358"/>
      <c r="J48" s="358"/>
      <c r="K48" s="358"/>
      <c r="L48" s="358"/>
      <c r="M48" s="358"/>
      <c r="N48" s="358"/>
      <c r="O48" s="358"/>
      <c r="P48" s="358"/>
      <c r="Q48" s="358"/>
      <c r="R48" s="358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38" t="s">
        <v>32</v>
      </c>
      <c r="B5" s="339"/>
      <c r="C5" s="339"/>
      <c r="D5" s="339"/>
      <c r="E5" s="339"/>
      <c r="F5" s="339"/>
      <c r="G5" s="339"/>
      <c r="H5" s="339"/>
      <c r="I5" s="339"/>
      <c r="J5" s="339"/>
      <c r="K5" s="339"/>
      <c r="L5" s="339"/>
      <c r="M5" s="339"/>
      <c r="N5" s="339"/>
      <c r="O5" s="339"/>
      <c r="P5" s="339"/>
      <c r="Q5" s="339"/>
      <c r="R5" s="339"/>
      <c r="S5" s="339"/>
    </row>
    <row r="6" spans="1:19" s="6" customFormat="1" ht="15" customHeight="1" x14ac:dyDescent="0.3">
      <c r="A6" s="340" t="s">
        <v>33</v>
      </c>
      <c r="B6" s="340"/>
      <c r="C6" s="340"/>
      <c r="D6" s="340"/>
      <c r="E6" s="340"/>
      <c r="F6" s="340"/>
      <c r="G6" s="340"/>
      <c r="H6" s="340"/>
      <c r="I6" s="340"/>
      <c r="J6" s="340"/>
      <c r="K6" s="340"/>
      <c r="L6" s="340"/>
      <c r="M6" s="340"/>
      <c r="N6" s="340"/>
      <c r="O6" s="340"/>
      <c r="P6" s="340"/>
      <c r="Q6" s="340"/>
      <c r="R6" s="340"/>
      <c r="S6" s="34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1" t="s">
        <v>34</v>
      </c>
      <c r="S8" s="342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61" t="s">
        <v>42</v>
      </c>
      <c r="E75" s="36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schemas.microsoft.com/office/2006/documentManagement/types"/>
    <ds:schemaRef ds:uri="http://www.w3.org/XML/1998/namespace"/>
    <ds:schemaRef ds:uri="http://purl.org/dc/dcmitype/"/>
    <ds:schemaRef ds:uri="cac5d118-ba7b-4807-b700-df6f95cfff50"/>
    <ds:schemaRef ds:uri="http://purl.org/dc/elements/1.1/"/>
    <ds:schemaRef ds:uri="http://purl.org/dc/terms/"/>
    <ds:schemaRef ds:uri="66951ee6-cd93-49c7-9437-e871b2a117d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2020-12-23T17:55:49Z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