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DC038D98-3489-2D44-AEA9-51A842123149}" xr6:coauthVersionLast="46" xr6:coauthVersionMax="46" xr10:uidLastSave="{00000000-0000-0000-0000-000000000000}"/>
  <bookViews>
    <workbookView xWindow="2700" yWindow="460" windowWidth="33600" windowHeight="18880" activeTab="2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9" l="1"/>
  <c r="B21" i="16"/>
  <c r="Z76" i="1"/>
  <c r="Y76" i="1"/>
  <c r="X76" i="1"/>
  <c r="W76" i="1"/>
  <c r="V76" i="1"/>
  <c r="Z75" i="1"/>
  <c r="Y75" i="1"/>
  <c r="X75" i="1"/>
  <c r="W75" i="1"/>
  <c r="V75" i="1"/>
  <c r="U75" i="1"/>
  <c r="Q75" i="1"/>
  <c r="P75" i="1"/>
  <c r="O75" i="1"/>
  <c r="Z74" i="1"/>
  <c r="Y74" i="1"/>
  <c r="X74" i="1"/>
  <c r="W74" i="1"/>
  <c r="P74" i="1"/>
  <c r="O74" i="1"/>
  <c r="T62" i="1"/>
  <c r="R61" i="1"/>
  <c r="Q61" i="1"/>
  <c r="P61" i="1"/>
  <c r="O61" i="1"/>
  <c r="O59" i="1"/>
  <c r="O33" i="1"/>
  <c r="C20" i="16"/>
  <c r="S62" i="1" s="1"/>
  <c r="S51" i="1" s="1"/>
  <c r="C19" i="16"/>
  <c r="R35" i="1" s="1"/>
  <c r="C18" i="16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C3" i="16"/>
  <c r="O41" i="1" s="1"/>
  <c r="C2" i="16"/>
  <c r="P59" i="1" s="1"/>
  <c r="Q86" i="1"/>
  <c r="R86" i="1"/>
  <c r="R84" i="1"/>
  <c r="Q84" i="1"/>
  <c r="P84" i="1"/>
  <c r="M87" i="1"/>
  <c r="AD87" i="1" s="1"/>
  <c r="AC87" i="1"/>
  <c r="AI87" i="1"/>
  <c r="AJ87" i="1"/>
  <c r="AK87" i="1"/>
  <c r="W88" i="1"/>
  <c r="X88" i="1"/>
  <c r="Y88" i="1"/>
  <c r="Z88" i="1"/>
  <c r="Z77" i="1" l="1"/>
  <c r="Y77" i="1"/>
  <c r="X77" i="1"/>
  <c r="X73" i="1" s="1"/>
  <c r="X68" i="1" s="1"/>
  <c r="W77" i="1"/>
  <c r="W73" i="1" s="1"/>
  <c r="W68" i="1" s="1"/>
  <c r="V77" i="1"/>
  <c r="O77" i="1"/>
  <c r="U77" i="1"/>
  <c r="T77" i="1"/>
  <c r="S77" i="1"/>
  <c r="R77" i="1"/>
  <c r="Q77" i="1"/>
  <c r="P77" i="1"/>
  <c r="O60" i="1"/>
  <c r="U62" i="1"/>
  <c r="Q60" i="1"/>
  <c r="V62" i="1"/>
  <c r="O35" i="1"/>
  <c r="O62" i="1"/>
  <c r="P35" i="1"/>
  <c r="R85" i="1"/>
  <c r="Q35" i="1"/>
  <c r="O76" i="1"/>
  <c r="O73" i="1" s="1"/>
  <c r="O68" i="1" s="1"/>
  <c r="Q74" i="1"/>
  <c r="Q73" i="1" s="1"/>
  <c r="Q68" i="1" s="1"/>
  <c r="P76" i="1"/>
  <c r="P73" i="1" s="1"/>
  <c r="P68" i="1" s="1"/>
  <c r="O34" i="1"/>
  <c r="R74" i="1"/>
  <c r="Q76" i="1"/>
  <c r="O86" i="1"/>
  <c r="R62" i="1"/>
  <c r="S74" i="1"/>
  <c r="R76" i="1"/>
  <c r="O85" i="1"/>
  <c r="Q62" i="1"/>
  <c r="T74" i="1"/>
  <c r="R75" i="1"/>
  <c r="R73" i="1" s="1"/>
  <c r="R68" i="1" s="1"/>
  <c r="S76" i="1"/>
  <c r="S73" i="1" s="1"/>
  <c r="S68" i="1" s="1"/>
  <c r="Q59" i="1"/>
  <c r="P62" i="1"/>
  <c r="U74" i="1"/>
  <c r="S75" i="1"/>
  <c r="T76" i="1"/>
  <c r="P85" i="1"/>
  <c r="O51" i="1"/>
  <c r="Q83" i="1"/>
  <c r="P83" i="1"/>
  <c r="O83" i="1"/>
  <c r="R83" i="1"/>
  <c r="W50" i="1"/>
  <c r="X50" i="1"/>
  <c r="Y50" i="1"/>
  <c r="Z50" i="1"/>
  <c r="Z89" i="1"/>
  <c r="N68" i="1"/>
  <c r="T73" i="1"/>
  <c r="T68" i="1" s="1"/>
  <c r="U73" i="1"/>
  <c r="U68" i="1" s="1"/>
  <c r="V73" i="1"/>
  <c r="V68" i="1" s="1"/>
  <c r="Y73" i="1"/>
  <c r="Y68" i="1" s="1"/>
  <c r="Z73" i="1"/>
  <c r="Z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G20" i="15" l="1"/>
  <c r="D28" i="15"/>
  <c r="C15" i="15" s="1"/>
  <c r="O2" i="9" a="1"/>
  <c r="O2" i="9" s="1"/>
  <c r="F5" i="15"/>
  <c r="E7" i="15"/>
  <c r="E9" i="15"/>
  <c r="H18" i="15"/>
  <c r="F20" i="15"/>
  <c r="G18" i="15"/>
  <c r="E20" i="15"/>
  <c r="F18" i="15"/>
  <c r="D20" i="15"/>
  <c r="E18" i="15"/>
  <c r="D19" i="15"/>
  <c r="D18" i="15"/>
  <c r="D8" i="15"/>
  <c r="D9" i="15"/>
  <c r="H17" i="15"/>
  <c r="N2" i="9" a="1"/>
  <c r="N4" i="9" s="1"/>
  <c r="O8" i="9" l="1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O26" i="11" l="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Y107" i="1" s="1"/>
  <c r="X105" i="1"/>
  <c r="X107" i="1" s="1"/>
  <c r="W105" i="1"/>
  <c r="W107" i="1" s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M5" i="15" l="1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AA73" i="5" l="1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O31" i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P3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L106" i="1"/>
  <c r="D24" i="5" s="1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M66" i="1" s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M8" i="4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O17" i="4"/>
  <c r="N39" i="1" s="1"/>
  <c r="N38" i="1" s="1"/>
  <c r="N46" i="1"/>
  <c r="W71" i="5"/>
  <c r="V74" i="5"/>
  <c r="R38" i="1"/>
  <c r="N28" i="4"/>
  <c r="M33" i="4"/>
  <c r="AF39" i="1"/>
  <c r="L34" i="4"/>
  <c r="L38" i="4"/>
  <c r="L18" i="4" s="1"/>
  <c r="P18" i="4"/>
  <c r="O42" i="1" s="1"/>
  <c r="O18" i="4"/>
  <c r="N42" i="1" s="1"/>
  <c r="R18" i="4"/>
  <c r="Q42" i="1" s="1"/>
  <c r="M37" i="4" l="1"/>
  <c r="M17" i="4" s="1"/>
  <c r="L39" i="1" s="1"/>
  <c r="L38" i="1" s="1"/>
  <c r="L88" i="1" s="1"/>
  <c r="E57" i="5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N33" i="4"/>
  <c r="N17" i="4" s="1"/>
  <c r="M39" i="1" s="1"/>
  <c r="M38" i="1" s="1"/>
  <c r="N10" i="4"/>
  <c r="AE42" i="1"/>
  <c r="M38" i="4"/>
  <c r="M18" i="4" s="1"/>
  <c r="L42" i="1" s="1"/>
  <c r="N8" i="4"/>
  <c r="N18" i="4"/>
  <c r="M42" i="1" s="1"/>
  <c r="M105" i="1" s="1"/>
  <c r="M10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L2" i="9" l="1" a="1"/>
  <c r="L2" i="9" s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2" i="1"/>
  <c r="L105" i="1"/>
  <c r="AE36" i="1"/>
  <c r="H49" i="2"/>
  <c r="H50" i="2" s="1"/>
  <c r="AD39" i="1"/>
  <c r="I49" i="2"/>
  <c r="I50" i="2" s="1"/>
  <c r="Q46" i="1" l="1"/>
  <c r="Q88" i="1" s="1"/>
  <c r="Z24" i="11"/>
  <c r="Y27" i="11"/>
  <c r="AD36" i="1"/>
  <c r="Z71" i="5"/>
  <c r="Y74" i="5"/>
  <c r="L107" i="1"/>
  <c r="E31" i="5" s="1"/>
  <c r="AE14" i="1"/>
  <c r="AF16" i="1"/>
  <c r="AE16" i="1"/>
  <c r="AC64" i="1"/>
  <c r="AC50" i="1"/>
  <c r="AC31" i="1"/>
  <c r="AC30" i="1"/>
  <c r="AG18" i="1"/>
  <c r="AG16" i="1"/>
  <c r="AG14" i="1"/>
  <c r="AG12" i="1"/>
  <c r="R46" i="1" l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O107" i="1" s="1"/>
  <c r="H31" i="5" s="1"/>
  <c r="H34" i="5" s="1"/>
  <c r="M5" i="10"/>
  <c r="H31" i="11" s="1"/>
  <c r="H34" i="11" s="1"/>
  <c r="N105" i="1"/>
  <c r="N10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92" i="1"/>
  <c r="P91" i="1"/>
  <c r="Y48" i="11" l="1"/>
  <c r="P105" i="1"/>
  <c r="P10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92" i="1"/>
  <c r="Q91" i="1"/>
  <c r="AA48" i="11" l="1"/>
  <c r="Z48" i="11"/>
  <c r="Q105" i="1"/>
  <c r="Q107" i="1" s="1"/>
  <c r="J31" i="5" s="1"/>
  <c r="J34" i="5" s="1"/>
  <c r="O5" i="10"/>
  <c r="J31" i="11" s="1"/>
  <c r="J34" i="11" s="1"/>
  <c r="R24" i="5"/>
  <c r="Q27" i="5"/>
  <c r="W50" i="5"/>
  <c r="V53" i="5"/>
  <c r="S92" i="1"/>
  <c r="R91" i="1"/>
  <c r="G2" i="12" l="1" a="1"/>
  <c r="G2" i="12" s="1"/>
  <c r="R105" i="1"/>
  <c r="R107" i="1" s="1"/>
  <c r="K31" i="5" s="1"/>
  <c r="K34" i="5" s="1"/>
  <c r="P5" i="10"/>
  <c r="K31" i="11" s="1"/>
  <c r="K34" i="11" s="1"/>
  <c r="R27" i="5"/>
  <c r="S24" i="5"/>
  <c r="X50" i="5"/>
  <c r="W53" i="5"/>
  <c r="S91" i="1"/>
  <c r="T9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S10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91" i="1"/>
  <c r="U92" i="1"/>
  <c r="L34" i="11" l="1"/>
  <c r="M31" i="11"/>
  <c r="T105" i="1"/>
  <c r="T107" i="1" s="1"/>
  <c r="R5" i="10"/>
  <c r="U91" i="1"/>
  <c r="V92" i="1"/>
  <c r="V91" i="1" s="1"/>
  <c r="T27" i="5"/>
  <c r="U24" i="5"/>
  <c r="L34" i="5"/>
  <c r="Z50" i="5"/>
  <c r="Y53" i="5"/>
  <c r="N31" i="11" l="1"/>
  <c r="M34" i="11"/>
  <c r="V105" i="1"/>
  <c r="V107" i="1" s="1"/>
  <c r="T5" i="10"/>
  <c r="U105" i="1"/>
  <c r="U10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3" authorId="1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2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3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4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5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6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7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8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9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0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1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2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3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4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5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6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7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8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19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0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1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2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3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<sst xmlns="http://schemas.openxmlformats.org/spreadsheetml/2006/main" count="999" uniqueCount="375">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</sst>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169" fontId="33" fillId="18" borderId="0" xfId="0" applyNumberFormat="1" applyFont="1" applyFill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zoomScale="110" zoomScaleNormal="110" workbookViewId="0">
      <pane xSplit="2" ySplit="3" topLeftCell="G14" activePane="bottomRight" state="frozen"/>
      <selection pane="topRight" activeCell="C1" sqref="C1"/>
      <selection pane="bottomLeft" activeCell="A4" sqref="A4"/>
      <selection pane="bottomRight" activeCell="O33" sqref="O33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9" max="39" width="8.6640625" style="146"/>
  </cols>
  <sheetData>
    <row r="1" spans="1:43" ht="19" x14ac:dyDescent="0.25">
      <c r="A1" s="315" t="s">
        <v>163</v>
      </c>
      <c r="B1" s="315"/>
      <c r="C1" s="279"/>
      <c r="D1" s="279"/>
      <c r="E1" s="35"/>
      <c r="M1" t="s">
        <v>373</v>
      </c>
      <c r="AC1" s="179" t="s">
        <v>249</v>
      </c>
      <c r="AD1" s="317" t="s">
        <v>247</v>
      </c>
      <c r="AE1" s="317"/>
      <c r="AF1" s="317"/>
      <c r="AG1" t="s">
        <v>28</v>
      </c>
      <c r="AI1" s="318" t="s">
        <v>281</v>
      </c>
      <c r="AJ1" s="318"/>
      <c r="AK1" s="318"/>
      <c r="AL1" s="318"/>
      <c r="AM1" s="316" t="s">
        <v>279</v>
      </c>
      <c r="AN1" s="316"/>
      <c r="AO1" s="316"/>
      <c r="AP1" s="316"/>
    </row>
    <row r="2" spans="1:43" x14ac:dyDescent="0.2">
      <c r="F2" s="314" t="s">
        <v>21</v>
      </c>
      <c r="G2" s="314"/>
      <c r="H2" s="314"/>
      <c r="I2" s="314"/>
      <c r="J2" s="314" t="s">
        <v>9</v>
      </c>
      <c r="K2" s="314"/>
      <c r="L2" s="314"/>
      <c r="M2" s="314"/>
      <c r="N2" s="314" t="s">
        <v>10</v>
      </c>
      <c r="O2" s="314"/>
      <c r="P2" s="314"/>
      <c r="Q2" s="314"/>
      <c r="R2" s="314" t="s">
        <v>11</v>
      </c>
      <c r="S2" s="314"/>
      <c r="T2" s="314"/>
      <c r="U2" s="314"/>
      <c r="V2" s="314" t="s">
        <v>268</v>
      </c>
      <c r="W2" s="314"/>
      <c r="X2" s="314"/>
      <c r="Y2" s="314"/>
      <c r="Z2" s="229"/>
      <c r="AA2" s="296"/>
      <c r="AB2" s="229"/>
      <c r="AC2" s="156"/>
      <c r="AD2" s="314" t="s">
        <v>102</v>
      </c>
      <c r="AE2" s="314"/>
      <c r="AF2" s="314"/>
      <c r="AG2" s="156"/>
      <c r="AH2" s="156" t="s">
        <v>21</v>
      </c>
      <c r="AI2" s="314" t="s">
        <v>102</v>
      </c>
      <c r="AJ2" s="314"/>
      <c r="AK2" s="314"/>
      <c r="AL2" s="230"/>
    </row>
    <row r="3" spans="1:43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9" x14ac:dyDescent="0.25">
      <c r="A4" s="313" t="s">
        <v>264</v>
      </c>
      <c r="B4" s="313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2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1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1.9609658695776799E-2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2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2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2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2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2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2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2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2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2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2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2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2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2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2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2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2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1908.0455151906833</v>
      </c>
      <c r="O22" s="102">
        <f t="shared" si="12"/>
        <v>1939.6902849913897</v>
      </c>
      <c r="P22" s="102">
        <f t="shared" si="12"/>
        <v>1970.5341571455765</v>
      </c>
      <c r="Q22" s="102">
        <f t="shared" si="12"/>
        <v>2003.5013393393667</v>
      </c>
      <c r="R22" s="102">
        <f t="shared" si="12"/>
        <v>2025.581901198547</v>
      </c>
      <c r="S22" s="102">
        <f t="shared" si="12"/>
        <v>2045.7905976280756</v>
      </c>
      <c r="T22" s="102">
        <f t="shared" si="12"/>
        <v>2065.7944132643024</v>
      </c>
      <c r="U22" s="102">
        <f t="shared" si="12"/>
        <v>2086.7108797070355</v>
      </c>
      <c r="V22" s="102">
        <f t="shared" ref="V22" si="13">SUM(V23:V25)</f>
        <v>2107.9346673397031</v>
      </c>
    </row>
    <row r="23" spans="1:39" x14ac:dyDescent="0.2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516.53425309528052</v>
      </c>
      <c r="O23" s="102">
        <f t="shared" ref="O23:V23" si="14">N23*(1+O$6)</f>
        <v>525.10092899648225</v>
      </c>
      <c r="P23" s="102">
        <f t="shared" si="14"/>
        <v>533.45079085191969</v>
      </c>
      <c r="Q23" s="102">
        <f t="shared" si="14"/>
        <v>542.37546203798604</v>
      </c>
      <c r="R23" s="102">
        <f t="shared" si="14"/>
        <v>548.35297485780791</v>
      </c>
      <c r="S23" s="102">
        <f t="shared" si="14"/>
        <v>553.82374787299591</v>
      </c>
      <c r="T23" s="102">
        <f t="shared" si="14"/>
        <v>559.2390568299636</v>
      </c>
      <c r="U23" s="102">
        <f t="shared" si="14"/>
        <v>564.90143295536211</v>
      </c>
      <c r="V23" s="102">
        <f t="shared" si="14"/>
        <v>570.64700516808648</v>
      </c>
    </row>
    <row r="24" spans="1:39" x14ac:dyDescent="0.2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1370.8651861164719</v>
      </c>
      <c r="O24" s="102">
        <f t="shared" ref="O24:V24" si="15">N24*(1+O$6)</f>
        <v>1393.6008666319983</v>
      </c>
      <c r="P24" s="102">
        <f t="shared" si="15"/>
        <v>1415.7611296889183</v>
      </c>
      <c r="Q24" s="102">
        <f t="shared" si="15"/>
        <v>1439.4469181012084</v>
      </c>
      <c r="R24" s="102">
        <f t="shared" si="15"/>
        <v>1455.3110436169025</v>
      </c>
      <c r="S24" s="102">
        <f t="shared" si="15"/>
        <v>1469.8302980956239</v>
      </c>
      <c r="T24" s="102">
        <f t="shared" si="15"/>
        <v>1484.202352759349</v>
      </c>
      <c r="U24" s="102">
        <f t="shared" si="15"/>
        <v>1499.2301156898629</v>
      </c>
      <c r="V24" s="102">
        <f t="shared" si="15"/>
        <v>1514.4786783428592</v>
      </c>
    </row>
    <row r="25" spans="1:39" x14ac:dyDescent="0.2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20.646075978930782</v>
      </c>
      <c r="O25" s="102">
        <f t="shared" ref="O25:V25" si="16">N25*(1+O$6)</f>
        <v>20.988489362909135</v>
      </c>
      <c r="P25" s="102">
        <f t="shared" si="16"/>
        <v>21.322236604738496</v>
      </c>
      <c r="Q25" s="102">
        <f t="shared" si="16"/>
        <v>21.678959200172084</v>
      </c>
      <c r="R25" s="102">
        <f t="shared" si="16"/>
        <v>21.917882723836858</v>
      </c>
      <c r="S25" s="102">
        <f t="shared" si="16"/>
        <v>22.136551659455773</v>
      </c>
      <c r="T25" s="102">
        <f t="shared" si="16"/>
        <v>22.353003674989999</v>
      </c>
      <c r="U25" s="102">
        <f t="shared" si="16"/>
        <v>22.579331061810361</v>
      </c>
      <c r="V25" s="102">
        <f t="shared" si="16"/>
        <v>22.808983828757569</v>
      </c>
    </row>
    <row r="26" spans="1:39" x14ac:dyDescent="0.2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91.968791214359072</v>
      </c>
      <c r="O26" s="102">
        <f t="shared" ref="O26:V26" si="17">N26*(1+O6)</f>
        <v>93.494085660250093</v>
      </c>
      <c r="P26" s="102">
        <f t="shared" si="17"/>
        <v>94.980776420930042</v>
      </c>
      <c r="Q26" s="102">
        <f t="shared" si="17"/>
        <v>96.569811835425071</v>
      </c>
      <c r="R26" s="102">
        <f t="shared" si="17"/>
        <v>97.634106459088585</v>
      </c>
      <c r="S26" s="102">
        <f t="shared" si="17"/>
        <v>98.608176190572919</v>
      </c>
      <c r="T26" s="102">
        <f t="shared" si="17"/>
        <v>99.572370560723897</v>
      </c>
      <c r="U26" s="102">
        <f t="shared" si="17"/>
        <v>100.58055517681342</v>
      </c>
      <c r="V26" s="102">
        <f t="shared" si="17"/>
        <v>101.60355283490213</v>
      </c>
    </row>
    <row r="27" spans="1:39" s="187" customFormat="1" x14ac:dyDescent="0.2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2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2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ht="16" x14ac:dyDescent="0.2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2848130.6794988289</v>
      </c>
      <c r="O30" s="44">
        <f t="shared" ref="O30:U30" si="19">O31+O36+O46</f>
        <v>3232347.6672774283</v>
      </c>
      <c r="P30" s="44">
        <f t="shared" si="19"/>
        <v>2658585.8065739484</v>
      </c>
      <c r="Q30" s="44">
        <f t="shared" si="19"/>
        <v>2549045.9648629948</v>
      </c>
      <c r="R30" s="44">
        <f t="shared" si="19"/>
        <v>2602281.8301825942</v>
      </c>
      <c r="S30" s="44">
        <f t="shared" si="19"/>
        <v>2656828.3141670432</v>
      </c>
      <c r="T30" s="44">
        <f t="shared" si="19"/>
        <v>2712721.8209036896</v>
      </c>
      <c r="U30" s="44">
        <f t="shared" si="19"/>
        <v>2769999.8480888377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ht="16" x14ac:dyDescent="0.2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</f>
        <v>863499.75597117806</v>
      </c>
      <c r="P31" s="87">
        <f>O31*((($AJ$31/$AI$31)^0.25))</f>
        <v>874074.254602495</v>
      </c>
      <c r="Q31" s="87">
        <f>P31*((($AJ$31/$AI$31)^0.25))</f>
        <v>884778.24953132728</v>
      </c>
      <c r="R31" s="87">
        <f>Q31*((($AK$31/$AJ$31)^0.25))</f>
        <v>913710.09912095172</v>
      </c>
      <c r="S31" s="87">
        <f>R31*((($AK$31/$AJ$31)^0.25))</f>
        <v>943588.00713947637</v>
      </c>
      <c r="T31" s="87">
        <f>S31*((($AK$31/$AJ$31)^0.25))</f>
        <v>974442.9092707095</v>
      </c>
      <c r="U31" s="87">
        <f>T31*((($AK$31/$AJ$31)^0.25))</f>
        <v>1006306.7527813631</v>
      </c>
      <c r="V31" s="87">
        <f>U31*((($AL$31/$AK$31)^0.25))</f>
        <v>1016447.3981375673</v>
      </c>
      <c r="W31" s="87">
        <f>V31*((($AL$31/$AK$31)^0.25))</f>
        <v>1026690.2317062188</v>
      </c>
      <c r="X31" s="87">
        <f>W31*((($AL$31/$AK$31)^0.25))</f>
        <v>1037036.2832472979</v>
      </c>
      <c r="Y31" s="87">
        <f>X31*((($AL$31/$AK$31)^0.25))</f>
        <v>1047486.5928977706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868.85136177595723</v>
      </c>
      <c r="AF31" s="45">
        <f>AVERAGE(R31:U31)/1000</f>
        <v>959.51194207812523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ht="16" x14ac:dyDescent="0.2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ht="16" x14ac:dyDescent="0.2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288"/>
      <c r="O33" s="288">
        <f>'Stimulus Round 2'!C4*4</f>
        <v>664000</v>
      </c>
      <c r="P33" s="288"/>
      <c r="Q33" s="288"/>
      <c r="R33" s="288"/>
      <c r="S33" s="288"/>
      <c r="T33" s="288"/>
      <c r="U33" s="288"/>
      <c r="AD33" s="290"/>
      <c r="AE33" s="290"/>
      <c r="AF33" s="290"/>
      <c r="AG33" s="289"/>
      <c r="AI33" s="289"/>
      <c r="AJ33" s="289"/>
      <c r="AK33" s="289"/>
      <c r="AL33" s="289"/>
      <c r="AM33" s="291"/>
    </row>
    <row r="34" spans="1:41" s="285" customFormat="1" ht="16" x14ac:dyDescent="0.2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288"/>
      <c r="O34" s="288">
        <f>'Stimulus Round 2'!$C$15*4/2</f>
        <v>52000</v>
      </c>
      <c r="P34" s="288">
        <f>'Stimulus Round 2'!$C$15*4/2</f>
        <v>52000</v>
      </c>
      <c r="Q34" s="288"/>
      <c r="R34" s="288"/>
      <c r="S34" s="288"/>
      <c r="T34" s="288"/>
      <c r="U34" s="288"/>
      <c r="AD34" s="290"/>
      <c r="AE34" s="290"/>
      <c r="AF34" s="290"/>
      <c r="AG34" s="289"/>
      <c r="AI34" s="289"/>
      <c r="AJ34" s="289"/>
      <c r="AK34" s="289"/>
      <c r="AL34" s="289"/>
      <c r="AM34" s="291"/>
    </row>
    <row r="35" spans="1:41" s="285" customFormat="1" ht="16" x14ac:dyDescent="0.2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288"/>
      <c r="O35" s="288">
        <f>'Stimulus Round 2'!$C$19*4/4</f>
        <v>5000</v>
      </c>
      <c r="P35" s="288">
        <f>'Stimulus Round 2'!$C$19*4/4</f>
        <v>5000</v>
      </c>
      <c r="Q35" s="288">
        <f>'Stimulus Round 2'!$C$19*4/4</f>
        <v>5000</v>
      </c>
      <c r="R35" s="288">
        <f>'Stimulus Round 2'!$C$19*4/4</f>
        <v>5000</v>
      </c>
      <c r="S35" s="288"/>
      <c r="T35" s="288"/>
      <c r="U35" s="288"/>
      <c r="AD35" s="290"/>
      <c r="AE35" s="290"/>
      <c r="AF35" s="290"/>
      <c r="AG35" s="289"/>
      <c r="AI35" s="289"/>
      <c r="AJ35" s="289"/>
      <c r="AK35" s="289"/>
      <c r="AL35" s="289"/>
      <c r="AM35" s="291"/>
    </row>
    <row r="36" spans="1:41" ht="16" x14ac:dyDescent="0.2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204">
        <v>1112564</v>
      </c>
      <c r="M36" s="199">
        <f>M37+M40</f>
        <v>881354</v>
      </c>
      <c r="N36" s="87">
        <f>N38+N42</f>
        <v>337800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516.30775000000006</v>
      </c>
      <c r="AE36" s="45">
        <f t="shared" ref="AE36:AE46" si="21">AVERAGE(N36:Q36)/1000</f>
        <v>314.45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ht="16" x14ac:dyDescent="0.2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/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ht="16" x14ac:dyDescent="0.2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738200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ht="16" x14ac:dyDescent="0.2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632000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366.73333333333329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ht="16" x14ac:dyDescent="0.2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2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288"/>
      <c r="O41" s="288">
        <f>'Stimulus Round 2'!$C$3*4</f>
        <v>480000</v>
      </c>
      <c r="P41" s="288"/>
      <c r="Q41" s="288"/>
      <c r="R41" s="288"/>
      <c r="S41" s="288"/>
      <c r="T41" s="288"/>
      <c r="U41" s="288"/>
      <c r="V41" s="289"/>
      <c r="W41" s="289"/>
      <c r="X41" s="289"/>
      <c r="Y41" s="289"/>
      <c r="Z41" s="289"/>
      <c r="AA41" s="289"/>
      <c r="AB41" s="289"/>
      <c r="AC41" s="289"/>
      <c r="AD41" s="290"/>
      <c r="AE41" s="290"/>
      <c r="AF41" s="290"/>
      <c r="AG41" s="289"/>
      <c r="AI41" s="289"/>
      <c r="AJ41" s="289"/>
      <c r="AK41" s="289"/>
      <c r="AL41" s="289"/>
      <c r="AM41" s="291"/>
    </row>
    <row r="42" spans="1:41" ht="16" x14ac:dyDescent="0.2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277600</v>
      </c>
      <c r="M42" s="199">
        <f>1000*'figuring out UI'!N18</f>
        <v>140000</v>
      </c>
      <c r="N42" s="87">
        <f>1000*'figuring out UI'!O18</f>
        <v>80000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104.4</v>
      </c>
      <c r="AE42" s="45">
        <f t="shared" si="21"/>
        <v>57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32" x14ac:dyDescent="0.2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ht="16" x14ac:dyDescent="0.2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ht="16" x14ac:dyDescent="0.2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8" x14ac:dyDescent="0.2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L30-L32-L36-L31-L43</f>
        <v>1620732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-1673.3722500000001</v>
      </c>
      <c r="AD46" s="45">
        <f>AVERAGE(J46:M46)/1000</f>
        <v>1596.7339999999999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1671.143339466229</v>
      </c>
      <c r="AO46">
        <f>AK46/AI46*AD46</f>
        <v>1711.7293926923571</v>
      </c>
    </row>
    <row r="47" spans="1:41" s="171" customFormat="1" x14ac:dyDescent="0.2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2.938781628264131E-2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2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1673.3722500000001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2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2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577416.91666666663</v>
      </c>
      <c r="P50" s="144">
        <f t="shared" si="30"/>
        <v>577416.91666666663</v>
      </c>
      <c r="Q50" s="144">
        <f t="shared" si="30"/>
        <v>577416.91666666663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ht="16" x14ac:dyDescent="0.2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502586.66666666663</v>
      </c>
      <c r="P51" s="116">
        <f t="shared" ref="P51:V51" si="32">P53+P54+SUM(P59:P62)</f>
        <v>502586.66666666663</v>
      </c>
      <c r="Q51" s="116">
        <f t="shared" si="32"/>
        <v>502586.66666666663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ht="16" x14ac:dyDescent="0.2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ht="16" x14ac:dyDescent="0.2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2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2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2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2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ht="16" x14ac:dyDescent="0.2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ht="16" x14ac:dyDescent="0.2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292"/>
      <c r="O59" s="292">
        <f>'Stimulus Round 2'!$C$2*4/3</f>
        <v>433333.33333333331</v>
      </c>
      <c r="P59" s="292">
        <f>'Stimulus Round 2'!$C$2*4/3</f>
        <v>433333.33333333331</v>
      </c>
      <c r="Q59" s="292">
        <f>'Stimulus Round 2'!$C$2*4/3</f>
        <v>433333.33333333331</v>
      </c>
      <c r="R59" s="292"/>
      <c r="S59" s="292"/>
      <c r="T59" s="292"/>
      <c r="U59" s="292"/>
      <c r="V59" s="292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M59" s="293"/>
    </row>
    <row r="60" spans="1:39" s="285" customFormat="1" ht="16" x14ac:dyDescent="0.2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292"/>
      <c r="O60" s="292">
        <f>'Stimulus Round 2'!$C$12*4/3</f>
        <v>21333.333333333332</v>
      </c>
      <c r="P60" s="292">
        <f>'Stimulus Round 2'!$C$12*4/3</f>
        <v>21333.333333333332</v>
      </c>
      <c r="Q60" s="292">
        <f>'Stimulus Round 2'!$C$12*4/3</f>
        <v>21333.333333333332</v>
      </c>
      <c r="R60" s="292"/>
      <c r="S60" s="292"/>
      <c r="T60" s="292"/>
      <c r="U60" s="292"/>
      <c r="V60" s="292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M60" s="293"/>
    </row>
    <row r="61" spans="1:39" s="285" customFormat="1" ht="16" x14ac:dyDescent="0.2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292"/>
      <c r="O61" s="292">
        <f>'Stimulus Round 2'!$C$18*4/4</f>
        <v>20000</v>
      </c>
      <c r="P61" s="292">
        <f>'Stimulus Round 2'!$C$18*4/4</f>
        <v>20000</v>
      </c>
      <c r="Q61" s="292">
        <f>'Stimulus Round 2'!$C$18*4/4</f>
        <v>20000</v>
      </c>
      <c r="R61" s="292">
        <f>'Stimulus Round 2'!$C$18*4/4</f>
        <v>20000</v>
      </c>
      <c r="S61" s="292"/>
      <c r="T61" s="292"/>
      <c r="U61" s="292"/>
      <c r="V61" s="292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M61" s="293"/>
    </row>
    <row r="62" spans="1:39" s="285" customFormat="1" ht="16" x14ac:dyDescent="0.2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292"/>
      <c r="O62" s="292">
        <f>'Stimulus Round 2'!$C$20*4/8</f>
        <v>2500</v>
      </c>
      <c r="P62" s="292">
        <f>'Stimulus Round 2'!$C$20*4/8</f>
        <v>2500</v>
      </c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M62" s="293"/>
    </row>
    <row r="63" spans="1:39" s="35" customFormat="1" x14ac:dyDescent="0.2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2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309706.21811040066</v>
      </c>
      <c r="O64" s="116">
        <f>O66+(SUM($M$68:$R$68))/4/6*4</f>
        <v>310474.32878097624</v>
      </c>
      <c r="P64" s="116">
        <f>P66+(SUM($M$68:$R$68))/4/6*4</f>
        <v>311355.76725540578</v>
      </c>
      <c r="Q64" s="116">
        <f>Q66+(SUM($M$68:$R$68))/4/6*4</f>
        <v>312388.30946831079</v>
      </c>
      <c r="R64" s="116">
        <f>R66+(SUM($M$68:$R$68))/4/6*4</f>
        <v>313877.71302658436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2">
      <c r="A65" s="35" t="s">
        <v>229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2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116">
        <f>M66*(1+N82)</f>
        <v>191372.88477706735</v>
      </c>
      <c r="O66" s="116">
        <f t="shared" ref="O66:R66" si="34">N66*(1+O82)</f>
        <v>192140.9954476429</v>
      </c>
      <c r="P66" s="116">
        <f t="shared" si="34"/>
        <v>193022.43392207247</v>
      </c>
      <c r="Q66" s="116">
        <f t="shared" si="34"/>
        <v>194054.97613497748</v>
      </c>
      <c r="R66" s="116">
        <f t="shared" si="34"/>
        <v>195544.37969325102</v>
      </c>
      <c r="S66" s="116">
        <f t="shared" ref="S66" si="35">R66*(1+S82)</f>
        <v>197240.80684971521</v>
      </c>
      <c r="T66" s="116">
        <f t="shared" ref="T66" si="36">S66*(1+T82)</f>
        <v>198958.57178194768</v>
      </c>
      <c r="U66" s="116">
        <f t="shared" ref="U66" si="37">T66*(1+U82)</f>
        <v>200866.80125051294</v>
      </c>
      <c r="V66" s="116">
        <f t="shared" ref="V66:X66" si="38">U66*(1+V82)</f>
        <v>202622.47677399646</v>
      </c>
      <c r="W66" s="116">
        <f t="shared" si="38"/>
        <v>204572.45802602731</v>
      </c>
      <c r="X66" s="116">
        <f t="shared" si="38"/>
        <v>206361.5615193437</v>
      </c>
      <c r="Y66" s="116">
        <f t="shared" ref="Y66" si="39">X66*(1+Y82)</f>
        <v>208346.79396445845</v>
      </c>
      <c r="Z66" s="116">
        <f t="shared" ref="Z66" si="40">Y66*(1+Z82)</f>
        <v>214810.11799163782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2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16" x14ac:dyDescent="0.2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1">SUM(P70:P72)+P73</f>
        <v>121000</v>
      </c>
      <c r="Q68" s="116">
        <f t="shared" si="41"/>
        <v>121000</v>
      </c>
      <c r="R68" s="116">
        <f t="shared" si="41"/>
        <v>115000</v>
      </c>
      <c r="S68" s="116">
        <f t="shared" si="41"/>
        <v>109000</v>
      </c>
      <c r="T68" s="116">
        <f t="shared" si="41"/>
        <v>109000</v>
      </c>
      <c r="U68" s="116">
        <f t="shared" si="41"/>
        <v>109000</v>
      </c>
      <c r="V68" s="116">
        <f t="shared" si="41"/>
        <v>109000</v>
      </c>
      <c r="W68" s="116">
        <f t="shared" si="41"/>
        <v>109000</v>
      </c>
      <c r="X68" s="116">
        <f t="shared" si="41"/>
        <v>59000</v>
      </c>
      <c r="Y68" s="116">
        <f t="shared" si="41"/>
        <v>59000</v>
      </c>
      <c r="Z68" s="116">
        <f t="shared" si="41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ht="16" x14ac:dyDescent="0.2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2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2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2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2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2">SUM(P74:P77)</f>
        <v>59000</v>
      </c>
      <c r="Q73" s="116">
        <f t="shared" si="42"/>
        <v>59000</v>
      </c>
      <c r="R73" s="116">
        <f t="shared" si="42"/>
        <v>59000</v>
      </c>
      <c r="S73" s="116">
        <f t="shared" si="42"/>
        <v>59000</v>
      </c>
      <c r="T73" s="116">
        <f t="shared" si="42"/>
        <v>59000</v>
      </c>
      <c r="U73" s="116">
        <f t="shared" si="42"/>
        <v>59000</v>
      </c>
      <c r="V73" s="116">
        <f t="shared" si="42"/>
        <v>59000</v>
      </c>
      <c r="W73" s="116">
        <f t="shared" si="42"/>
        <v>59000</v>
      </c>
      <c r="X73" s="116">
        <f t="shared" si="42"/>
        <v>59000</v>
      </c>
      <c r="Y73" s="116">
        <f t="shared" si="42"/>
        <v>59000</v>
      </c>
      <c r="Z73" s="116">
        <f t="shared" si="42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2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292"/>
      <c r="O74" s="292">
        <f>'Stimulus Round 2'!$C$13*4/12</f>
        <v>9666.6666666666661</v>
      </c>
      <c r="P74" s="292">
        <f>'Stimulus Round 2'!$C$13*4/12</f>
        <v>9666.6666666666661</v>
      </c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89"/>
      <c r="AB74" s="289"/>
      <c r="AC74" s="289"/>
      <c r="AD74" s="289"/>
      <c r="AE74" s="289"/>
      <c r="AF74" s="289"/>
      <c r="AG74" s="289"/>
      <c r="AM74" s="293"/>
    </row>
    <row r="75" spans="1:39" s="285" customFormat="1" x14ac:dyDescent="0.2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292"/>
      <c r="O75" s="292">
        <f>'Stimulus Round 2'!$C$5*4/12</f>
        <v>27333.333333333332</v>
      </c>
      <c r="P75" s="292">
        <f>'Stimulus Round 2'!$C$5*4/12</f>
        <v>27333.333333333332</v>
      </c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89"/>
      <c r="AB75" s="289"/>
      <c r="AC75" s="289"/>
      <c r="AD75" s="289"/>
      <c r="AE75" s="289"/>
      <c r="AF75" s="289"/>
      <c r="AG75" s="289"/>
      <c r="AM75" s="293"/>
    </row>
    <row r="76" spans="1:39" s="285" customFormat="1" x14ac:dyDescent="0.2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292"/>
      <c r="O76" s="292">
        <f>'Stimulus Round 2'!$C$10*4/12</f>
        <v>4000</v>
      </c>
      <c r="P76" s="292">
        <f>'Stimulus Round 2'!$C$10*4/12</f>
        <v>4000</v>
      </c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89"/>
      <c r="AB76" s="289"/>
      <c r="AC76" s="289"/>
      <c r="AD76" s="289"/>
      <c r="AE76" s="289"/>
      <c r="AF76" s="289"/>
      <c r="AG76" s="289"/>
      <c r="AM76" s="293"/>
    </row>
    <row r="77" spans="1:39" s="285" customFormat="1" x14ac:dyDescent="0.2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292"/>
      <c r="O77" s="292">
        <f>'Stimulus Round 2'!$C$16*4/12</f>
        <v>18000</v>
      </c>
      <c r="P77" s="292">
        <f>'Stimulus Round 2'!$C$16*4/12</f>
        <v>18000</v>
      </c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89"/>
      <c r="AB77" s="289"/>
      <c r="AC77" s="289"/>
      <c r="AD77" s="289"/>
      <c r="AE77" s="289"/>
      <c r="AF77" s="289"/>
      <c r="AG77" s="289"/>
      <c r="AM77" s="293"/>
    </row>
    <row r="78" spans="1:39" s="35" customFormat="1" x14ac:dyDescent="0.2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286980.38194444444</v>
      </c>
      <c r="N78" s="144">
        <f t="shared" si="43"/>
        <v>298372.88477706735</v>
      </c>
      <c r="O78" s="144">
        <f t="shared" si="43"/>
        <v>341140.99544764287</v>
      </c>
      <c r="P78" s="144">
        <f t="shared" si="43"/>
        <v>314022.43392207247</v>
      </c>
      <c r="Q78" s="144">
        <f t="shared" si="43"/>
        <v>315054.97613497748</v>
      </c>
      <c r="R78" s="144">
        <f t="shared" si="43"/>
        <v>310544.37969325099</v>
      </c>
      <c r="S78" s="144">
        <f t="shared" si="43"/>
        <v>306240.80684971518</v>
      </c>
      <c r="T78" s="144">
        <f t="shared" si="43"/>
        <v>307958.57178194768</v>
      </c>
      <c r="U78" s="144">
        <f t="shared" si="43"/>
        <v>309866.80125051294</v>
      </c>
      <c r="V78" s="144">
        <f t="shared" si="43"/>
        <v>311622.47677399649</v>
      </c>
      <c r="W78" s="144">
        <f t="shared" si="43"/>
        <v>313572.45802602731</v>
      </c>
      <c r="X78" s="144">
        <f t="shared" si="43"/>
        <v>265361.5615193437</v>
      </c>
      <c r="Y78" s="144">
        <f t="shared" si="43"/>
        <v>267346.79396445845</v>
      </c>
      <c r="Z78" s="144">
        <f t="shared" si="43"/>
        <v>273810.11799163779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2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2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2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1497.93454882981</v>
      </c>
      <c r="O81">
        <v>1503.94678777432</v>
      </c>
      <c r="P81">
        <v>1510.84607836637</v>
      </c>
      <c r="Q81">
        <v>1518.9281044884999</v>
      </c>
      <c r="R81">
        <v>1530.5861251620499</v>
      </c>
      <c r="S81">
        <v>1543.8645833417499</v>
      </c>
      <c r="T81">
        <v>1557.3100588685299</v>
      </c>
      <c r="U81">
        <v>1572.24635902092</v>
      </c>
      <c r="V81">
        <v>1585.9885724291801</v>
      </c>
      <c r="W81">
        <v>1601.2516766583401</v>
      </c>
      <c r="X81">
        <v>1615.2555410887301</v>
      </c>
      <c r="Y81">
        <v>1630.7945672703099</v>
      </c>
      <c r="Z81">
        <v>1681.38499637876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1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7.3297190918908406E-3</v>
      </c>
      <c r="O82" s="188">
        <f t="shared" ref="O82:V82" si="44">O81/N81-1</f>
        <v>4.0136860113193507E-3</v>
      </c>
      <c r="P82" s="188">
        <f t="shared" si="44"/>
        <v>4.5874565829953085E-3</v>
      </c>
      <c r="Q82" s="188">
        <f t="shared" si="44"/>
        <v>5.3493378563544969E-3</v>
      </c>
      <c r="R82" s="188">
        <f t="shared" si="44"/>
        <v>7.6751629251576858E-3</v>
      </c>
      <c r="S82" s="188">
        <f t="shared" si="44"/>
        <v>8.675407388979206E-3</v>
      </c>
      <c r="T82" s="188">
        <f t="shared" si="44"/>
        <v>8.7089733593581631E-3</v>
      </c>
      <c r="U82" s="188">
        <f t="shared" si="44"/>
        <v>9.5910894990571816E-3</v>
      </c>
      <c r="V82" s="188">
        <f t="shared" si="44"/>
        <v>8.7404962520107876E-3</v>
      </c>
      <c r="W82" s="188">
        <f t="shared" ref="W82" si="45">W81/V81-1</f>
        <v>9.6237163965073869E-3</v>
      </c>
      <c r="X82" s="188">
        <f t="shared" ref="X82" si="46">X81/W81-1</f>
        <v>8.7455736250123817E-3</v>
      </c>
      <c r="Y82" s="188">
        <f>Y81/X81-1</f>
        <v>9.6201658414407643E-3</v>
      </c>
      <c r="Z82" s="188">
        <f t="shared" ref="Z82" si="47">Z81/Y81-1</f>
        <v>3.1021950970274714E-2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2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8">SUM(P84:P86)</f>
        <v>71400</v>
      </c>
      <c r="Q83" s="102">
        <f t="shared" si="48"/>
        <v>30600</v>
      </c>
      <c r="R83" s="102">
        <f t="shared" si="48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00" customFormat="1" x14ac:dyDescent="0.2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03"/>
      <c r="O84" s="292">
        <f>('Stimulus Round 2'!$C7*0.7*4)/2</f>
        <v>30799.999999999996</v>
      </c>
      <c r="P84" s="292">
        <f>('Stimulus Round 2'!$C7*0.7*4)/2</f>
        <v>30799.999999999996</v>
      </c>
      <c r="Q84" s="292">
        <f>('Stimulus Round 2'!$C7*0.3*4)/2</f>
        <v>13200</v>
      </c>
      <c r="R84" s="292">
        <f>('Stimulus Round 2'!$C7*0.3*4)/2</f>
        <v>13200</v>
      </c>
      <c r="S84" s="303"/>
      <c r="T84" s="303"/>
      <c r="U84" s="303"/>
      <c r="V84" s="303"/>
      <c r="W84" s="303"/>
      <c r="X84" s="303"/>
      <c r="Y84" s="303"/>
      <c r="Z84" s="303"/>
      <c r="AA84" s="303"/>
      <c r="AB84" s="303"/>
      <c r="AE84" s="304"/>
      <c r="AF84" s="304"/>
      <c r="AG84" s="304"/>
      <c r="AI84" s="304"/>
      <c r="AJ84" s="304"/>
      <c r="AK84" s="304"/>
      <c r="AL84" s="304"/>
      <c r="AM84" s="305"/>
    </row>
    <row r="85" spans="1:39" s="300" customFormat="1" x14ac:dyDescent="0.2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03"/>
      <c r="O85" s="292">
        <f>('Stimulus Round 2'!$C8*0.7*4)/2</f>
        <v>28000</v>
      </c>
      <c r="P85" s="292">
        <f>('Stimulus Round 2'!$C8*0.7*4)/2</f>
        <v>28000</v>
      </c>
      <c r="Q85" s="292">
        <f>('Stimulus Round 2'!$C8*0.3*4)/2</f>
        <v>12000</v>
      </c>
      <c r="R85" s="292">
        <f>('Stimulus Round 2'!$C8*0.3*4)/2</f>
        <v>12000</v>
      </c>
      <c r="S85" s="303"/>
      <c r="T85" s="303"/>
      <c r="U85" s="303"/>
      <c r="V85" s="303"/>
      <c r="W85" s="303"/>
      <c r="X85" s="303"/>
      <c r="Y85" s="303"/>
      <c r="Z85" s="303"/>
      <c r="AA85" s="303"/>
      <c r="AB85" s="303"/>
      <c r="AE85" s="304"/>
      <c r="AF85" s="304"/>
      <c r="AG85" s="304"/>
      <c r="AI85" s="304"/>
      <c r="AJ85" s="304"/>
      <c r="AK85" s="304"/>
      <c r="AL85" s="304"/>
      <c r="AM85" s="305"/>
    </row>
    <row r="86" spans="1:39" s="300" customFormat="1" x14ac:dyDescent="0.2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03"/>
      <c r="O86" s="292">
        <f>('Stimulus Round 2'!$C9*0.7*4)/2</f>
        <v>12600</v>
      </c>
      <c r="P86" s="292">
        <f>('Stimulus Round 2'!$C9*0.7*4)/2</f>
        <v>12600</v>
      </c>
      <c r="Q86" s="292">
        <f>('Stimulus Round 2'!$C9*0.3*4)/2</f>
        <v>5400</v>
      </c>
      <c r="R86" s="292">
        <f>('Stimulus Round 2'!$C9*0.3*4)/2</f>
        <v>5400</v>
      </c>
      <c r="S86" s="303"/>
      <c r="T86" s="303"/>
      <c r="U86" s="303"/>
      <c r="V86" s="303"/>
      <c r="W86" s="303"/>
      <c r="X86" s="303"/>
      <c r="Y86" s="303"/>
      <c r="Z86" s="303"/>
      <c r="AA86" s="303"/>
      <c r="AB86" s="303"/>
      <c r="AE86" s="304"/>
      <c r="AF86" s="304"/>
      <c r="AG86" s="304"/>
      <c r="AI86" s="304"/>
      <c r="AJ86" s="304"/>
      <c r="AK86" s="304"/>
      <c r="AL86" s="304"/>
      <c r="AM86" s="305"/>
    </row>
    <row r="87" spans="1:39" s="35" customFormat="1" x14ac:dyDescent="0.2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2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3713565.333333333</v>
      </c>
      <c r="M88" s="199">
        <f t="shared" si="50"/>
        <v>2509001</v>
      </c>
      <c r="N88" s="142">
        <f>N46+N43+N32+N38+N33+N34</f>
        <v>1966882.3341534182</v>
      </c>
      <c r="O88" s="142">
        <f t="shared" ref="O88:Z88" si="51">O46+O43+O32+O38+O33+O34+O35</f>
        <v>3089225.50685474</v>
      </c>
      <c r="P88" s="142">
        <f t="shared" si="51"/>
        <v>1856511.5519714532</v>
      </c>
      <c r="Q88" s="142">
        <f t="shared" si="51"/>
        <v>1668267.7153316673</v>
      </c>
      <c r="R88" s="142">
        <f t="shared" si="51"/>
        <v>1664571.7310616423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2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1387852.444352445</v>
      </c>
      <c r="P89" s="143">
        <f t="shared" si="52"/>
        <v>1403659.4096977371</v>
      </c>
      <c r="Q89" s="143">
        <f t="shared" si="52"/>
        <v>1414363.4046265692</v>
      </c>
      <c r="R89" s="143">
        <f t="shared" si="52"/>
        <v>1443295.2542161937</v>
      </c>
      <c r="S89" s="143">
        <f t="shared" si="52"/>
        <v>1473173.1622347184</v>
      </c>
      <c r="T89" s="143">
        <f t="shared" si="52"/>
        <v>1461088.7274663374</v>
      </c>
      <c r="U89" s="143">
        <f t="shared" si="52"/>
        <v>1492952.570976991</v>
      </c>
      <c r="V89" s="143">
        <f t="shared" si="52"/>
        <v>1503093.2163331951</v>
      </c>
      <c r="W89" s="143">
        <f t="shared" si="52"/>
        <v>1026690.2317062188</v>
      </c>
      <c r="X89" s="143">
        <f t="shared" si="52"/>
        <v>1037036.2832472979</v>
      </c>
      <c r="Y89" s="143">
        <f t="shared" si="52"/>
        <v>1047486.5928977706</v>
      </c>
      <c r="Z89" s="143">
        <f t="shared" si="52"/>
        <v>0</v>
      </c>
      <c r="AM89" s="243"/>
    </row>
    <row r="90" spans="1:39" s="35" customFormat="1" x14ac:dyDescent="0.2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2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838999.96973237256</v>
      </c>
      <c r="O91" s="133">
        <f t="shared" si="53"/>
        <v>851909.41974748904</v>
      </c>
      <c r="P91" s="133">
        <f t="shared" si="53"/>
        <v>859338.63247661723</v>
      </c>
      <c r="Q91" s="133">
        <f t="shared" si="53"/>
        <v>860057.04756403249</v>
      </c>
      <c r="R91" s="133">
        <f t="shared" si="53"/>
        <v>861140.05830831092</v>
      </c>
      <c r="S91" s="133">
        <f t="shared" si="53"/>
        <v>862594.90274145827</v>
      </c>
      <c r="T91" s="133">
        <f t="shared" si="53"/>
        <v>864142.72686504154</v>
      </c>
      <c r="U91" s="133">
        <f t="shared" si="53"/>
        <v>865537.60394083988</v>
      </c>
      <c r="V91" s="133">
        <f t="shared" ref="V91" si="54">V92+V94</f>
        <v>866767.29820503015</v>
      </c>
      <c r="AM91" s="243"/>
    </row>
    <row r="92" spans="1:39" s="35" customFormat="1" x14ac:dyDescent="0.2">
      <c r="A92" s="35" t="s">
        <v>231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142967.28749999998</v>
      </c>
      <c r="O92" s="133">
        <f t="shared" ref="O92:V92" si="56">N92*(1+O103)</f>
        <v>143324.70571874996</v>
      </c>
      <c r="P92" s="133">
        <f t="shared" si="56"/>
        <v>143683.01748304683</v>
      </c>
      <c r="Q92" s="133">
        <f t="shared" si="56"/>
        <v>144401.43257046206</v>
      </c>
      <c r="R92" s="133">
        <f t="shared" si="56"/>
        <v>145484.44331474052</v>
      </c>
      <c r="S92" s="133">
        <f t="shared" si="56"/>
        <v>146939.28774788792</v>
      </c>
      <c r="T92" s="133">
        <f t="shared" si="56"/>
        <v>148487.1118714711</v>
      </c>
      <c r="U92" s="133">
        <f t="shared" si="56"/>
        <v>149881.98894726948</v>
      </c>
      <c r="V92" s="133">
        <f t="shared" si="56"/>
        <v>151111.68321145975</v>
      </c>
      <c r="AM92" s="243"/>
    </row>
    <row r="93" spans="1:39" s="35" customFormat="1" x14ac:dyDescent="0.2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2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7">Q94*(1+R95)</f>
        <v>715655.61499357037</v>
      </c>
      <c r="S94" s="135">
        <f t="shared" si="57"/>
        <v>715655.61499357037</v>
      </c>
      <c r="T94" s="135">
        <f t="shared" si="57"/>
        <v>715655.61499357037</v>
      </c>
      <c r="U94" s="135">
        <f t="shared" si="57"/>
        <v>715655.61499357037</v>
      </c>
      <c r="V94" s="135">
        <f t="shared" si="57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2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2">
      <c r="A96" s="153" t="s">
        <v>223</v>
      </c>
      <c r="F96" s="210">
        <f t="shared" ref="F96:K96" si="58">F87/F94</f>
        <v>0.66058231423538405</v>
      </c>
      <c r="G96" s="210">
        <f t="shared" si="58"/>
        <v>0.6749214177505789</v>
      </c>
      <c r="H96" s="210">
        <f t="shared" si="58"/>
        <v>0.68242012696430432</v>
      </c>
      <c r="I96" s="210">
        <f t="shared" si="58"/>
        <v>0.6730637268687778</v>
      </c>
      <c r="J96" s="210">
        <f t="shared" si="58"/>
        <v>0.66395699382859508</v>
      </c>
      <c r="K96" s="210">
        <f t="shared" si="58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2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9">N97*(1+O99)</f>
        <v>2057.6710228553202</v>
      </c>
      <c r="P97" s="35">
        <f t="shared" si="59"/>
        <v>2080.1291291591365</v>
      </c>
      <c r="Q97" s="35">
        <f t="shared" si="59"/>
        <v>2094.9599540767508</v>
      </c>
      <c r="R97" s="35">
        <f t="shared" si="59"/>
        <v>2105.235597055384</v>
      </c>
      <c r="S97" s="35">
        <f t="shared" si="59"/>
        <v>2115.4053055703198</v>
      </c>
      <c r="T97" s="35">
        <f t="shared" si="59"/>
        <v>2122.8207180291274</v>
      </c>
      <c r="U97" s="35">
        <f t="shared" si="59"/>
        <v>2127.375899968109</v>
      </c>
      <c r="V97" s="35">
        <f t="shared" si="59"/>
        <v>2129.0708513872651</v>
      </c>
      <c r="AM97" s="243"/>
    </row>
    <row r="98" spans="1:39" s="187" customFormat="1" x14ac:dyDescent="0.2">
      <c r="A98" s="170" t="s">
        <v>287</v>
      </c>
      <c r="B98" s="35"/>
      <c r="C98" s="35"/>
      <c r="D98" s="35"/>
      <c r="F98" s="202"/>
      <c r="G98" s="202">
        <f t="shared" ref="G98:L98" si="60">(G97/F97)-1</f>
        <v>7.8113264233139468E-3</v>
      </c>
      <c r="H98" s="202">
        <f t="shared" si="60"/>
        <v>6.3596164356336526E-3</v>
      </c>
      <c r="I98" s="202">
        <f t="shared" si="60"/>
        <v>1.3823747222907468E-3</v>
      </c>
      <c r="J98" s="202">
        <f t="shared" si="60"/>
        <v>3.5990731154167399E-3</v>
      </c>
      <c r="K98" s="202">
        <f t="shared" si="60"/>
        <v>2.6527805069758159E-3</v>
      </c>
      <c r="L98" s="202">
        <f t="shared" si="60"/>
        <v>-1.36697697207252E-2</v>
      </c>
      <c r="M98" s="199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2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2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2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2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2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2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2">
      <c r="A105" s="35" t="s">
        <v>164</v>
      </c>
      <c r="F105" s="203">
        <f t="shared" ref="F105:Y105" si="64">F91+F42-F87</f>
        <v>339220</v>
      </c>
      <c r="G105" s="203">
        <f t="shared" si="64"/>
        <v>334185</v>
      </c>
      <c r="H105" s="203">
        <f t="shared" si="64"/>
        <v>335532</v>
      </c>
      <c r="I105" s="203">
        <f t="shared" si="64"/>
        <v>344546</v>
      </c>
      <c r="J105" s="203">
        <f t="shared" si="64"/>
        <v>349558</v>
      </c>
      <c r="K105" s="203">
        <f t="shared" si="64"/>
        <v>343658</v>
      </c>
      <c r="L105" s="203">
        <f t="shared" si="64"/>
        <v>577118</v>
      </c>
      <c r="M105" s="199">
        <f t="shared" si="64"/>
        <v>482408</v>
      </c>
      <c r="N105" s="223">
        <f t="shared" si="64"/>
        <v>403935.78488041688</v>
      </c>
      <c r="O105" s="223">
        <f t="shared" si="64"/>
        <v>387556.73136622214</v>
      </c>
      <c r="P105" s="223">
        <f t="shared" si="64"/>
        <v>373753.47738137515</v>
      </c>
      <c r="Q105" s="223">
        <f t="shared" si="64"/>
        <v>374471.89246879041</v>
      </c>
      <c r="R105" s="223">
        <f t="shared" si="64"/>
        <v>375554.90321306884</v>
      </c>
      <c r="S105" s="223">
        <f t="shared" si="64"/>
        <v>377009.74764621619</v>
      </c>
      <c r="T105" s="223">
        <f t="shared" si="64"/>
        <v>421496.90866941365</v>
      </c>
      <c r="U105" s="223">
        <f t="shared" si="64"/>
        <v>422891.78574521199</v>
      </c>
      <c r="V105" s="223">
        <f t="shared" si="64"/>
        <v>424121.48000940226</v>
      </c>
      <c r="W105" s="223">
        <f t="shared" si="64"/>
        <v>0</v>
      </c>
      <c r="X105" s="223">
        <f t="shared" si="64"/>
        <v>0</v>
      </c>
      <c r="Y105" s="223">
        <f t="shared" si="64"/>
        <v>0</v>
      </c>
      <c r="AM105" s="243"/>
    </row>
    <row r="106" spans="1:39" s="35" customFormat="1" x14ac:dyDescent="0.2">
      <c r="A106" s="141" t="s">
        <v>214</v>
      </c>
      <c r="B106" s="141"/>
      <c r="E106" s="141"/>
      <c r="F106" s="203"/>
      <c r="G106" s="203"/>
      <c r="H106" s="203"/>
      <c r="I106" s="203"/>
      <c r="J106" s="203"/>
      <c r="K106" s="203"/>
      <c r="L106" s="203">
        <f t="shared" ref="L106:Y106" si="65">L94-L87</f>
        <v>156183</v>
      </c>
      <c r="M106" s="199">
        <f t="shared" si="65"/>
        <v>197631</v>
      </c>
      <c r="N106" s="142">
        <f t="shared" si="65"/>
        <v>180968.4973804169</v>
      </c>
      <c r="O106" s="142">
        <f t="shared" si="65"/>
        <v>184232.02564747212</v>
      </c>
      <c r="P106" s="142">
        <f t="shared" si="65"/>
        <v>186070.45989832829</v>
      </c>
      <c r="Q106" s="142">
        <f t="shared" si="65"/>
        <v>186070.45989832829</v>
      </c>
      <c r="R106" s="142">
        <f t="shared" si="65"/>
        <v>186070.45989832829</v>
      </c>
      <c r="S106" s="142">
        <f t="shared" si="65"/>
        <v>186070.45989832829</v>
      </c>
      <c r="T106" s="142">
        <f t="shared" si="65"/>
        <v>229009.79679794249</v>
      </c>
      <c r="U106" s="142">
        <f t="shared" si="65"/>
        <v>229009.79679794249</v>
      </c>
      <c r="V106" s="142">
        <f t="shared" si="65"/>
        <v>229009.79679794249</v>
      </c>
      <c r="W106" s="142">
        <f t="shared" si="65"/>
        <v>0</v>
      </c>
      <c r="X106" s="142">
        <f t="shared" si="65"/>
        <v>0</v>
      </c>
      <c r="Y106" s="142">
        <f t="shared" si="65"/>
        <v>0</v>
      </c>
      <c r="AM106" s="243"/>
    </row>
    <row r="107" spans="1:39" s="141" customFormat="1" x14ac:dyDescent="0.2">
      <c r="A107" s="141" t="s">
        <v>232</v>
      </c>
      <c r="C107" s="35"/>
      <c r="D107" s="35"/>
      <c r="F107" s="203">
        <f t="shared" ref="F107:Y107" si="66">F105-(F94-F87)</f>
        <v>139025</v>
      </c>
      <c r="G107" s="203">
        <f t="shared" si="66"/>
        <v>139342</v>
      </c>
      <c r="H107" s="203">
        <f t="shared" si="66"/>
        <v>140228</v>
      </c>
      <c r="I107" s="203">
        <f t="shared" si="66"/>
        <v>141105</v>
      </c>
      <c r="J107" s="203">
        <f t="shared" si="66"/>
        <v>141335</v>
      </c>
      <c r="K107" s="203">
        <f t="shared" si="66"/>
        <v>142991</v>
      </c>
      <c r="L107" s="203">
        <f t="shared" si="66"/>
        <v>420935</v>
      </c>
      <c r="M107" s="199">
        <f t="shared" si="66"/>
        <v>284777</v>
      </c>
      <c r="N107" s="143">
        <f t="shared" si="66"/>
        <v>222967.28749999998</v>
      </c>
      <c r="O107" s="143">
        <f t="shared" si="66"/>
        <v>203324.70571875002</v>
      </c>
      <c r="P107" s="143">
        <f t="shared" si="66"/>
        <v>187683.01748304686</v>
      </c>
      <c r="Q107" s="143">
        <f t="shared" si="66"/>
        <v>188401.43257046212</v>
      </c>
      <c r="R107" s="143">
        <f t="shared" si="66"/>
        <v>189484.44331474055</v>
      </c>
      <c r="S107" s="143">
        <f t="shared" si="66"/>
        <v>190939.28774788789</v>
      </c>
      <c r="T107" s="143">
        <f t="shared" si="66"/>
        <v>192487.11187147116</v>
      </c>
      <c r="U107" s="143">
        <f t="shared" si="66"/>
        <v>193881.98894726951</v>
      </c>
      <c r="V107" s="143">
        <f t="shared" si="66"/>
        <v>195111.68321145978</v>
      </c>
      <c r="W107" s="143">
        <f t="shared" si="66"/>
        <v>0</v>
      </c>
      <c r="X107" s="143">
        <f t="shared" si="66"/>
        <v>0</v>
      </c>
      <c r="Y107" s="143">
        <f t="shared" si="66"/>
        <v>0</v>
      </c>
      <c r="AM107" s="267"/>
    </row>
    <row r="108" spans="1:39" s="35" customFormat="1" x14ac:dyDescent="0.2">
      <c r="A108"/>
      <c r="F108" s="220"/>
      <c r="G108" s="220"/>
      <c r="H108" s="220"/>
      <c r="I108" s="220"/>
      <c r="J108" s="220"/>
      <c r="K108" s="220"/>
      <c r="L108" s="220"/>
      <c r="M108" s="135"/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2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2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2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2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2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358</v>
      </c>
      <c r="B1" s="97" t="s">
        <v>360</v>
      </c>
      <c r="C1" s="97" t="s">
        <v>361</v>
      </c>
    </row>
    <row r="2" spans="1:3" x14ac:dyDescent="0.2">
      <c r="A2" s="306" t="s">
        <v>363</v>
      </c>
      <c r="B2" s="306">
        <v>325</v>
      </c>
      <c r="C2" s="307">
        <f>B2*1000</f>
        <v>325000</v>
      </c>
    </row>
    <row r="3" spans="1:3" x14ac:dyDescent="0.2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2">
      <c r="A4" s="306" t="s">
        <v>20</v>
      </c>
      <c r="B4" s="306">
        <v>166</v>
      </c>
      <c r="C4" s="307">
        <f t="shared" si="0"/>
        <v>166000</v>
      </c>
    </row>
    <row r="5" spans="1:3" x14ac:dyDescent="0.2">
      <c r="A5" s="306" t="s">
        <v>199</v>
      </c>
      <c r="B5" s="306">
        <v>82</v>
      </c>
      <c r="C5" s="307">
        <f t="shared" si="0"/>
        <v>82000</v>
      </c>
    </row>
    <row r="6" spans="1:3" x14ac:dyDescent="0.2">
      <c r="A6" s="306" t="s">
        <v>365</v>
      </c>
      <c r="B6" s="306">
        <v>63</v>
      </c>
      <c r="C6" s="307">
        <f t="shared" si="0"/>
        <v>63000</v>
      </c>
    </row>
    <row r="7" spans="1:3" x14ac:dyDescent="0.2">
      <c r="A7" s="308" t="s">
        <v>355</v>
      </c>
      <c r="B7">
        <v>22</v>
      </c>
      <c r="C7" s="307">
        <f>B7*1000</f>
        <v>22000</v>
      </c>
    </row>
    <row r="8" spans="1:3" x14ac:dyDescent="0.2">
      <c r="A8" s="177" t="s">
        <v>356</v>
      </c>
      <c r="B8">
        <v>20</v>
      </c>
      <c r="C8" s="307">
        <f>B8*1000</f>
        <v>20000</v>
      </c>
    </row>
    <row r="9" spans="1:3" x14ac:dyDescent="0.2">
      <c r="A9" s="177" t="s">
        <v>357</v>
      </c>
      <c r="B9">
        <v>9</v>
      </c>
      <c r="C9" s="307">
        <f>B9*1000</f>
        <v>9000</v>
      </c>
    </row>
    <row r="10" spans="1:3" x14ac:dyDescent="0.2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2">
      <c r="A11" s="309" t="s">
        <v>366</v>
      </c>
      <c r="B11" s="306">
        <v>45</v>
      </c>
      <c r="C11" s="307">
        <f t="shared" si="0"/>
        <v>45000</v>
      </c>
    </row>
    <row r="12" spans="1:3" x14ac:dyDescent="0.2">
      <c r="A12" s="308" t="s">
        <v>367</v>
      </c>
      <c r="B12" s="306">
        <v>16</v>
      </c>
      <c r="C12" s="307">
        <f t="shared" si="0"/>
        <v>16000</v>
      </c>
    </row>
    <row r="13" spans="1:3" x14ac:dyDescent="0.2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2">
      <c r="A14" s="309" t="s">
        <v>368</v>
      </c>
      <c r="B14" s="306">
        <v>80</v>
      </c>
      <c r="C14" s="307">
        <f t="shared" si="0"/>
        <v>80000</v>
      </c>
    </row>
    <row r="15" spans="1:3" x14ac:dyDescent="0.2">
      <c r="A15" s="308" t="s">
        <v>349</v>
      </c>
      <c r="B15" s="306">
        <v>26</v>
      </c>
      <c r="C15" s="307">
        <f t="shared" si="0"/>
        <v>26000</v>
      </c>
    </row>
    <row r="16" spans="1:3" x14ac:dyDescent="0.2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2">
      <c r="A17" s="309" t="s">
        <v>369</v>
      </c>
      <c r="B17">
        <v>30</v>
      </c>
      <c r="C17" s="307">
        <f t="shared" si="0"/>
        <v>30000</v>
      </c>
    </row>
    <row r="18" spans="1:3" x14ac:dyDescent="0.2">
      <c r="A18" s="308" t="s">
        <v>370</v>
      </c>
      <c r="B18">
        <v>20</v>
      </c>
      <c r="C18" s="307">
        <f t="shared" si="0"/>
        <v>20000</v>
      </c>
    </row>
    <row r="19" spans="1:3" x14ac:dyDescent="0.2">
      <c r="A19" s="308" t="s">
        <v>371</v>
      </c>
      <c r="B19">
        <v>5</v>
      </c>
      <c r="C19" s="307">
        <f t="shared" si="0"/>
        <v>5000</v>
      </c>
    </row>
    <row r="20" spans="1:3" ht="16" thickBot="1" x14ac:dyDescent="0.25">
      <c r="A20" s="310" t="s">
        <v>372</v>
      </c>
      <c r="B20" s="311">
        <v>5</v>
      </c>
      <c r="C20" s="312">
        <f t="shared" si="0"/>
        <v>5000</v>
      </c>
    </row>
    <row r="21" spans="1:3" x14ac:dyDescent="0.2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tabSelected="1" zoomScale="130" zoomScaleNormal="130" workbookViewId="0">
      <pane xSplit="2" ySplit="8" topLeftCell="C12" activePane="bottomRight" state="frozen"/>
      <selection pane="topRight" activeCell="C1" sqref="C1"/>
      <selection pane="bottomLeft" activeCell="A9" sqref="A9"/>
      <selection pane="bottomRight" activeCell="E22" sqref="E22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19" t="s">
        <v>208</v>
      </c>
      <c r="B1" s="320"/>
      <c r="C1" s="35"/>
      <c r="H1"/>
      <c r="I1" s="250"/>
      <c r="J1" s="327" t="s">
        <v>282</v>
      </c>
      <c r="V1" s="314"/>
      <c r="W1" s="314"/>
      <c r="X1" s="314"/>
      <c r="Y1" s="314"/>
    </row>
    <row r="2" spans="1:27" x14ac:dyDescent="0.2">
      <c r="A2" s="321" t="s">
        <v>192</v>
      </c>
      <c r="B2" s="126"/>
      <c r="C2" t="s">
        <v>193</v>
      </c>
      <c r="I2" s="251"/>
      <c r="J2" s="327"/>
    </row>
    <row r="3" spans="1:27" x14ac:dyDescent="0.2">
      <c r="A3" s="322"/>
      <c r="B3" s="127"/>
      <c r="C3" t="s">
        <v>194</v>
      </c>
      <c r="I3" s="251"/>
      <c r="J3" s="327"/>
    </row>
    <row r="4" spans="1:27" x14ac:dyDescent="0.2">
      <c r="A4" s="322"/>
      <c r="B4" s="128"/>
      <c r="C4" t="s">
        <v>195</v>
      </c>
    </row>
    <row r="5" spans="1:27" x14ac:dyDescent="0.2">
      <c r="A5" s="323"/>
      <c r="B5" s="129"/>
      <c r="C5" t="s">
        <v>182</v>
      </c>
    </row>
    <row r="7" spans="1:27" x14ac:dyDescent="0.2">
      <c r="C7" s="324" t="s">
        <v>160</v>
      </c>
      <c r="D7" s="325"/>
      <c r="E7" s="325"/>
      <c r="F7" s="326"/>
      <c r="G7" s="324" t="s">
        <v>166</v>
      </c>
      <c r="H7" s="325"/>
      <c r="I7" s="325"/>
      <c r="J7" s="326"/>
      <c r="K7" s="324" t="s">
        <v>177</v>
      </c>
      <c r="L7" s="325"/>
      <c r="M7" s="325"/>
      <c r="N7" s="325"/>
      <c r="O7" s="324" t="s">
        <v>272</v>
      </c>
      <c r="P7" s="325"/>
      <c r="Q7" s="325"/>
      <c r="R7" s="325"/>
      <c r="S7" s="324" t="s">
        <v>276</v>
      </c>
      <c r="T7" s="325"/>
      <c r="U7" s="325"/>
      <c r="V7" s="325"/>
      <c r="W7" s="324" t="s">
        <v>277</v>
      </c>
      <c r="X7" s="325"/>
      <c r="Y7" s="325"/>
      <c r="Z7" s="325"/>
      <c r="AA7" s="231" t="s">
        <v>278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ht="16" x14ac:dyDescent="0.2">
      <c r="B11" s="86" t="s">
        <v>172</v>
      </c>
      <c r="D11">
        <v>186.02099999999999</v>
      </c>
      <c r="E11">
        <v>370.81066666666698</v>
      </c>
      <c r="F11">
        <v>881.93300000000011</v>
      </c>
      <c r="G11">
        <v>891.98651810076751</v>
      </c>
      <c r="H11">
        <v>891.27501716779318</v>
      </c>
      <c r="I11">
        <v>892.48838718787158</v>
      </c>
      <c r="J11">
        <v>887.49939524811271</v>
      </c>
      <c r="K11">
        <v>912.80995474617953</v>
      </c>
      <c r="L11">
        <v>939.90280216374003</v>
      </c>
      <c r="M11">
        <v>965.78369379604453</v>
      </c>
      <c r="N11">
        <v>989.88229750885569</v>
      </c>
      <c r="O11">
        <v>1011.979044291314</v>
      </c>
      <c r="P11">
        <v>1033.576750456315</v>
      </c>
      <c r="Q11">
        <v>1056.7428699904699</v>
      </c>
      <c r="R11">
        <v>1079.766406491065</v>
      </c>
      <c r="S11">
        <v>1086.988730126506</v>
      </c>
      <c r="T11">
        <v>1095.0665519633039</v>
      </c>
      <c r="U11">
        <v>1103.9285804846791</v>
      </c>
      <c r="V11">
        <v>1113.93127327453</v>
      </c>
      <c r="W11">
        <v>1121.9665712579019</v>
      </c>
      <c r="X11">
        <v>1129.859286207716</v>
      </c>
      <c r="Y11">
        <v>1138.3223332917671</v>
      </c>
      <c r="Z11">
        <v>1147.4270040268359</v>
      </c>
      <c r="AA11">
        <v>1156.681516820131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ht="16" x14ac:dyDescent="0.2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3763.7893333333341</v>
      </c>
      <c r="F16">
        <v>1915.067</v>
      </c>
      <c r="G16">
        <v>1653.243063736659</v>
      </c>
      <c r="H16">
        <v>1447.6763216952199</v>
      </c>
      <c r="I16">
        <v>1282.6115778747101</v>
      </c>
      <c r="J16">
        <v>1168.218036502012</v>
      </c>
      <c r="K16">
        <v>1196.0977521572081</v>
      </c>
      <c r="L16">
        <v>1201.420957574891</v>
      </c>
      <c r="M16">
        <v>1192.398092607149</v>
      </c>
      <c r="N16">
        <v>1163.510521947278</v>
      </c>
      <c r="O16">
        <v>1162.952327464749</v>
      </c>
      <c r="P16">
        <v>1163.223418033522</v>
      </c>
      <c r="Q16">
        <v>1164.061655925231</v>
      </c>
      <c r="R16">
        <v>1166.5248859901251</v>
      </c>
      <c r="S16">
        <v>1179.2527801172971</v>
      </c>
      <c r="T16">
        <v>1191.4351178432501</v>
      </c>
      <c r="U16">
        <v>1201.0737372062879</v>
      </c>
      <c r="V16">
        <v>1209.153135236118</v>
      </c>
      <c r="W16">
        <v>1235.6991953270949</v>
      </c>
      <c r="X16">
        <v>1257.112926395658</v>
      </c>
      <c r="Y16">
        <v>1273.980106203785</v>
      </c>
      <c r="Z16">
        <v>1285.81146007862</v>
      </c>
      <c r="AA16">
        <v>1291.320506480959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2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main!N106/1000</f>
        <v>180.96849738041689</v>
      </c>
      <c r="G24" s="149">
        <f>main!O106/1000</f>
        <v>184.23202564747211</v>
      </c>
      <c r="H24" s="104">
        <f>main!P106/1000</f>
        <v>186.07045989832829</v>
      </c>
      <c r="I24" s="104">
        <f>main!Q106/1000</f>
        <v>186.07045989832829</v>
      </c>
      <c r="J24" s="104">
        <f>main!R106/1000</f>
        <v>186.07045989832829</v>
      </c>
      <c r="K24" s="149">
        <f>main!S106/1000</f>
        <v>186.07045989832829</v>
      </c>
      <c r="L24" s="104">
        <f>main!T106/1000</f>
        <v>229.0097967979425</v>
      </c>
      <c r="M24" s="232">
        <f>main!U106/1000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2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main!L107/1000</f>
        <v>420.935</v>
      </c>
      <c r="F31" s="104">
        <f>main!M107/1000</f>
        <v>284.77699999999999</v>
      </c>
      <c r="G31" s="104">
        <f>main!N107/1000</f>
        <v>222.96728749999997</v>
      </c>
      <c r="H31" s="104">
        <f>main!O107/1000</f>
        <v>203.32470571875001</v>
      </c>
      <c r="I31" s="104">
        <f>main!P107/1000</f>
        <v>187.68301748304685</v>
      </c>
      <c r="J31" s="104">
        <f>main!Q107/1000</f>
        <v>188.40143257046211</v>
      </c>
      <c r="K31" s="104">
        <f>main!R107/1000</f>
        <v>189.48444331474056</v>
      </c>
      <c r="L31" s="104">
        <f>main!S107/1000</f>
        <v>190.9392877478879</v>
      </c>
      <c r="M31" s="104">
        <f>L31*(1 + M33)</f>
        <v>196.196936733694</v>
      </c>
      <c r="N31" s="104">
        <f t="shared" ref="N31:AA31" si="22">M31*(1 + N33)</f>
        <v>201.09251765764702</v>
      </c>
      <c r="O31" s="104">
        <f t="shared" si="22"/>
        <v>205.5814255345841</v>
      </c>
      <c r="P31" s="104">
        <f t="shared" si="22"/>
        <v>209.96895435420245</v>
      </c>
      <c r="Q31" s="104">
        <f t="shared" si="22"/>
        <v>214.67510306825145</v>
      </c>
      <c r="R31" s="104">
        <f t="shared" si="22"/>
        <v>219.35228633735218</v>
      </c>
      <c r="S31" s="104">
        <f t="shared" si="22"/>
        <v>220.8194862729851</v>
      </c>
      <c r="T31" s="104">
        <f t="shared" si="22"/>
        <v>222.46047887830755</v>
      </c>
      <c r="U31" s="104">
        <f t="shared" si="22"/>
        <v>224.26078143084538</v>
      </c>
      <c r="V31" s="104">
        <f t="shared" si="22"/>
        <v>226.2928075429692</v>
      </c>
      <c r="W31" s="104">
        <f t="shared" si="22"/>
        <v>227.92516151643866</v>
      </c>
      <c r="X31" s="104">
        <f t="shared" si="22"/>
        <v>229.52855004496021</v>
      </c>
      <c r="Y31" s="104">
        <f t="shared" si="22"/>
        <v>231.24780035327461</v>
      </c>
      <c r="Z31" s="104">
        <f t="shared" si="22"/>
        <v>233.09739516385611</v>
      </c>
      <c r="AA31" s="104">
        <f t="shared" si="22"/>
        <v>234.97743007505923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881.93300000000011</v>
      </c>
      <c r="G32" s="149">
        <f t="shared" si="23"/>
        <v>891.98651810076751</v>
      </c>
      <c r="H32" s="104">
        <f t="shared" si="23"/>
        <v>891.27501716779318</v>
      </c>
      <c r="I32" s="104">
        <f t="shared" si="23"/>
        <v>892.48838718787158</v>
      </c>
      <c r="J32" s="104">
        <f t="shared" si="23"/>
        <v>887.49939524811271</v>
      </c>
      <c r="K32" s="149">
        <f t="shared" si="23"/>
        <v>912.80995474617953</v>
      </c>
      <c r="L32" s="232">
        <f t="shared" si="23"/>
        <v>939.90280216374003</v>
      </c>
      <c r="M32" s="104">
        <f t="shared" si="23"/>
        <v>965.78369379604453</v>
      </c>
      <c r="N32" s="104">
        <f t="shared" si="23"/>
        <v>989.88229750885569</v>
      </c>
      <c r="O32" s="149">
        <f t="shared" si="23"/>
        <v>1011.979044291314</v>
      </c>
      <c r="P32" s="104">
        <f t="shared" si="23"/>
        <v>1033.576750456315</v>
      </c>
      <c r="Q32" s="104">
        <f t="shared" si="23"/>
        <v>1056.7428699904699</v>
      </c>
      <c r="R32" s="104">
        <f t="shared" si="23"/>
        <v>1079.766406491065</v>
      </c>
      <c r="S32" s="149">
        <f t="shared" si="23"/>
        <v>1086.988730126506</v>
      </c>
      <c r="T32" s="104">
        <f t="shared" si="23"/>
        <v>1095.0665519633039</v>
      </c>
      <c r="U32" s="104">
        <f t="shared" si="23"/>
        <v>1103.9285804846791</v>
      </c>
      <c r="V32" s="104">
        <f t="shared" si="23"/>
        <v>1113.93127327453</v>
      </c>
      <c r="W32" s="149">
        <f t="shared" si="23"/>
        <v>1121.9665712579019</v>
      </c>
      <c r="X32" s="104">
        <f t="shared" si="23"/>
        <v>1129.859286207716</v>
      </c>
      <c r="Y32" s="104">
        <f t="shared" si="23"/>
        <v>1138.3223332917671</v>
      </c>
      <c r="Z32" s="104">
        <f t="shared" si="23"/>
        <v>1147.4270040268359</v>
      </c>
      <c r="AA32" s="149">
        <f t="shared" si="23"/>
        <v>1156.681516820131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2.7535710684896797E-2</v>
      </c>
      <c r="N33" s="239">
        <f t="shared" ref="N33" si="25">(N32/M32)-1</f>
        <v>2.4952382057819689E-2</v>
      </c>
      <c r="O33" s="256">
        <f t="shared" ref="O33" si="26">(O32/N32)-1</f>
        <v>2.232260021021415E-2</v>
      </c>
      <c r="P33" s="239">
        <f t="shared" ref="P33" si="27">(P32/O32)-1</f>
        <v>2.1342048816955339E-2</v>
      </c>
      <c r="Q33" s="239">
        <f t="shared" ref="Q33" si="28">(Q32/P32)-1</f>
        <v>2.2413545509733179E-2</v>
      </c>
      <c r="R33" s="239">
        <f t="shared" ref="R33" si="29">(R32/Q32)-1</f>
        <v>2.1787264579133492E-2</v>
      </c>
      <c r="S33" s="256">
        <f t="shared" ref="S33" si="30">(S32/R32)-1</f>
        <v>6.6887834183613215E-3</v>
      </c>
      <c r="T33" s="239">
        <f t="shared" ref="T33" si="31">(T32/S32)-1</f>
        <v>7.4313758854316347E-3</v>
      </c>
      <c r="U33" s="239">
        <f t="shared" ref="U33" si="32">(U32/T32)-1</f>
        <v>8.0926848742541857E-3</v>
      </c>
      <c r="V33" s="239">
        <f t="shared" ref="V33" si="33">(V32/U32)-1</f>
        <v>9.0609963059922194E-3</v>
      </c>
      <c r="W33" s="256">
        <f t="shared" ref="W33" si="34">(W32/V32)-1</f>
        <v>7.2134593723642837E-3</v>
      </c>
      <c r="X33" s="239">
        <f t="shared" ref="X33" si="35">(X32/W32)-1</f>
        <v>7.0347148943707971E-3</v>
      </c>
      <c r="Y33" s="239">
        <f t="shared" ref="Y33" si="36">(Y32/X32)-1</f>
        <v>7.4903549383187329E-3</v>
      </c>
      <c r="Z33" s="239">
        <f t="shared" ref="Z33" si="37">(Z32/Y32)-1</f>
        <v>7.9983239094854053E-3</v>
      </c>
      <c r="AA33" s="256">
        <f t="shared" ref="AA33" si="38">(AA32/Z32)-1</f>
        <v>8.0654479638502252E-3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" si="39">F31-F32</f>
        <v>-597.15600000000018</v>
      </c>
      <c r="G34" s="150">
        <f t="shared" ref="G34" si="40">G31-G32</f>
        <v>-669.01923060076751</v>
      </c>
      <c r="H34" s="225">
        <f t="shared" ref="H34" si="41">H31-H32</f>
        <v>-687.95031144904317</v>
      </c>
      <c r="I34" s="225">
        <f t="shared" ref="I34" si="42">I31-I32</f>
        <v>-704.80536970482467</v>
      </c>
      <c r="J34" s="225">
        <f t="shared" ref="J34" si="43">J31-J32</f>
        <v>-699.09796267765057</v>
      </c>
      <c r="K34" s="150">
        <f t="shared" ref="K34:N34" si="44">K31-K32</f>
        <v>-723.32551143143894</v>
      </c>
      <c r="L34" s="249">
        <f t="shared" si="44"/>
        <v>-748.96351441585216</v>
      </c>
      <c r="M34" s="225">
        <f t="shared" si="44"/>
        <v>-769.58675706235056</v>
      </c>
      <c r="N34" s="225">
        <f t="shared" si="44"/>
        <v>-788.78977985120866</v>
      </c>
      <c r="O34" s="150">
        <f t="shared" ref="O34:AA34" si="45">O31-O32</f>
        <v>-806.39761875672991</v>
      </c>
      <c r="P34" s="150">
        <f t="shared" si="45"/>
        <v>-823.60779610211262</v>
      </c>
      <c r="Q34" s="150">
        <f t="shared" si="45"/>
        <v>-842.06776692221842</v>
      </c>
      <c r="R34" s="150">
        <f t="shared" si="45"/>
        <v>-860.41412015371282</v>
      </c>
      <c r="S34" s="150">
        <f t="shared" si="45"/>
        <v>-866.16924385352081</v>
      </c>
      <c r="T34" s="150">
        <f t="shared" si="45"/>
        <v>-872.60607308499641</v>
      </c>
      <c r="U34" s="150">
        <f t="shared" si="45"/>
        <v>-879.66779905383373</v>
      </c>
      <c r="V34" s="150">
        <f t="shared" si="45"/>
        <v>-887.63846573156081</v>
      </c>
      <c r="W34" s="150">
        <f t="shared" si="45"/>
        <v>-894.04140974146321</v>
      </c>
      <c r="X34" s="150">
        <f t="shared" si="45"/>
        <v>-900.33073616275578</v>
      </c>
      <c r="Y34" s="150">
        <f t="shared" si="45"/>
        <v>-907.07453293849244</v>
      </c>
      <c r="Z34" s="150">
        <f t="shared" si="45"/>
        <v>-914.32960886297974</v>
      </c>
      <c r="AA34" s="150">
        <f t="shared" si="45"/>
        <v>-921.70408674507178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1908.0455151906833</v>
      </c>
      <c r="H38" s="104">
        <f>main!O22</f>
        <v>1939.6902849913897</v>
      </c>
      <c r="I38" s="104">
        <f>main!P22</f>
        <v>1970.5341571455765</v>
      </c>
      <c r="J38" s="104">
        <f>main!Q22</f>
        <v>2003.5013393393667</v>
      </c>
      <c r="K38" s="149">
        <f>main!R22</f>
        <v>2025.581901198547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-1.0953270393285948</v>
      </c>
      <c r="H40" s="225">
        <f t="shared" si="47"/>
        <v>-1.1134929435183949</v>
      </c>
      <c r="I40" s="225">
        <f t="shared" si="47"/>
        <v>-1.1311990867463919</v>
      </c>
      <c r="J40" s="225">
        <f t="shared" si="47"/>
        <v>-1.150124131134362</v>
      </c>
      <c r="K40" s="150">
        <f t="shared" si="47"/>
        <v>-1.1627996340230311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main!N26</f>
        <v>91.968791214359072</v>
      </c>
      <c r="H44" s="104">
        <f>main!O26</f>
        <v>93.494085660250093</v>
      </c>
      <c r="I44" s="104">
        <f>main!P26</f>
        <v>94.980776420930042</v>
      </c>
      <c r="J44" s="104">
        <f>main!Q26</f>
        <v>96.569811835425071</v>
      </c>
      <c r="K44" s="149">
        <f>main!R26</f>
        <v>97.634106459088585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-5.5204921560942921E-2</v>
      </c>
      <c r="H46" s="225">
        <f t="shared" si="49"/>
        <v>-5.6120490409199419E-2</v>
      </c>
      <c r="I46" s="225">
        <f t="shared" si="49"/>
        <v>-5.7012887120805544E-2</v>
      </c>
      <c r="J46" s="225">
        <f t="shared" si="49"/>
        <v>-5.7966716939205298E-2</v>
      </c>
      <c r="K46" s="150">
        <f t="shared" si="49"/>
        <v>-5.8605567362434385E-2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1387.852444352445</v>
      </c>
      <c r="I50" s="104">
        <f>main!P89/1000</f>
        <v>1403.6594096977371</v>
      </c>
      <c r="J50" s="232">
        <f>main!Q89/1000</f>
        <v>1414.3634046265693</v>
      </c>
      <c r="K50" s="149">
        <f>J50*(1+K52)</f>
        <v>1450.3441808569951</v>
      </c>
      <c r="L50" s="104">
        <f t="shared" ref="L50:AA50" si="50">K50*(1+L52)</f>
        <v>1486.3249570874207</v>
      </c>
      <c r="M50" s="104">
        <f t="shared" si="50"/>
        <v>1522.3057333178465</v>
      </c>
      <c r="N50" s="104">
        <f t="shared" si="50"/>
        <v>1558.2865095482723</v>
      </c>
      <c r="O50" s="149">
        <f t="shared" si="50"/>
        <v>1562.6926721108387</v>
      </c>
      <c r="P50" s="104">
        <f t="shared" si="50"/>
        <v>1567.0988346734046</v>
      </c>
      <c r="Q50" s="104">
        <f t="shared" si="50"/>
        <v>1571.5049972359707</v>
      </c>
      <c r="R50" s="104">
        <f t="shared" si="50"/>
        <v>1575.911159798537</v>
      </c>
      <c r="S50" s="149">
        <f t="shared" si="50"/>
        <v>1587.9120363908539</v>
      </c>
      <c r="T50" s="104">
        <f t="shared" si="50"/>
        <v>1599.9129129831708</v>
      </c>
      <c r="U50" s="104">
        <f t="shared" si="50"/>
        <v>1611.9137895754868</v>
      </c>
      <c r="V50" s="104">
        <f t="shared" si="50"/>
        <v>1623.9146661678049</v>
      </c>
      <c r="W50" s="149">
        <f t="shared" si="50"/>
        <v>1662.6978708008971</v>
      </c>
      <c r="X50" s="104">
        <f t="shared" si="50"/>
        <v>1701.4810754339892</v>
      </c>
      <c r="Y50" s="104">
        <f t="shared" si="50"/>
        <v>1740.2642800670826</v>
      </c>
      <c r="Z50" s="104">
        <f t="shared" si="50"/>
        <v>1779.0474847001749</v>
      </c>
      <c r="AA50" s="149">
        <f t="shared" si="50"/>
        <v>1808.0147508610942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15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2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47.561193892373922</v>
      </c>
      <c r="I53" s="225">
        <f t="shared" ref="I53" si="72">I50-I51</f>
        <v>57.608534007630169</v>
      </c>
      <c r="J53" s="249">
        <f t="shared" ref="J53" si="73">J50-J51</f>
        <v>62.552903706427287</v>
      </c>
      <c r="K53" s="150">
        <f t="shared" ref="K53:AA53" si="74">K50-K51</f>
        <v>64.144221767586032</v>
      </c>
      <c r="L53" s="225">
        <f t="shared" si="74"/>
        <v>65.735539828744777</v>
      </c>
      <c r="M53" s="225">
        <f t="shared" si="74"/>
        <v>67.326857889903522</v>
      </c>
      <c r="N53" s="225">
        <f t="shared" si="74"/>
        <v>68.918175951062267</v>
      </c>
      <c r="O53" s="150">
        <f t="shared" si="74"/>
        <v>69.113046846045563</v>
      </c>
      <c r="P53" s="225">
        <f t="shared" si="74"/>
        <v>69.307917741028632</v>
      </c>
      <c r="Q53" s="225">
        <f t="shared" si="74"/>
        <v>69.502788636011701</v>
      </c>
      <c r="R53" s="225">
        <f t="shared" si="74"/>
        <v>69.697659530994997</v>
      </c>
      <c r="S53" s="150">
        <f t="shared" si="74"/>
        <v>70.228421056227035</v>
      </c>
      <c r="T53" s="225">
        <f t="shared" si="74"/>
        <v>70.759182581458845</v>
      </c>
      <c r="U53" s="225">
        <f t="shared" si="74"/>
        <v>71.289944106690882</v>
      </c>
      <c r="V53" s="225">
        <f t="shared" si="74"/>
        <v>71.82070563192292</v>
      </c>
      <c r="W53" s="150">
        <f t="shared" si="74"/>
        <v>73.535966403592056</v>
      </c>
      <c r="X53" s="225">
        <f t="shared" si="74"/>
        <v>75.251227175261192</v>
      </c>
      <c r="Y53" s="225">
        <f t="shared" si="74"/>
        <v>76.966487946930556</v>
      </c>
      <c r="Z53" s="225">
        <f t="shared" si="74"/>
        <v>78.68174871859992</v>
      </c>
      <c r="AA53" s="150">
        <f t="shared" si="74"/>
        <v>79.962880996821241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main!K88/1000</f>
        <v>1574.462</v>
      </c>
      <c r="E57" s="104">
        <f>main!L88/1000</f>
        <v>3713.565333333333</v>
      </c>
      <c r="F57" s="104">
        <f>main!M88/1000</f>
        <v>2509.0010000000002</v>
      </c>
      <c r="G57" s="149">
        <f>main!N88/1000</f>
        <v>1966.8823341534182</v>
      </c>
      <c r="H57" s="104">
        <f>main!O88/1000</f>
        <v>3089.2255068547402</v>
      </c>
      <c r="I57" s="104">
        <f>main!P88/1000</f>
        <v>1856.5115519714532</v>
      </c>
      <c r="J57" s="104">
        <f>main!Q88/1000</f>
        <v>1668.2677153316674</v>
      </c>
      <c r="K57" s="274">
        <f>main!R88/1000</f>
        <v>1664.5717310616424</v>
      </c>
      <c r="L57" s="104">
        <f>K57*(1+L59)</f>
        <v>1671.9798691013036</v>
      </c>
      <c r="M57" s="104">
        <f t="shared" ref="M57:AA57" si="75">L57*(1+M59)</f>
        <v>1659.4230308902108</v>
      </c>
      <c r="N57" s="104">
        <f t="shared" si="75"/>
        <v>1619.2211047409951</v>
      </c>
      <c r="O57" s="104">
        <f t="shared" si="75"/>
        <v>1618.4442829851005</v>
      </c>
      <c r="P57" s="104">
        <f t="shared" si="75"/>
        <v>1618.8215512280372</v>
      </c>
      <c r="Q57" s="104">
        <f t="shared" si="75"/>
        <v>1619.9881006140947</v>
      </c>
      <c r="R57" s="104">
        <f t="shared" si="75"/>
        <v>1623.4161006464742</v>
      </c>
      <c r="S57" s="104">
        <f t="shared" si="75"/>
        <v>1641.1291117459646</v>
      </c>
      <c r="T57" s="104">
        <f t="shared" si="75"/>
        <v>1658.0828891109786</v>
      </c>
      <c r="U57" s="104">
        <f t="shared" si="75"/>
        <v>1671.496653403437</v>
      </c>
      <c r="V57" s="104">
        <f t="shared" si="75"/>
        <v>1682.7404982649418</v>
      </c>
      <c r="W57" s="104">
        <f t="shared" si="75"/>
        <v>1719.6838175871369</v>
      </c>
      <c r="X57" s="104">
        <f t="shared" si="75"/>
        <v>1749.4846355629252</v>
      </c>
      <c r="Y57" s="104">
        <f t="shared" si="75"/>
        <v>1772.9581607331754</v>
      </c>
      <c r="Z57" s="104">
        <f t="shared" si="75"/>
        <v>1789.4234848797325</v>
      </c>
      <c r="AA57" s="104">
        <f t="shared" si="75"/>
        <v>1797.0902519896126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1915.067</v>
      </c>
      <c r="G58" s="149">
        <f t="shared" si="76"/>
        <v>1653.243063736659</v>
      </c>
      <c r="H58" s="104">
        <f t="shared" si="76"/>
        <v>1447.6763216952199</v>
      </c>
      <c r="I58" s="104">
        <f t="shared" si="76"/>
        <v>1282.6115778747101</v>
      </c>
      <c r="J58" s="104">
        <f t="shared" si="76"/>
        <v>1168.218036502012</v>
      </c>
      <c r="K58" s="274">
        <f t="shared" si="76"/>
        <v>1196.0977521572081</v>
      </c>
      <c r="L58" s="104">
        <f t="shared" si="76"/>
        <v>1201.420957574891</v>
      </c>
      <c r="M58" s="104">
        <f t="shared" si="76"/>
        <v>1192.398092607149</v>
      </c>
      <c r="N58" s="104">
        <f t="shared" si="76"/>
        <v>1163.510521947278</v>
      </c>
      <c r="O58" s="149">
        <f t="shared" si="76"/>
        <v>1162.952327464749</v>
      </c>
      <c r="P58" s="104">
        <f t="shared" si="76"/>
        <v>1163.223418033522</v>
      </c>
      <c r="Q58" s="104">
        <f t="shared" si="76"/>
        <v>1164.061655925231</v>
      </c>
      <c r="R58" s="104">
        <f t="shared" si="76"/>
        <v>1166.5248859901251</v>
      </c>
      <c r="S58" s="149">
        <f t="shared" si="76"/>
        <v>1179.2527801172971</v>
      </c>
      <c r="T58" s="104">
        <f t="shared" si="76"/>
        <v>1191.4351178432501</v>
      </c>
      <c r="U58" s="104">
        <f t="shared" si="76"/>
        <v>1201.0737372062879</v>
      </c>
      <c r="V58" s="104">
        <f t="shared" si="76"/>
        <v>1209.153135236118</v>
      </c>
      <c r="W58" s="149">
        <f t="shared" si="76"/>
        <v>1235.6991953270949</v>
      </c>
      <c r="X58" s="104">
        <f t="shared" si="76"/>
        <v>1257.112926395658</v>
      </c>
      <c r="Y58" s="104">
        <f t="shared" si="76"/>
        <v>1273.980106203785</v>
      </c>
      <c r="Z58" s="104">
        <f t="shared" si="76"/>
        <v>1285.81146007862</v>
      </c>
      <c r="AA58" s="149">
        <f t="shared" si="76"/>
        <v>1291.320506480959</v>
      </c>
      <c r="AB58" s="95"/>
    </row>
    <row r="59" spans="1:28" s="171" customFormat="1" ht="12" x14ac:dyDescent="0.15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4.4504769013087309E-3</v>
      </c>
      <c r="M59" s="239">
        <f t="shared" ref="M59" si="78">(M58/L58)-1</f>
        <v>-7.5101611228381993E-3</v>
      </c>
      <c r="N59" s="239">
        <f t="shared" ref="N59" si="79">(N58/M58)-1</f>
        <v>-2.4226448229809794E-2</v>
      </c>
      <c r="O59" s="256">
        <f t="shared" ref="O59" si="80">(O58/N58)-1</f>
        <v>-4.7975026611257743E-4</v>
      </c>
      <c r="P59" s="239">
        <f t="shared" ref="P59" si="81">(P58/O58)-1</f>
        <v>2.331054871045346E-4</v>
      </c>
      <c r="Q59" s="239">
        <f t="shared" ref="Q59" si="82">(Q58/P58)-1</f>
        <v>7.2061641703036194E-4</v>
      </c>
      <c r="R59" s="239">
        <f t="shared" ref="R59" si="83">(R58/Q58)-1</f>
        <v>2.116064945835161E-3</v>
      </c>
      <c r="S59" s="256">
        <f t="shared" ref="S59" si="84">(S58/R58)-1</f>
        <v>1.0910949504835399E-2</v>
      </c>
      <c r="T59" s="239">
        <f t="shared" ref="T59" si="85">(T58/S58)-1</f>
        <v>1.0330556714686079E-2</v>
      </c>
      <c r="U59" s="239">
        <f t="shared" ref="U59" si="86">(U58/T58)-1</f>
        <v>8.0899238394833706E-3</v>
      </c>
      <c r="V59" s="239">
        <f t="shared" ref="V59" si="87">(V58/U58)-1</f>
        <v>6.7268126673245554E-3</v>
      </c>
      <c r="W59" s="256">
        <f t="shared" ref="W59" si="88">(W58/V58)-1</f>
        <v>2.1954258164159635E-2</v>
      </c>
      <c r="X59" s="239">
        <f t="shared" ref="X59" si="89">(X58/W58)-1</f>
        <v>1.7329242545063517E-2</v>
      </c>
      <c r="Y59" s="239">
        <f t="shared" ref="Y59" si="90">(Y58/X58)-1</f>
        <v>1.3417394296062035E-2</v>
      </c>
      <c r="Z59" s="239">
        <f t="shared" ref="Z59" si="91">(Z58/Y58)-1</f>
        <v>9.2869219991904561E-3</v>
      </c>
      <c r="AA59" s="256">
        <f t="shared" ref="AA59" si="92">(AA58/Z58)-1</f>
        <v>4.2844900464662494E-3</v>
      </c>
      <c r="AB59" s="253"/>
    </row>
    <row r="60" spans="1:28" s="97" customFormat="1" x14ac:dyDescent="0.2">
      <c r="B60" s="99" t="s">
        <v>179</v>
      </c>
      <c r="D60" s="103"/>
      <c r="E60" s="225"/>
      <c r="F60" s="225">
        <f t="shared" ref="F60" si="93">F57-F58</f>
        <v>593.9340000000002</v>
      </c>
      <c r="G60" s="150">
        <f t="shared" ref="G60" si="94">G57-G58</f>
        <v>313.63927041675925</v>
      </c>
      <c r="H60" s="225">
        <f t="shared" ref="H60" si="95">H57-H58</f>
        <v>1641.5491851595202</v>
      </c>
      <c r="I60" s="225">
        <f t="shared" ref="I60" si="96">I57-I58</f>
        <v>573.89997409674311</v>
      </c>
      <c r="J60" s="225">
        <f t="shared" ref="J60" si="97">J57-J58</f>
        <v>500.04967882965548</v>
      </c>
      <c r="K60" s="275">
        <f t="shared" ref="K60" si="98">K57-K58</f>
        <v>468.47397890443426</v>
      </c>
      <c r="L60" s="225">
        <f t="shared" ref="L60:AA60" si="99">L57-L58</f>
        <v>470.55891152641266</v>
      </c>
      <c r="M60" s="225">
        <f t="shared" si="99"/>
        <v>467.02493828306183</v>
      </c>
      <c r="N60" s="225">
        <f t="shared" si="99"/>
        <v>455.71058279371709</v>
      </c>
      <c r="O60" s="150">
        <f t="shared" si="99"/>
        <v>455.49195552035144</v>
      </c>
      <c r="P60" s="225">
        <f t="shared" si="99"/>
        <v>455.59813319451519</v>
      </c>
      <c r="Q60" s="225">
        <f t="shared" si="99"/>
        <v>455.92644468886374</v>
      </c>
      <c r="R60" s="225">
        <f t="shared" si="99"/>
        <v>456.89121465634912</v>
      </c>
      <c r="S60" s="150">
        <f t="shared" si="99"/>
        <v>461.87633162866746</v>
      </c>
      <c r="T60" s="225">
        <f t="shared" si="99"/>
        <v>466.64777126772856</v>
      </c>
      <c r="U60" s="225">
        <f t="shared" si="99"/>
        <v>470.42291619714911</v>
      </c>
      <c r="V60" s="225">
        <f t="shared" si="99"/>
        <v>473.5873630288238</v>
      </c>
      <c r="W60" s="150">
        <f t="shared" si="99"/>
        <v>483.98462226004199</v>
      </c>
      <c r="X60" s="225">
        <f t="shared" si="99"/>
        <v>492.37170916726723</v>
      </c>
      <c r="Y60" s="225">
        <f t="shared" si="99"/>
        <v>498.97805452939042</v>
      </c>
      <c r="Z60" s="225">
        <f t="shared" si="99"/>
        <v>503.61202480111251</v>
      </c>
      <c r="AA60" s="150">
        <f t="shared" si="99"/>
        <v>505.76974550865361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577.41691666666668</v>
      </c>
      <c r="I64" s="104">
        <f>main!P50/1000</f>
        <v>577.41691666666668</v>
      </c>
      <c r="J64" s="104">
        <f>main!Q50/1000</f>
        <v>577.41691666666668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15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2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-643.57844188676734</v>
      </c>
      <c r="I67" s="225">
        <f t="shared" si="103"/>
        <v>-647.99123064723142</v>
      </c>
      <c r="J67" s="225">
        <f t="shared" si="103"/>
        <v>-652.75653890924525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main!N78/1000</f>
        <v>298.37288477706733</v>
      </c>
      <c r="H71" s="226">
        <f>main!O78/1000</f>
        <v>341.14099544764287</v>
      </c>
      <c r="I71" s="226">
        <f>main!P78/1000</f>
        <v>314.02243392207248</v>
      </c>
      <c r="J71" s="226">
        <f>main!Q78/1000</f>
        <v>315.05497613497749</v>
      </c>
      <c r="K71" s="151">
        <f>main!R78/1000</f>
        <v>310.54437969325096</v>
      </c>
      <c r="L71" s="226">
        <f>main!S78/1000</f>
        <v>306.24080684971517</v>
      </c>
      <c r="M71" s="226">
        <f>main!T78/1000</f>
        <v>307.95857178194768</v>
      </c>
      <c r="N71" s="226">
        <f>main!U78/1000</f>
        <v>309.86680125051294</v>
      </c>
      <c r="O71" s="151">
        <f>main!V78/1000</f>
        <v>311.62247677399648</v>
      </c>
      <c r="P71" s="258">
        <f>main!W78/1000</f>
        <v>313.57245802602733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15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2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69.242163837897039</v>
      </c>
      <c r="H74" s="225">
        <f t="shared" si="118"/>
        <v>127.61464764872966</v>
      </c>
      <c r="I74" s="225">
        <f t="shared" si="118"/>
        <v>115.66594358351179</v>
      </c>
      <c r="J74" s="225">
        <f t="shared" si="118"/>
        <v>131.28898901689669</v>
      </c>
      <c r="K74" s="150">
        <f t="shared" si="118"/>
        <v>115.49105945954116</v>
      </c>
      <c r="L74" s="225">
        <f t="shared" ref="L74:N74" si="119">L71-L72</f>
        <v>99.106394189216473</v>
      </c>
      <c r="M74" s="225">
        <f t="shared" si="119"/>
        <v>88.661254484149993</v>
      </c>
      <c r="N74" s="225">
        <f t="shared" si="119"/>
        <v>77.676309913851043</v>
      </c>
      <c r="O74" s="150">
        <f t="shared" ref="O74:AA74" si="120">O71-O72</f>
        <v>67.178458618642992</v>
      </c>
      <c r="P74" s="260">
        <f t="shared" si="120"/>
        <v>56.129915947324207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H1" activePane="topRight" state="frozen"/>
      <selection pane="topRight" activeCell="M24" sqref="M23:M24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TRANSPOSE(main!L38:P38)/1000</f>
        <v>834.93333333333328</v>
      </c>
      <c r="M2" cm="1">
        <f t="array" ref="M2:M12">TRANSPOSE(main!L42:V42)/1000</f>
        <v>277.60000000000002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2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-597.15600000000018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593.9340000000002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TRANSPOSE(main!M36:V36)/1000</f>
        <v>881.35400000000004</v>
      </c>
      <c r="L3">
        <v>738.2</v>
      </c>
      <c r="M3">
        <v>140</v>
      </c>
      <c r="N3">
        <v>0</v>
      </c>
      <c r="O3">
        <v>0</v>
      </c>
      <c r="P3">
        <v>0</v>
      </c>
    </row>
    <row r="4" spans="1:16" x14ac:dyDescent="0.2">
      <c r="A4" s="190">
        <v>44196</v>
      </c>
      <c r="B4">
        <v>-20.937831399481894</v>
      </c>
      <c r="C4">
        <v>-669.01923060076751</v>
      </c>
      <c r="D4">
        <v>-1.0953270393285948</v>
      </c>
      <c r="E4">
        <v>-5.5204921560942921E-2</v>
      </c>
      <c r="F4">
        <v>33.585746620749433</v>
      </c>
      <c r="G4">
        <v>313.63927041675925</v>
      </c>
      <c r="H4">
        <v>-833.94013103694624</v>
      </c>
      <c r="I4">
        <v>69.242163837897039</v>
      </c>
      <c r="J4" s="102"/>
      <c r="K4" s="102">
        <v>337.8</v>
      </c>
      <c r="L4">
        <v>257.8</v>
      </c>
      <c r="M4">
        <v>80</v>
      </c>
      <c r="N4">
        <v>0</v>
      </c>
      <c r="O4">
        <v>0</v>
      </c>
      <c r="P4">
        <v>0</v>
      </c>
    </row>
    <row r="5" spans="1:16" x14ac:dyDescent="0.2">
      <c r="A5" s="190">
        <v>44286</v>
      </c>
      <c r="B5">
        <v>-26.641254195579705</v>
      </c>
      <c r="C5">
        <v>-687.95031144904317</v>
      </c>
      <c r="D5">
        <v>-1.1134929435183949</v>
      </c>
      <c r="E5">
        <v>-5.6120490409199419E-2</v>
      </c>
      <c r="F5">
        <v>47.561193892373922</v>
      </c>
      <c r="G5">
        <v>1641.5491851595202</v>
      </c>
      <c r="H5">
        <v>-643.57844188676734</v>
      </c>
      <c r="I5">
        <v>127.61464764872966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353">
        <f>664000/1000</f>
        <v>664</v>
      </c>
    </row>
    <row r="6" spans="1:16" x14ac:dyDescent="0.2">
      <c r="A6" s="190">
        <v>44377</v>
      </c>
      <c r="B6">
        <v>-34.183111242533812</v>
      </c>
      <c r="C6">
        <v>-704.80536970482467</v>
      </c>
      <c r="D6">
        <v>-1.1311990867463919</v>
      </c>
      <c r="E6">
        <v>-5.7012887120805544E-2</v>
      </c>
      <c r="F6">
        <v>57.608534007630169</v>
      </c>
      <c r="G6">
        <v>573.89997409674311</v>
      </c>
      <c r="H6">
        <v>-647.99123064723142</v>
      </c>
      <c r="I6">
        <v>115.66594358351179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2">
      <c r="A7" s="190">
        <v>44469</v>
      </c>
      <c r="B7">
        <v>-41.724968289487691</v>
      </c>
      <c r="C7">
        <v>-699.09796267765057</v>
      </c>
      <c r="D7">
        <v>-1.150124131134362</v>
      </c>
      <c r="E7">
        <v>-5.7966716939205298E-2</v>
      </c>
      <c r="F7">
        <v>62.552903706427287</v>
      </c>
      <c r="G7">
        <v>500.04967882965548</v>
      </c>
      <c r="H7">
        <v>-652.75653890924525</v>
      </c>
      <c r="I7">
        <v>131.28898901689669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2">
      <c r="A8" s="190">
        <v>44561</v>
      </c>
      <c r="B8">
        <v>-39.457568432331414</v>
      </c>
      <c r="C8">
        <v>-723.32551143143894</v>
      </c>
      <c r="D8">
        <v>-1.1627996340230311</v>
      </c>
      <c r="E8">
        <v>-5.8605567362434385E-2</v>
      </c>
      <c r="F8">
        <v>64.144221767586032</v>
      </c>
      <c r="G8">
        <v>468.47397890443426</v>
      </c>
      <c r="H8">
        <v>-1112.559918312772</v>
      </c>
      <c r="I8">
        <v>115.49105945954116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2">
      <c r="A9" s="190">
        <v>44651</v>
      </c>
      <c r="B9">
        <v>5.749168324439097</v>
      </c>
      <c r="C9">
        <v>-748.96351441585216</v>
      </c>
      <c r="D9">
        <v>0</v>
      </c>
      <c r="E9">
        <v>0</v>
      </c>
      <c r="F9">
        <v>65.735539828744777</v>
      </c>
      <c r="G9">
        <v>470.55891152641266</v>
      </c>
      <c r="H9">
        <v>-1163.3117757737041</v>
      </c>
      <c r="I9">
        <v>99.106394189216473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2">
      <c r="A10" s="190">
        <v>44742</v>
      </c>
      <c r="B10">
        <v>8.0165681815954883</v>
      </c>
      <c r="C10">
        <v>-769.58675706235056</v>
      </c>
      <c r="D10">
        <v>0</v>
      </c>
      <c r="E10">
        <v>0</v>
      </c>
      <c r="F10">
        <v>67.326857889903522</v>
      </c>
      <c r="G10">
        <v>467.02493828306183</v>
      </c>
      <c r="H10">
        <v>-1168.3939307885266</v>
      </c>
      <c r="I10">
        <v>88.661254484149993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2">
      <c r="A11" s="190">
        <v>44834</v>
      </c>
      <c r="B11">
        <v>7.9343178535486345</v>
      </c>
      <c r="C11">
        <v>-788.78977985120866</v>
      </c>
      <c r="D11">
        <v>0</v>
      </c>
      <c r="E11">
        <v>0</v>
      </c>
      <c r="F11">
        <v>68.918175951062267</v>
      </c>
      <c r="G11">
        <v>455.71058279371709</v>
      </c>
      <c r="H11">
        <v>-1173.5410146130612</v>
      </c>
      <c r="I11">
        <v>77.676309913851043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2">
      <c r="A12" s="190">
        <v>44926</v>
      </c>
      <c r="B12">
        <v>7.8528747680539652</v>
      </c>
      <c r="C12">
        <v>-806.39761875672991</v>
      </c>
      <c r="D12">
        <v>0</v>
      </c>
      <c r="E12">
        <v>0</v>
      </c>
      <c r="F12">
        <v>69.113046846045563</v>
      </c>
      <c r="G12">
        <v>455.49195552035144</v>
      </c>
      <c r="H12">
        <v>-1178.7530272473091</v>
      </c>
      <c r="I12">
        <v>67.178458618642992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2">
      <c r="A13" s="190">
        <v>45016</v>
      </c>
      <c r="B13">
        <v>7.771431682559296</v>
      </c>
      <c r="C13">
        <v>-823.60779610211262</v>
      </c>
      <c r="D13">
        <v>0</v>
      </c>
      <c r="E13">
        <v>0</v>
      </c>
      <c r="F13">
        <v>69.307917741028632</v>
      </c>
      <c r="G13">
        <v>455.59813319451519</v>
      </c>
      <c r="H13">
        <v>-1184.0417739294007</v>
      </c>
      <c r="I13">
        <v>56.129915947324207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s="190">
        <v>45107</v>
      </c>
      <c r="B14">
        <v>7.6899885970646267</v>
      </c>
      <c r="C14">
        <v>-842.06776692221842</v>
      </c>
      <c r="D14">
        <v>0</v>
      </c>
      <c r="E14">
        <v>0</v>
      </c>
      <c r="F14">
        <v>69.502788636011701</v>
      </c>
      <c r="G14">
        <v>455.92644468886374</v>
      </c>
      <c r="H14">
        <v>-1189.3541310877511</v>
      </c>
      <c r="I14">
        <v>60.681221313274534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2">
      <c r="A15" s="190">
        <v>45199</v>
      </c>
      <c r="B15">
        <v>7.6085455115699858</v>
      </c>
      <c r="C15">
        <v>-860.41412015371282</v>
      </c>
      <c r="D15">
        <v>0</v>
      </c>
      <c r="E15">
        <v>0</v>
      </c>
      <c r="F15">
        <v>69.697659530994997</v>
      </c>
      <c r="G15">
        <v>456.89121465634912</v>
      </c>
      <c r="H15">
        <v>-1194.7432222939442</v>
      </c>
      <c r="I15">
        <v>47.547539065059539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2">
      <c r="A16" s="190">
        <v>45291</v>
      </c>
      <c r="B16">
        <v>7.694282358640038</v>
      </c>
      <c r="C16">
        <v>-866.16924385352081</v>
      </c>
      <c r="D16">
        <v>0</v>
      </c>
      <c r="E16">
        <v>0</v>
      </c>
      <c r="F16">
        <v>70.228421056227035</v>
      </c>
      <c r="G16">
        <v>461.87633162866746</v>
      </c>
      <c r="H16">
        <v>-1200.2090475479797</v>
      </c>
      <c r="I16">
        <v>45.661372118098029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2">
      <c r="A17" s="190">
        <v>45382</v>
      </c>
      <c r="B17">
        <v>7.7800192057100617</v>
      </c>
      <c r="C17">
        <v>-872.60607308499641</v>
      </c>
      <c r="D17">
        <v>0</v>
      </c>
      <c r="E17">
        <v>0</v>
      </c>
      <c r="F17">
        <v>70.759182581458845</v>
      </c>
      <c r="G17">
        <v>466.64777126772856</v>
      </c>
      <c r="H17">
        <v>-1205.733898992665</v>
      </c>
      <c r="I17">
        <v>45.975992958117956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90">
        <v>45473</v>
      </c>
      <c r="B18">
        <v>7.8657560527801138</v>
      </c>
      <c r="C18">
        <v>-879.66779905383373</v>
      </c>
      <c r="D18">
        <v>0</v>
      </c>
      <c r="E18">
        <v>0</v>
      </c>
      <c r="F18">
        <v>71.289944106690882</v>
      </c>
      <c r="G18">
        <v>470.42291619714911</v>
      </c>
      <c r="H18">
        <v>-1211.2705556754795</v>
      </c>
      <c r="I18">
        <v>46.297859579612521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90">
        <v>45565</v>
      </c>
      <c r="B19">
        <v>7.9514928998501375</v>
      </c>
      <c r="C19">
        <v>-887.63846573156081</v>
      </c>
      <c r="D19">
        <v>0</v>
      </c>
      <c r="E19">
        <v>0</v>
      </c>
      <c r="F19">
        <v>71.82070563192292</v>
      </c>
      <c r="G19">
        <v>473.5873630288238</v>
      </c>
      <c r="H19">
        <v>-1216.8367254536176</v>
      </c>
      <c r="I19">
        <v>46.628917748543074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90">
        <v>45657</v>
      </c>
      <c r="B20">
        <v>8.0601016192330803</v>
      </c>
      <c r="C20">
        <v>-894.04140974146321</v>
      </c>
      <c r="D20">
        <v>0</v>
      </c>
      <c r="E20">
        <v>0</v>
      </c>
      <c r="F20">
        <v>73.535966403592056</v>
      </c>
      <c r="G20">
        <v>483.98462226004199</v>
      </c>
      <c r="H20">
        <v>-1222.4324083270799</v>
      </c>
      <c r="I20">
        <v>46.720623828499299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90">
        <v>45747</v>
      </c>
      <c r="B21">
        <v>8.1687103386159947</v>
      </c>
      <c r="C21">
        <v>-900.33073616275578</v>
      </c>
      <c r="D21">
        <v>0</v>
      </c>
      <c r="E21">
        <v>0</v>
      </c>
      <c r="F21">
        <v>75.251227175261192</v>
      </c>
      <c r="G21">
        <v>492.37170916726723</v>
      </c>
      <c r="H21">
        <v>-1228.0398964386723</v>
      </c>
      <c r="I21">
        <v>46.930226557055903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90">
        <v>45838</v>
      </c>
      <c r="B22">
        <v>8.2773190579989091</v>
      </c>
      <c r="C22">
        <v>-907.07453293849244</v>
      </c>
      <c r="D22">
        <v>0</v>
      </c>
      <c r="E22">
        <v>0</v>
      </c>
      <c r="F22">
        <v>76.966487946930556</v>
      </c>
      <c r="G22">
        <v>498.97805452939042</v>
      </c>
      <c r="H22">
        <v>-1233.6178714549401</v>
      </c>
      <c r="I22">
        <v>47.032571404843281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90">
        <v>45930</v>
      </c>
      <c r="B23">
        <v>8.3859277773818519</v>
      </c>
      <c r="C23">
        <v>-914.32960886297974</v>
      </c>
      <c r="D23">
        <v>0</v>
      </c>
      <c r="E23">
        <v>0</v>
      </c>
      <c r="F23">
        <v>78.68174871859992</v>
      </c>
      <c r="G23">
        <v>503.61202480111251</v>
      </c>
      <c r="H23">
        <v>-1239.2017490902733</v>
      </c>
      <c r="I23">
        <v>47.141596715840137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90">
        <v>46022</v>
      </c>
      <c r="B24">
        <v>8.4989455787047632</v>
      </c>
      <c r="C24">
        <v>-921.70408674507178</v>
      </c>
      <c r="D24">
        <v>0</v>
      </c>
      <c r="E24">
        <v>0</v>
      </c>
      <c r="F24">
        <v>79.962880996821241</v>
      </c>
      <c r="G24">
        <v>505.76974550865361</v>
      </c>
      <c r="H24">
        <v>-1244.7856267256061</v>
      </c>
      <c r="I24">
        <v>47.208731610573466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14" t="s">
        <v>21</v>
      </c>
      <c r="E1" s="314"/>
      <c r="F1" s="314"/>
      <c r="G1" s="314"/>
      <c r="H1" s="314" t="s">
        <v>9</v>
      </c>
      <c r="I1" s="314"/>
      <c r="J1" s="314"/>
      <c r="K1" s="314"/>
      <c r="L1" s="314" t="s">
        <v>10</v>
      </c>
      <c r="M1" s="314"/>
      <c r="N1" s="314"/>
      <c r="O1" s="314"/>
      <c r="P1" s="314" t="s">
        <v>11</v>
      </c>
      <c r="Q1" s="314"/>
      <c r="R1" s="314"/>
      <c r="S1" s="314"/>
      <c r="T1" s="314" t="s">
        <v>268</v>
      </c>
      <c r="U1" s="314"/>
      <c r="V1" s="314"/>
      <c r="W1" s="314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2848130.6794988289</v>
      </c>
      <c r="M3" s="266">
        <f>main!O30</f>
        <v>3232347.6672774283</v>
      </c>
      <c r="N3" s="266">
        <f>main!P30</f>
        <v>2658585.8065739484</v>
      </c>
      <c r="O3" s="266">
        <f>main!Q30</f>
        <v>2549045.9648629948</v>
      </c>
      <c r="P3" s="266">
        <f>main!R30</f>
        <v>2602281.8301825942</v>
      </c>
      <c r="Q3" s="266">
        <f>main!S30</f>
        <v>2656828.3141670432</v>
      </c>
      <c r="R3" s="266">
        <f>main!T30</f>
        <v>2712721.8209036896</v>
      </c>
      <c r="S3" s="266">
        <f>main!U30</f>
        <v>2769999.8480888377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2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2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838999.96973237256</v>
      </c>
      <c r="M5" s="273">
        <f>main!O91</f>
        <v>851909.41974748904</v>
      </c>
      <c r="N5" s="273">
        <f>main!P91</f>
        <v>859338.63247661723</v>
      </c>
      <c r="O5" s="273">
        <f>main!Q91</f>
        <v>860057.04756403249</v>
      </c>
      <c r="P5" s="273">
        <f>main!R91</f>
        <v>861140.05830831092</v>
      </c>
      <c r="Q5" s="273">
        <f>main!S91</f>
        <v>862594.90274145827</v>
      </c>
      <c r="R5" s="273">
        <f>main!T91</f>
        <v>864142.72686504154</v>
      </c>
      <c r="S5" s="273">
        <f>main!U91</f>
        <v>865537.60394083988</v>
      </c>
      <c r="T5" s="273">
        <f>main!V91</f>
        <v>866767.29820503015</v>
      </c>
      <c r="U5" s="273"/>
      <c r="V5" s="273"/>
      <c r="W5" s="273"/>
      <c r="AJ5" s="269"/>
    </row>
    <row r="6" spans="1:36" s="35" customFormat="1" x14ac:dyDescent="0.2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19" t="s">
        <v>208</v>
      </c>
      <c r="B1" s="320"/>
      <c r="C1" s="35"/>
      <c r="I1" s="250"/>
      <c r="J1" s="327" t="s">
        <v>282</v>
      </c>
      <c r="V1" s="314"/>
      <c r="W1" s="314"/>
      <c r="X1" s="314"/>
      <c r="Y1" s="314"/>
    </row>
    <row r="2" spans="1:27" x14ac:dyDescent="0.2">
      <c r="A2" s="321" t="s">
        <v>192</v>
      </c>
      <c r="B2" s="126"/>
      <c r="C2" t="s">
        <v>193</v>
      </c>
      <c r="H2" s="95"/>
      <c r="I2" s="251"/>
      <c r="J2" s="327"/>
    </row>
    <row r="3" spans="1:27" x14ac:dyDescent="0.2">
      <c r="A3" s="322"/>
      <c r="B3" s="127"/>
      <c r="C3" t="s">
        <v>194</v>
      </c>
      <c r="H3" s="95"/>
      <c r="I3" s="251"/>
      <c r="J3" s="327"/>
    </row>
    <row r="4" spans="1:27" x14ac:dyDescent="0.2">
      <c r="A4" s="322"/>
      <c r="B4" s="128"/>
      <c r="C4" t="s">
        <v>195</v>
      </c>
      <c r="H4" s="95"/>
      <c r="I4" s="95"/>
      <c r="J4" s="95"/>
    </row>
    <row r="5" spans="1:27" x14ac:dyDescent="0.2">
      <c r="A5" s="323"/>
      <c r="B5" s="129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24" t="s">
        <v>160</v>
      </c>
      <c r="D7" s="325"/>
      <c r="E7" s="325"/>
      <c r="F7" s="326"/>
      <c r="G7" s="324" t="s">
        <v>166</v>
      </c>
      <c r="H7" s="325"/>
      <c r="I7" s="325"/>
      <c r="J7" s="326"/>
      <c r="K7" s="324" t="s">
        <v>177</v>
      </c>
      <c r="L7" s="325"/>
      <c r="M7" s="325"/>
      <c r="N7" s="325"/>
      <c r="O7" s="324" t="s">
        <v>272</v>
      </c>
      <c r="P7" s="325"/>
      <c r="Q7" s="325"/>
      <c r="R7" s="325"/>
      <c r="S7" s="324" t="s">
        <v>276</v>
      </c>
      <c r="T7" s="325"/>
      <c r="U7" s="325"/>
      <c r="V7" s="325"/>
      <c r="W7" s="324" t="s">
        <v>277</v>
      </c>
      <c r="X7" s="325"/>
      <c r="Y7" s="325"/>
      <c r="Z7" s="325"/>
      <c r="AA7" s="231" t="s">
        <v>278</v>
      </c>
    </row>
    <row r="8" spans="1:27" s="268" customFormat="1" x14ac:dyDescent="0.2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ht="16" x14ac:dyDescent="0.2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ht="16" x14ac:dyDescent="0.2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ht="16" x14ac:dyDescent="0.2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ht="16" x14ac:dyDescent="0.2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ht="16" x14ac:dyDescent="0.2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ht="16" x14ac:dyDescent="0.2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ht="16" x14ac:dyDescent="0.2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ht="16" x14ac:dyDescent="0.2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ht="16" x14ac:dyDescent="0.2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2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2848.1306794988291</v>
      </c>
      <c r="H45" s="102">
        <f>main_nipas!M3/1000</f>
        <v>3232.3476672774282</v>
      </c>
      <c r="I45" s="102">
        <f>main_nipas!N3/1000</f>
        <v>2658.5858065739485</v>
      </c>
      <c r="J45" s="102">
        <f>main_nipas!O3/1000</f>
        <v>2549.0459648629949</v>
      </c>
      <c r="K45" s="274">
        <f>main_nipas!P3/1000</f>
        <v>2602.2818301825941</v>
      </c>
      <c r="L45" s="104">
        <f>K45*(1+L47)</f>
        <v>2628.6307714562777</v>
      </c>
      <c r="M45" s="104">
        <f t="shared" ref="M45:AA45" si="12">L45*(1+M47)</f>
        <v>2627.8289028040999</v>
      </c>
      <c r="N45" s="104">
        <f t="shared" si="12"/>
        <v>2589.4318715749832</v>
      </c>
      <c r="O45" s="104">
        <f t="shared" si="12"/>
        <v>2592.3389058662974</v>
      </c>
      <c r="P45" s="104">
        <f t="shared" si="12"/>
        <v>2596.8154125076976</v>
      </c>
      <c r="Q45" s="104">
        <f t="shared" si="12"/>
        <v>2602.3652799197644</v>
      </c>
      <c r="R45" s="104">
        <f t="shared" si="12"/>
        <v>2610.9905437602506</v>
      </c>
      <c r="S45" s="104">
        <f t="shared" si="12"/>
        <v>2637.3824113238675</v>
      </c>
      <c r="T45" s="104">
        <f t="shared" si="12"/>
        <v>2662.7417802481054</v>
      </c>
      <c r="U45" s="104">
        <f t="shared" si="12"/>
        <v>2683.2870076045861</v>
      </c>
      <c r="V45" s="104">
        <f t="shared" si="12"/>
        <v>2700.8813138437936</v>
      </c>
      <c r="W45" s="104">
        <f t="shared" si="12"/>
        <v>2763.2169971869871</v>
      </c>
      <c r="X45" s="104">
        <f t="shared" si="12"/>
        <v>2815.8394359955578</v>
      </c>
      <c r="Y45" s="104">
        <f t="shared" si="12"/>
        <v>2859.8572502781167</v>
      </c>
      <c r="Z45" s="104">
        <f t="shared" si="12"/>
        <v>2894.3444579861093</v>
      </c>
      <c r="AA45" s="104">
        <f t="shared" si="12"/>
        <v>2912.9242589190353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514.13909259879028</v>
      </c>
      <c r="H48" s="225">
        <f t="shared" si="30"/>
        <v>1163.784569445726</v>
      </c>
      <c r="I48" s="225">
        <f t="shared" si="30"/>
        <v>803.84570635728141</v>
      </c>
      <c r="J48" s="225">
        <f t="shared" si="30"/>
        <v>843.56631177717691</v>
      </c>
      <c r="K48" s="275">
        <f t="shared" si="30"/>
        <v>850.32272176924016</v>
      </c>
      <c r="L48" s="225">
        <f t="shared" si="30"/>
        <v>858.93251306844172</v>
      </c>
      <c r="M48" s="225">
        <f t="shared" si="30"/>
        <v>858.67049412533083</v>
      </c>
      <c r="N48" s="225">
        <f t="shared" si="30"/>
        <v>846.12386380884823</v>
      </c>
      <c r="O48" s="150">
        <f t="shared" si="30"/>
        <v>847.07376757491852</v>
      </c>
      <c r="P48" s="225">
        <f t="shared" si="30"/>
        <v>848.53651279612563</v>
      </c>
      <c r="Q48" s="225">
        <f t="shared" si="30"/>
        <v>850.34998984098343</v>
      </c>
      <c r="R48" s="225">
        <f t="shared" si="30"/>
        <v>853.1683847357076</v>
      </c>
      <c r="S48" s="150">
        <f t="shared" si="30"/>
        <v>861.79220264773357</v>
      </c>
      <c r="T48" s="225">
        <f t="shared" si="30"/>
        <v>870.07864086357245</v>
      </c>
      <c r="U48" s="225">
        <f t="shared" si="30"/>
        <v>876.79200812552813</v>
      </c>
      <c r="V48" s="225">
        <f t="shared" si="30"/>
        <v>882.54113114342749</v>
      </c>
      <c r="W48" s="150">
        <f t="shared" si="30"/>
        <v>902.90996564434317</v>
      </c>
      <c r="X48" s="225">
        <f t="shared" si="30"/>
        <v>920.10489621444981</v>
      </c>
      <c r="Y48" s="225">
        <f t="shared" si="30"/>
        <v>934.48817600104076</v>
      </c>
      <c r="Z48" s="225">
        <f t="shared" si="30"/>
        <v>945.75723071462039</v>
      </c>
      <c r="AA48" s="150">
        <f t="shared" si="30"/>
        <v>951.82837439935633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2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2">
      <c r="A3" s="271">
        <v>44196</v>
      </c>
      <c r="B3" s="270">
        <v>-29.642475517646631</v>
      </c>
      <c r="C3" s="270">
        <v>718.96612748239181</v>
      </c>
      <c r="D3" s="270">
        <v>-1.0953270393285948</v>
      </c>
      <c r="E3" s="270">
        <v>-5.5204921560942921E-2</v>
      </c>
      <c r="F3" s="270">
        <v>23.142985628403267</v>
      </c>
      <c r="G3" s="270">
        <v>514.13909259879028</v>
      </c>
      <c r="H3" s="270">
        <v>-833.94013103694624</v>
      </c>
      <c r="I3" s="270">
        <v>69.242163837897039</v>
      </c>
    </row>
    <row r="4" spans="1:9" x14ac:dyDescent="0.2">
      <c r="A4" s="271">
        <v>44286</v>
      </c>
      <c r="B4" s="270">
        <v>-43.765601471299647</v>
      </c>
      <c r="C4" s="270">
        <v>756.43646274752768</v>
      </c>
      <c r="D4" s="270">
        <v>-1.1134929435183949</v>
      </c>
      <c r="E4" s="270">
        <v>-5.6120490409199419E-2</v>
      </c>
      <c r="F4" s="270">
        <v>46.379353230327069</v>
      </c>
      <c r="G4" s="270">
        <v>1163.784569445726</v>
      </c>
      <c r="H4" s="270">
        <v>-643.57844188676734</v>
      </c>
      <c r="I4" s="270">
        <v>127.61464764872966</v>
      </c>
    </row>
    <row r="5" spans="1:9" x14ac:dyDescent="0.2">
      <c r="A5" s="271">
        <v>44377</v>
      </c>
      <c r="B5" s="270">
        <v>-63.369858256487646</v>
      </c>
      <c r="C5" s="270">
        <v>788.42127504542532</v>
      </c>
      <c r="D5" s="270">
        <v>-1.1311990867463919</v>
      </c>
      <c r="E5" s="270">
        <v>-5.7012887120805544E-2</v>
      </c>
      <c r="F5" s="270">
        <v>69.743650491218432</v>
      </c>
      <c r="G5" s="270">
        <v>803.84570635728141</v>
      </c>
      <c r="H5" s="270">
        <v>-647.99123064723142</v>
      </c>
      <c r="I5" s="270">
        <v>115.66594358351179</v>
      </c>
    </row>
    <row r="6" spans="1:9" x14ac:dyDescent="0.2">
      <c r="A6" s="271">
        <v>44469</v>
      </c>
      <c r="B6" s="270">
        <v>-90.045016006506785</v>
      </c>
      <c r="C6" s="270">
        <v>811.56513372945358</v>
      </c>
      <c r="D6" s="270">
        <v>-1.150124131134362</v>
      </c>
      <c r="E6" s="270">
        <v>-5.7966716939205298E-2</v>
      </c>
      <c r="F6" s="270">
        <v>93.23744404962531</v>
      </c>
      <c r="G6" s="270">
        <v>843.56631177717691</v>
      </c>
      <c r="H6" s="270">
        <v>-652.75653890924525</v>
      </c>
      <c r="I6" s="270">
        <v>131.28898901689669</v>
      </c>
    </row>
    <row r="7" spans="1:9" x14ac:dyDescent="0.2">
      <c r="A7" s="271">
        <v>44561</v>
      </c>
      <c r="B7" s="270">
        <v>-82.025340150088255</v>
      </c>
      <c r="C7" s="270">
        <v>798.22202453105353</v>
      </c>
      <c r="D7" s="270">
        <v>-1.1627996340230311</v>
      </c>
      <c r="E7" s="270">
        <v>-5.8605567362434385E-2</v>
      </c>
      <c r="F7" s="270">
        <v>97.945155839323775</v>
      </c>
      <c r="G7" s="270">
        <v>850.32272176924016</v>
      </c>
      <c r="H7" s="270">
        <v>-1112.559918312772</v>
      </c>
      <c r="I7" s="270">
        <v>115.49105945954116</v>
      </c>
    </row>
    <row r="8" spans="1:9" x14ac:dyDescent="0.2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102.65286762902224</v>
      </c>
      <c r="G8" s="270">
        <v>858.93251306844172</v>
      </c>
      <c r="H8" s="270">
        <v>-1163.3117757737041</v>
      </c>
      <c r="I8" s="270">
        <v>99.106394189216473</v>
      </c>
    </row>
    <row r="9" spans="1:9" x14ac:dyDescent="0.2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107.3605794187207</v>
      </c>
      <c r="G9" s="270">
        <v>858.67049412533083</v>
      </c>
      <c r="H9" s="270">
        <v>-1168.3939307885266</v>
      </c>
      <c r="I9" s="270">
        <v>88.661254484149993</v>
      </c>
    </row>
    <row r="10" spans="1:9" x14ac:dyDescent="0.2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112.06829120841905</v>
      </c>
      <c r="G10" s="270">
        <v>846.12386380884823</v>
      </c>
      <c r="H10" s="270">
        <v>-1173.5410146130612</v>
      </c>
      <c r="I10" s="270">
        <v>77.676309913851043</v>
      </c>
    </row>
    <row r="11" spans="1:9" x14ac:dyDescent="0.2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113.21479904544935</v>
      </c>
      <c r="G11" s="270">
        <v>847.07376757491852</v>
      </c>
      <c r="H11" s="270">
        <v>-1178.7530272473091</v>
      </c>
      <c r="I11" s="270">
        <v>67.178458618642992</v>
      </c>
    </row>
    <row r="12" spans="1:9" x14ac:dyDescent="0.2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114.36130688247965</v>
      </c>
      <c r="G12" s="270">
        <v>848.53651279612563</v>
      </c>
      <c r="H12" s="270">
        <v>-1184.0417739294007</v>
      </c>
      <c r="I12" s="270">
        <v>56.129915947324207</v>
      </c>
    </row>
    <row r="13" spans="1:9" x14ac:dyDescent="0.2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115.50781471950995</v>
      </c>
      <c r="G13" s="270">
        <v>850.34998984098343</v>
      </c>
      <c r="H13" s="270">
        <v>-1189.3541310877511</v>
      </c>
      <c r="I13" s="270">
        <v>60.681221313274534</v>
      </c>
    </row>
    <row r="14" spans="1:9" x14ac:dyDescent="0.2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116.65432255654025</v>
      </c>
      <c r="G14" s="270">
        <v>853.1683847357076</v>
      </c>
      <c r="H14" s="270">
        <v>-1194.7432222939442</v>
      </c>
      <c r="I14" s="270">
        <v>47.547539065059539</v>
      </c>
    </row>
    <row r="15" spans="1:9" x14ac:dyDescent="0.2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117.32067194419665</v>
      </c>
      <c r="G15" s="270">
        <v>861.79220264773357</v>
      </c>
      <c r="H15" s="270">
        <v>-1200.2090475479797</v>
      </c>
      <c r="I15" s="270">
        <v>45.661372118098029</v>
      </c>
    </row>
    <row r="16" spans="1:9" x14ac:dyDescent="0.2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117.98702133185293</v>
      </c>
      <c r="G16" s="270">
        <v>870.07864086357245</v>
      </c>
      <c r="H16" s="270">
        <v>-1205.733898992665</v>
      </c>
      <c r="I16" s="270">
        <v>45.975992958117956</v>
      </c>
    </row>
    <row r="17" spans="1:9" x14ac:dyDescent="0.2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118.65337071950921</v>
      </c>
      <c r="G17" s="270">
        <v>876.79200812552813</v>
      </c>
      <c r="H17" s="270">
        <v>-1211.2705556754795</v>
      </c>
      <c r="I17" s="270">
        <v>46.297859579612521</v>
      </c>
    </row>
    <row r="18" spans="1:9" x14ac:dyDescent="0.2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119.31972010716561</v>
      </c>
      <c r="G18" s="270">
        <v>882.54113114342749</v>
      </c>
      <c r="H18" s="270">
        <v>-1216.8367254536176</v>
      </c>
      <c r="I18" s="270">
        <v>46.628917748543074</v>
      </c>
    </row>
    <row r="19" spans="1:9" x14ac:dyDescent="0.2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122.81863012191729</v>
      </c>
      <c r="G19" s="270">
        <v>902.90996564434317</v>
      </c>
      <c r="H19" s="270">
        <v>-1222.4324083270799</v>
      </c>
      <c r="I19" s="270">
        <v>46.720623828499299</v>
      </c>
    </row>
    <row r="20" spans="1:9" x14ac:dyDescent="0.2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126.31754013666887</v>
      </c>
      <c r="G20" s="270">
        <v>920.10489621444981</v>
      </c>
      <c r="H20" s="270">
        <v>-1228.0398964386723</v>
      </c>
      <c r="I20" s="270">
        <v>46.930226557055903</v>
      </c>
    </row>
    <row r="21" spans="1:9" x14ac:dyDescent="0.2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129.81645015142067</v>
      </c>
      <c r="G21" s="270">
        <v>934.48817600104076</v>
      </c>
      <c r="H21" s="270">
        <v>-1233.6178714549401</v>
      </c>
      <c r="I21" s="270">
        <v>47.032571404843281</v>
      </c>
    </row>
    <row r="22" spans="1:9" x14ac:dyDescent="0.2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133.31536016617247</v>
      </c>
      <c r="G22" s="270">
        <v>945.75723071462039</v>
      </c>
      <c r="H22" s="270">
        <v>-1239.2017490902733</v>
      </c>
      <c r="I22" s="270">
        <v>47.141596715840137</v>
      </c>
    </row>
    <row r="23" spans="1:9" x14ac:dyDescent="0.2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135.67395143661656</v>
      </c>
      <c r="G23" s="270">
        <v>951.82837439935633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baseColWidth="10" defaultColWidth="8.83203125" defaultRowHeight="15" x14ac:dyDescent="0.2"/>
  <sheetData>
    <row r="1" spans="1:9" s="298" customFormat="1" x14ac:dyDescent="0.2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2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2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2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2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2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2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2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2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2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2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2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2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2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2">
      <c r="A15" t="s">
        <v>306</v>
      </c>
      <c r="H15">
        <v>1078100</v>
      </c>
      <c r="I15">
        <v>15600</v>
      </c>
    </row>
    <row r="16" spans="1:9" x14ac:dyDescent="0.2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2">
      <c r="A17" t="s">
        <v>308</v>
      </c>
      <c r="H17">
        <v>19100</v>
      </c>
      <c r="I17">
        <v>27000</v>
      </c>
    </row>
    <row r="18" spans="1:9" x14ac:dyDescent="0.2">
      <c r="A18" t="s">
        <v>309</v>
      </c>
      <c r="H18">
        <v>160900</v>
      </c>
      <c r="I18">
        <v>58400</v>
      </c>
    </row>
    <row r="19" spans="1:9" x14ac:dyDescent="0.2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2">
      <c r="A20" t="s">
        <v>311</v>
      </c>
      <c r="H20">
        <v>609300</v>
      </c>
      <c r="I20">
        <v>865600</v>
      </c>
    </row>
    <row r="21" spans="1:9" x14ac:dyDescent="0.2">
      <c r="A21" t="s">
        <v>312</v>
      </c>
      <c r="H21">
        <v>63800</v>
      </c>
      <c r="I21">
        <v>15000</v>
      </c>
    </row>
    <row r="22" spans="1:9" x14ac:dyDescent="0.2">
      <c r="A22" t="s">
        <v>313</v>
      </c>
      <c r="H22">
        <v>73300</v>
      </c>
      <c r="I22">
        <v>73300</v>
      </c>
    </row>
    <row r="23" spans="1:9" x14ac:dyDescent="0.2">
      <c r="A23" t="s">
        <v>314</v>
      </c>
      <c r="H23">
        <v>140000</v>
      </c>
      <c r="I23">
        <v>140000</v>
      </c>
    </row>
    <row r="24" spans="1:9" x14ac:dyDescent="0.2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2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2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2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2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2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2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2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2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2">
      <c r="A33" t="s">
        <v>336</v>
      </c>
      <c r="H33">
        <v>277100</v>
      </c>
      <c r="I33">
        <v>228300</v>
      </c>
    </row>
    <row r="34" spans="1:9" x14ac:dyDescent="0.2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290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239</v>
      </c>
      <c r="C8" s="161"/>
      <c r="D8" s="162">
        <f>SUMPRODUCT(B5:B6,C5:C6)</f>
        <v>0.45</v>
      </c>
    </row>
    <row r="9" spans="1:16" x14ac:dyDescent="0.2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2">
      <c r="B8" s="161" t="s">
        <v>239</v>
      </c>
      <c r="C8" s="161"/>
      <c r="D8" s="162">
        <f>SUMPRODUCT(B5:B6,C5:C6)</f>
        <v>0.52500000000000002</v>
      </c>
    </row>
    <row r="9" spans="1:16" x14ac:dyDescent="0.2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8" t="s">
        <v>32</v>
      </c>
      <c r="B5" s="329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329"/>
      <c r="N5" s="329"/>
      <c r="O5" s="329"/>
      <c r="P5" s="329"/>
      <c r="Q5" s="329"/>
      <c r="R5" s="329"/>
      <c r="S5" s="329"/>
    </row>
    <row r="6" spans="1:19" s="6" customFormat="1" ht="15" customHeight="1" x14ac:dyDescent="0.15">
      <c r="A6" s="330" t="s">
        <v>33</v>
      </c>
      <c r="B6" s="330"/>
      <c r="C6" s="330"/>
      <c r="D6" s="330"/>
      <c r="E6" s="330"/>
      <c r="F6" s="330"/>
      <c r="G6" s="330"/>
      <c r="H6" s="330"/>
      <c r="I6" s="330"/>
      <c r="J6" s="330"/>
      <c r="K6" s="330"/>
      <c r="L6" s="330"/>
      <c r="M6" s="330"/>
      <c r="N6" s="330"/>
      <c r="O6" s="330"/>
      <c r="P6" s="330"/>
      <c r="Q6" s="330"/>
      <c r="R6" s="330"/>
      <c r="S6" s="33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1"/>
      <c r="S8" s="332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15" t="s">
        <v>208</v>
      </c>
      <c r="B1" s="315"/>
      <c r="C1" s="35"/>
      <c r="H1"/>
      <c r="I1"/>
      <c r="J1"/>
      <c r="X1" t="s">
        <v>28</v>
      </c>
      <c r="Z1" s="333" t="s">
        <v>84</v>
      </c>
      <c r="AA1" s="333"/>
      <c r="AB1" s="333"/>
      <c r="AC1" s="314"/>
      <c r="AD1" s="314"/>
      <c r="AE1" s="314"/>
      <c r="AF1" s="314"/>
    </row>
    <row r="2" spans="1:32" x14ac:dyDescent="0.2">
      <c r="A2" s="334" t="s">
        <v>192</v>
      </c>
      <c r="B2" s="107"/>
      <c r="C2" t="s">
        <v>193</v>
      </c>
    </row>
    <row r="3" spans="1:32" x14ac:dyDescent="0.2">
      <c r="A3" s="334"/>
      <c r="B3" s="108"/>
      <c r="C3" t="s">
        <v>194</v>
      </c>
    </row>
    <row r="4" spans="1:32" x14ac:dyDescent="0.2">
      <c r="A4" s="334"/>
      <c r="B4" s="109"/>
      <c r="C4" t="s">
        <v>195</v>
      </c>
    </row>
    <row r="5" spans="1:32" x14ac:dyDescent="0.2">
      <c r="A5" s="334"/>
      <c r="B5" s="98"/>
      <c r="C5" t="s">
        <v>182</v>
      </c>
    </row>
    <row r="7" spans="1:32" x14ac:dyDescent="0.2">
      <c r="C7" s="324" t="s">
        <v>160</v>
      </c>
      <c r="D7" s="325"/>
      <c r="E7" s="325"/>
      <c r="F7" s="326"/>
      <c r="G7" s="324" t="s">
        <v>166</v>
      </c>
      <c r="H7" s="325"/>
      <c r="I7" s="325"/>
      <c r="J7" s="326"/>
      <c r="K7" s="324" t="s">
        <v>177</v>
      </c>
      <c r="L7" s="325"/>
      <c r="M7" s="325"/>
      <c r="N7" s="326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577.41691666666668</v>
      </c>
      <c r="I70" s="102">
        <f>main!P50/1000</f>
        <v>577.41691666666668</v>
      </c>
      <c r="J70" s="102">
        <f>main!Q50/1000</f>
        <v>577.41691666666668</v>
      </c>
      <c r="K70" s="102">
        <f>main!R50/1000</f>
        <v>122.75024999999999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-519.67121484897336</v>
      </c>
      <c r="I72" s="103">
        <f t="shared" si="23"/>
        <v>-523.63619157232336</v>
      </c>
      <c r="J72" s="103">
        <f t="shared" si="23"/>
        <v>-527.91791393977326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14" zoomScale="110" zoomScaleNormal="110" workbookViewId="0">
      <selection activeCell="G23" sqref="G23:G24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35" t="s">
        <v>104</v>
      </c>
      <c r="B2" s="335"/>
      <c r="C2" s="335"/>
      <c r="D2" s="335"/>
      <c r="E2" s="335"/>
      <c r="F2" s="335"/>
      <c r="G2" s="335"/>
      <c r="H2" s="335"/>
      <c r="I2" s="335"/>
      <c r="J2" s="335"/>
      <c r="K2" s="77"/>
    </row>
    <row r="3" spans="1:24" x14ac:dyDescent="0.2">
      <c r="A3" s="335" t="s">
        <v>105</v>
      </c>
      <c r="B3" s="335"/>
      <c r="C3" s="335"/>
      <c r="D3" s="335"/>
      <c r="E3" s="335"/>
      <c r="F3" s="335"/>
      <c r="G3" s="335"/>
      <c r="H3" s="335"/>
      <c r="I3" s="335"/>
      <c r="J3" s="335"/>
      <c r="K3" s="77"/>
    </row>
    <row r="4" spans="1:24" ht="16" thickBot="1" x14ac:dyDescent="0.25">
      <c r="A4" s="336"/>
      <c r="B4" s="336"/>
      <c r="C4" s="336"/>
      <c r="D4" s="336"/>
      <c r="E4" s="336"/>
      <c r="F4" s="336"/>
      <c r="G4" s="336"/>
      <c r="H4" s="336"/>
      <c r="I4" s="336"/>
      <c r="J4" s="336"/>
      <c r="K4" s="341" t="s">
        <v>160</v>
      </c>
      <c r="L4" s="341"/>
      <c r="M4" s="341"/>
      <c r="N4" s="341"/>
    </row>
    <row r="5" spans="1:24" x14ac:dyDescent="0.2">
      <c r="A5" s="47"/>
      <c r="B5" s="48"/>
      <c r="C5" s="337" t="s">
        <v>106</v>
      </c>
      <c r="D5" s="338"/>
      <c r="E5" s="338"/>
      <c r="F5" s="338"/>
      <c r="G5" s="338"/>
      <c r="H5" s="338"/>
      <c r="I5" s="338"/>
      <c r="J5" s="339"/>
      <c r="K5" s="78"/>
      <c r="L5" s="340" t="s">
        <v>107</v>
      </c>
      <c r="M5" s="314"/>
      <c r="N5" s="314"/>
    </row>
    <row r="6" spans="1:24" x14ac:dyDescent="0.2">
      <c r="A6" s="1" t="s">
        <v>109</v>
      </c>
      <c r="B6" s="49"/>
      <c r="C6" s="343">
        <v>2020</v>
      </c>
      <c r="D6" s="344"/>
      <c r="E6" s="344"/>
      <c r="F6" s="344"/>
      <c r="G6" s="344"/>
      <c r="H6" s="344"/>
      <c r="I6" s="344"/>
      <c r="J6" s="34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4" t="s">
        <v>9</v>
      </c>
      <c r="L22" s="314"/>
      <c r="M22" s="314"/>
      <c r="N22" s="314"/>
      <c r="O22" s="314" t="s">
        <v>10</v>
      </c>
      <c r="P22" s="314"/>
      <c r="Q22" s="314"/>
      <c r="R22" s="314"/>
      <c r="S22" s="314" t="s">
        <v>11</v>
      </c>
      <c r="T22" s="314"/>
      <c r="U22" s="314"/>
      <c r="V22" s="314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6" t="s">
        <v>108</v>
      </c>
      <c r="L23" s="346"/>
      <c r="M23" s="346"/>
      <c r="N23" s="346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42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4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4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42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42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42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119.04333333333334</v>
      </c>
      <c r="R35" s="72"/>
    </row>
    <row r="36" spans="3:23" x14ac:dyDescent="0.2">
      <c r="C36" t="s">
        <v>269</v>
      </c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50" t="s">
        <v>87</v>
      </c>
      <c r="F6" s="350"/>
      <c r="G6" s="350"/>
      <c r="H6" s="350"/>
      <c r="I6" s="350"/>
      <c r="J6" s="350"/>
      <c r="K6" s="350"/>
      <c r="L6" s="350"/>
      <c r="M6" s="350"/>
      <c r="N6" s="350"/>
      <c r="O6" s="350"/>
      <c r="P6" s="350"/>
      <c r="Q6" s="350"/>
      <c r="R6" s="350"/>
    </row>
    <row r="7" spans="1:18" x14ac:dyDescent="0.2">
      <c r="A7" s="347" t="s">
        <v>88</v>
      </c>
      <c r="B7" s="347"/>
      <c r="C7" s="347"/>
      <c r="D7" s="34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47" t="s">
        <v>89</v>
      </c>
      <c r="C8" s="347"/>
      <c r="D8" s="34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47" t="s">
        <v>90</v>
      </c>
      <c r="C9" s="347"/>
      <c r="D9" s="34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47" t="s">
        <v>91</v>
      </c>
      <c r="C10" s="347"/>
      <c r="D10" s="34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47" t="s">
        <v>58</v>
      </c>
      <c r="C11" s="347"/>
      <c r="D11" s="34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47" t="s">
        <v>34</v>
      </c>
      <c r="D13" s="34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47" t="s">
        <v>89</v>
      </c>
      <c r="C19" s="347"/>
      <c r="D19" s="34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47" t="s">
        <v>90</v>
      </c>
      <c r="C20" s="347"/>
      <c r="D20" s="34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47" t="s">
        <v>91</v>
      </c>
      <c r="C21" s="347"/>
      <c r="D21" s="34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47" t="s">
        <v>58</v>
      </c>
      <c r="C22" s="347"/>
      <c r="D22" s="34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48" t="s">
        <v>95</v>
      </c>
      <c r="I27" s="348"/>
      <c r="J27" s="348"/>
      <c r="K27" s="348"/>
      <c r="L27" s="348"/>
      <c r="M27" s="348"/>
      <c r="N27" s="348"/>
      <c r="O27" s="348"/>
      <c r="P27" s="348"/>
      <c r="Q27" s="348"/>
      <c r="R27" s="348"/>
      <c r="S27" s="348"/>
      <c r="T27" s="348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49" t="s">
        <v>99</v>
      </c>
      <c r="G37" s="349"/>
      <c r="H37" s="349"/>
      <c r="I37" s="349"/>
      <c r="J37" s="349"/>
      <c r="K37" s="349"/>
      <c r="L37" s="349"/>
      <c r="M37" s="349"/>
      <c r="N37" s="349"/>
      <c r="O37" s="349"/>
      <c r="P37" s="349"/>
      <c r="Q37" s="349"/>
      <c r="R37" s="349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48" t="s">
        <v>101</v>
      </c>
      <c r="G48" s="348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8" t="s">
        <v>32</v>
      </c>
      <c r="B5" s="329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329"/>
      <c r="N5" s="329"/>
      <c r="O5" s="329"/>
      <c r="P5" s="329"/>
      <c r="Q5" s="329"/>
      <c r="R5" s="329"/>
      <c r="S5" s="329"/>
    </row>
    <row r="6" spans="1:19" s="6" customFormat="1" ht="15" customHeight="1" x14ac:dyDescent="0.15">
      <c r="A6" s="330" t="s">
        <v>33</v>
      </c>
      <c r="B6" s="330"/>
      <c r="C6" s="330"/>
      <c r="D6" s="330"/>
      <c r="E6" s="330"/>
      <c r="F6" s="330"/>
      <c r="G6" s="330"/>
      <c r="H6" s="330"/>
      <c r="I6" s="330"/>
      <c r="J6" s="330"/>
      <c r="K6" s="330"/>
      <c r="L6" s="330"/>
      <c r="M6" s="330"/>
      <c r="N6" s="330"/>
      <c r="O6" s="330"/>
      <c r="P6" s="330"/>
      <c r="Q6" s="330"/>
      <c r="R6" s="330"/>
      <c r="S6" s="33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1" t="s">
        <v>34</v>
      </c>
      <c r="S8" s="332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51" t="s">
        <v>42</v>
      </c>
      <c r="E75" s="35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66951ee6-cd93-49c7-9437-e871b2a117d6"/>
    <ds:schemaRef ds:uri="cac5d118-ba7b-4807-b700-df6f95cfff5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2020-12-22T20:49:53Z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