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lcalakovalski/Documents/Projects/fim/data/"/>
    </mc:Choice>
  </mc:AlternateContent>
  <xr:revisionPtr revIDLastSave="0" documentId="13_ncr:1_{6D1CB03C-0EAD-2743-B096-146652CA4CF0}" xr6:coauthVersionLast="47" xr6:coauthVersionMax="47" xr10:uidLastSave="{00000000-0000-0000-0000-000000000000}"/>
  <bookViews>
    <workbookView xWindow="0" yWindow="500" windowWidth="33600" windowHeight="19720" activeTab="3" xr2:uid="{BAFE3F49-3B7E-4387-938E-5F3D7AC6DAFE}"/>
  </bookViews>
  <sheets>
    <sheet name="main" sheetId="1" r:id="rId1"/>
    <sheet name="PPP" sheetId="17" r:id="rId2"/>
    <sheet name="Stimulus Round 2" sheetId="16" r:id="rId3"/>
    <sheet name="add-ons calculations" sheetId="5" r:id="rId4"/>
    <sheet name="FIM Add Factors" sheetId="9" r:id="rId5"/>
    <sheet name="main_nipas" sheetId="10" r:id="rId6"/>
    <sheet name="add-ons calculations nipas" sheetId="11" r:id="rId7"/>
    <sheet name="NIPA Add Factors" sheetId="12" r:id="rId8"/>
    <sheet name="Haver NA" sheetId="14" r:id="rId9"/>
    <sheet name="ui" sheetId="13" r:id="rId10"/>
    <sheet name="MPC" sheetId="8" r:id="rId11"/>
    <sheet name="MPC - round (2)" sheetId="15" r:id="rId12"/>
    <sheet name="figuring out Medicaid" sheetId="7" r:id="rId13"/>
    <sheet name="add-ons - Kadija b4" sheetId="6" state="hidden" r:id="rId14"/>
    <sheet name="figuring out UI" sheetId="4" r:id="rId15"/>
    <sheet name="figuring NIPA tax changes" sheetId="3" r:id="rId16"/>
    <sheet name="figuring out social benefits" sheetId="2" r:id="rId17"/>
  </sheets>
  <externalReferences>
    <externalReference r:id="rId18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111" i="1" l="1"/>
  <c r="R111" i="1"/>
  <c r="S111" i="1"/>
  <c r="T111" i="1"/>
  <c r="U111" i="1"/>
  <c r="U113" i="1" s="1"/>
  <c r="V111" i="1"/>
  <c r="V113" i="1" s="1"/>
  <c r="Q113" i="1"/>
  <c r="R113" i="1"/>
  <c r="S113" i="1"/>
  <c r="T113" i="1"/>
  <c r="P111" i="1"/>
  <c r="P95" i="1"/>
  <c r="AA69" i="5"/>
  <c r="Z69" i="5"/>
  <c r="Y69" i="5"/>
  <c r="X69" i="5"/>
  <c r="W69" i="5"/>
  <c r="V69" i="5"/>
  <c r="U69" i="5"/>
  <c r="T69" i="5"/>
  <c r="S69" i="5"/>
  <c r="R69" i="5"/>
  <c r="Q69" i="5"/>
  <c r="P69" i="5"/>
  <c r="O69" i="5"/>
  <c r="N69" i="5"/>
  <c r="M69" i="5"/>
  <c r="L69" i="5"/>
  <c r="K69" i="5"/>
  <c r="J69" i="5"/>
  <c r="I69" i="5"/>
  <c r="H69" i="5"/>
  <c r="G69" i="5"/>
  <c r="F69" i="5"/>
  <c r="E69" i="5"/>
  <c r="F62" i="5"/>
  <c r="G62" i="5"/>
  <c r="H62" i="5"/>
  <c r="I62" i="5"/>
  <c r="J62" i="5"/>
  <c r="K62" i="5"/>
  <c r="L62" i="5"/>
  <c r="M62" i="5"/>
  <c r="N62" i="5"/>
  <c r="O62" i="5"/>
  <c r="P62" i="5"/>
  <c r="Q62" i="5"/>
  <c r="R62" i="5"/>
  <c r="S62" i="5"/>
  <c r="T62" i="5"/>
  <c r="U62" i="5"/>
  <c r="V62" i="5"/>
  <c r="W62" i="5"/>
  <c r="X62" i="5"/>
  <c r="Y62" i="5"/>
  <c r="Z62" i="5"/>
  <c r="AA62" i="5"/>
  <c r="E62" i="5"/>
  <c r="F55" i="5"/>
  <c r="G55" i="5"/>
  <c r="H55" i="5"/>
  <c r="I55" i="5"/>
  <c r="J55" i="5"/>
  <c r="K55" i="5"/>
  <c r="L55" i="5"/>
  <c r="M55" i="5"/>
  <c r="N55" i="5"/>
  <c r="O55" i="5"/>
  <c r="P55" i="5"/>
  <c r="Q55" i="5"/>
  <c r="R55" i="5"/>
  <c r="S55" i="5"/>
  <c r="T55" i="5"/>
  <c r="U55" i="5"/>
  <c r="V55" i="5"/>
  <c r="W55" i="5"/>
  <c r="X55" i="5"/>
  <c r="Y55" i="5"/>
  <c r="Z55" i="5"/>
  <c r="AA55" i="5"/>
  <c r="E55" i="5"/>
  <c r="M48" i="5"/>
  <c r="N48" i="5"/>
  <c r="O48" i="5"/>
  <c r="P48" i="5"/>
  <c r="Q48" i="5"/>
  <c r="R48" i="5"/>
  <c r="S48" i="5"/>
  <c r="T48" i="5"/>
  <c r="U48" i="5"/>
  <c r="V48" i="5"/>
  <c r="W48" i="5"/>
  <c r="X48" i="5"/>
  <c r="Y48" i="5"/>
  <c r="Z48" i="5"/>
  <c r="AA48" i="5"/>
  <c r="F48" i="5"/>
  <c r="G48" i="5"/>
  <c r="H48" i="5"/>
  <c r="I48" i="5"/>
  <c r="J48" i="5"/>
  <c r="K48" i="5"/>
  <c r="L48" i="5"/>
  <c r="E48" i="5"/>
  <c r="F42" i="5"/>
  <c r="G42" i="5"/>
  <c r="H42" i="5"/>
  <c r="I42" i="5"/>
  <c r="J42" i="5"/>
  <c r="K42" i="5"/>
  <c r="E42" i="5"/>
  <c r="F36" i="5"/>
  <c r="G36" i="5"/>
  <c r="H36" i="5"/>
  <c r="I36" i="5"/>
  <c r="J36" i="5"/>
  <c r="K36" i="5"/>
  <c r="E36" i="5"/>
  <c r="X29" i="5"/>
  <c r="Y29" i="5"/>
  <c r="Z29" i="5"/>
  <c r="AA29" i="5"/>
  <c r="M29" i="5"/>
  <c r="N29" i="5"/>
  <c r="O29" i="5"/>
  <c r="P29" i="5"/>
  <c r="Q29" i="5"/>
  <c r="R29" i="5"/>
  <c r="S29" i="5"/>
  <c r="T29" i="5"/>
  <c r="U29" i="5"/>
  <c r="V29" i="5"/>
  <c r="W29" i="5"/>
  <c r="F29" i="5"/>
  <c r="G29" i="5"/>
  <c r="H29" i="5"/>
  <c r="I29" i="5"/>
  <c r="J29" i="5"/>
  <c r="K29" i="5"/>
  <c r="L29" i="5"/>
  <c r="E29" i="5"/>
  <c r="X22" i="5"/>
  <c r="Y22" i="5"/>
  <c r="Z22" i="5"/>
  <c r="AA22" i="5"/>
  <c r="T22" i="5"/>
  <c r="U22" i="5"/>
  <c r="V22" i="5"/>
  <c r="W22" i="5"/>
  <c r="M22" i="5"/>
  <c r="N22" i="5"/>
  <c r="O22" i="5"/>
  <c r="P22" i="5"/>
  <c r="Q22" i="5"/>
  <c r="R22" i="5"/>
  <c r="S22" i="5"/>
  <c r="F22" i="5"/>
  <c r="G22" i="5"/>
  <c r="H22" i="5"/>
  <c r="I22" i="5"/>
  <c r="J22" i="5"/>
  <c r="K22" i="5"/>
  <c r="L22" i="5"/>
  <c r="E22" i="5"/>
  <c r="J16" i="9"/>
  <c r="J15" i="9"/>
  <c r="J14" i="9"/>
  <c r="F21" i="5"/>
  <c r="O106" i="1" l="1"/>
  <c r="O103" i="1"/>
  <c r="O100" i="1"/>
  <c r="O97" i="1"/>
  <c r="O93" i="1"/>
  <c r="O86" i="1"/>
  <c r="O85" i="1"/>
  <c r="O72" i="1"/>
  <c r="O68" i="1"/>
  <c r="O61" i="1"/>
  <c r="O60" i="1"/>
  <c r="O59" i="1"/>
  <c r="O57" i="1"/>
  <c r="O54" i="1"/>
  <c r="O41" i="1"/>
  <c r="O35" i="1"/>
  <c r="O34" i="1"/>
  <c r="N34" i="1" l="1"/>
  <c r="N29" i="1"/>
  <c r="O29" i="1"/>
  <c r="O28" i="1"/>
  <c r="O27" i="1"/>
  <c r="O21" i="1"/>
  <c r="N18" i="1"/>
  <c r="O18" i="1"/>
  <c r="O15" i="1"/>
  <c r="O12" i="1"/>
  <c r="N12" i="1"/>
  <c r="O7" i="1"/>
  <c r="O8" i="1" s="1"/>
  <c r="O5" i="1"/>
  <c r="N5" i="1"/>
  <c r="F11" i="1"/>
  <c r="G11" i="1"/>
  <c r="H11" i="1"/>
  <c r="I11" i="1"/>
  <c r="J11" i="1"/>
  <c r="K11" i="1"/>
  <c r="L11" i="1"/>
  <c r="AC12" i="1"/>
  <c r="AD12" i="1"/>
  <c r="AG12" i="1"/>
  <c r="N15" i="1"/>
  <c r="AC15" i="1"/>
  <c r="AD15" i="1"/>
  <c r="AG15" i="1"/>
  <c r="AC18" i="1"/>
  <c r="AD18" i="1"/>
  <c r="AG18" i="1"/>
  <c r="N21" i="1"/>
  <c r="AC21" i="1"/>
  <c r="AD21" i="1"/>
  <c r="AG21" i="1"/>
  <c r="G6" i="1"/>
  <c r="H6" i="1"/>
  <c r="I6" i="1"/>
  <c r="J6" i="1"/>
  <c r="K6" i="1"/>
  <c r="L6" i="1"/>
  <c r="N7" i="1"/>
  <c r="G8" i="1"/>
  <c r="H8" i="1"/>
  <c r="I8" i="1"/>
  <c r="J8" i="1"/>
  <c r="K8" i="1"/>
  <c r="L8" i="1"/>
  <c r="F26" i="1"/>
  <c r="G26" i="1"/>
  <c r="H26" i="1"/>
  <c r="I26" i="1"/>
  <c r="J26" i="1"/>
  <c r="K26" i="1"/>
  <c r="L26" i="1"/>
  <c r="N27" i="1"/>
  <c r="N28" i="1"/>
  <c r="F31" i="1"/>
  <c r="G31" i="1"/>
  <c r="H31" i="1"/>
  <c r="I31" i="1"/>
  <c r="J31" i="1"/>
  <c r="K31" i="1"/>
  <c r="L31" i="1"/>
  <c r="O6" i="1" l="1"/>
  <c r="P21" i="1"/>
  <c r="Q21" i="1" s="1"/>
  <c r="R21" i="1" s="1"/>
  <c r="S21" i="1" s="1"/>
  <c r="P18" i="1"/>
  <c r="Q18" i="1" s="1"/>
  <c r="R18" i="1" s="1"/>
  <c r="S18" i="1" s="1"/>
  <c r="T18" i="1" s="1"/>
  <c r="U18" i="1" s="1"/>
  <c r="V18" i="1" s="1"/>
  <c r="P15" i="1"/>
  <c r="Q15" i="1" s="1"/>
  <c r="R15" i="1" s="1"/>
  <c r="S15" i="1" s="1"/>
  <c r="T15" i="1" s="1"/>
  <c r="U15" i="1" s="1"/>
  <c r="V15" i="1" s="1"/>
  <c r="P7" i="1"/>
  <c r="Q7" i="1" s="1"/>
  <c r="R7" i="1" s="1"/>
  <c r="S7" i="1" s="1"/>
  <c r="T7" i="1" s="1"/>
  <c r="U7" i="1" s="1"/>
  <c r="V7" i="1" s="1"/>
  <c r="W7" i="1" s="1"/>
  <c r="X7" i="1" s="1"/>
  <c r="Y7" i="1" s="1"/>
  <c r="Z7" i="1" s="1"/>
  <c r="P29" i="1"/>
  <c r="Q29" i="1" s="1"/>
  <c r="R29" i="1" s="1"/>
  <c r="S29" i="1" s="1"/>
  <c r="T29" i="1" s="1"/>
  <c r="U29" i="1" s="1"/>
  <c r="V29" i="1" s="1"/>
  <c r="P28" i="1"/>
  <c r="Q28" i="1" s="1"/>
  <c r="R28" i="1" s="1"/>
  <c r="S28" i="1" s="1"/>
  <c r="T28" i="1" s="1"/>
  <c r="U28" i="1" s="1"/>
  <c r="V28" i="1" s="1"/>
  <c r="P5" i="1"/>
  <c r="Q5" i="1" s="1"/>
  <c r="R5" i="1" s="1"/>
  <c r="S5" i="1" s="1"/>
  <c r="T5" i="1" s="1"/>
  <c r="U5" i="1" s="1"/>
  <c r="V5" i="1" s="1"/>
  <c r="W5" i="1" s="1"/>
  <c r="X5" i="1" s="1"/>
  <c r="Y5" i="1" s="1"/>
  <c r="Z5" i="1" s="1"/>
  <c r="O11" i="1"/>
  <c r="P12" i="1"/>
  <c r="N11" i="1"/>
  <c r="AE18" i="1"/>
  <c r="N8" i="1"/>
  <c r="N6" i="1"/>
  <c r="N30" i="1" s="1"/>
  <c r="N31" i="1" s="1"/>
  <c r="N26" i="1"/>
  <c r="T21" i="1" l="1"/>
  <c r="U21" i="1" s="1"/>
  <c r="V21" i="1" s="1"/>
  <c r="AF21" i="1"/>
  <c r="AE21" i="1"/>
  <c r="AE15" i="1"/>
  <c r="AF15" i="1"/>
  <c r="P11" i="1"/>
  <c r="Q12" i="1"/>
  <c r="AF18" i="1"/>
  <c r="O30" i="1"/>
  <c r="P30" i="1" s="1"/>
  <c r="Q30" i="1" s="1"/>
  <c r="R30" i="1" s="1"/>
  <c r="S30" i="1" s="1"/>
  <c r="T30" i="1" s="1"/>
  <c r="U30" i="1" s="1"/>
  <c r="V30" i="1" s="1"/>
  <c r="O26" i="1"/>
  <c r="P27" i="1"/>
  <c r="B14" i="17"/>
  <c r="B15" i="17" s="1"/>
  <c r="C9" i="17"/>
  <c r="H7" i="17"/>
  <c r="E6" i="17"/>
  <c r="F6" i="17"/>
  <c r="G6" i="17"/>
  <c r="H6" i="17"/>
  <c r="I6" i="17"/>
  <c r="D6" i="17"/>
  <c r="D5" i="17"/>
  <c r="E5" i="17"/>
  <c r="F5" i="17"/>
  <c r="G5" i="17"/>
  <c r="H5" i="17"/>
  <c r="H9" i="17" s="1"/>
  <c r="C5" i="17"/>
  <c r="C4" i="17"/>
  <c r="D4" i="17"/>
  <c r="D9" i="17" s="1"/>
  <c r="E4" i="17"/>
  <c r="F4" i="17"/>
  <c r="G4" i="17"/>
  <c r="B4" i="17"/>
  <c r="B9" i="17" s="1"/>
  <c r="B12" i="17" s="1"/>
  <c r="B13" i="17" s="1"/>
  <c r="E2" i="17"/>
  <c r="E7" i="17" s="1"/>
  <c r="E9" i="17" l="1"/>
  <c r="F9" i="17"/>
  <c r="G7" i="17"/>
  <c r="G9" i="17" s="1"/>
  <c r="J7" i="17"/>
  <c r="J9" i="17" s="1"/>
  <c r="I7" i="17"/>
  <c r="I9" i="17" s="1"/>
  <c r="D12" i="17" s="1"/>
  <c r="D13" i="17" s="1"/>
  <c r="F7" i="17"/>
  <c r="C14" i="17"/>
  <c r="C15" i="17" s="1"/>
  <c r="Q11" i="1"/>
  <c r="R12" i="1"/>
  <c r="AE12" i="1"/>
  <c r="P26" i="1"/>
  <c r="Q27" i="1"/>
  <c r="C12" i="17" l="1"/>
  <c r="C13" i="17" s="1"/>
  <c r="R11" i="1"/>
  <c r="S12" i="1"/>
  <c r="Q26" i="1"/>
  <c r="R27" i="1"/>
  <c r="M72" i="1"/>
  <c r="L72" i="1"/>
  <c r="O11" i="9"/>
  <c r="O12" i="9"/>
  <c r="O13" i="9"/>
  <c r="O10" i="9"/>
  <c r="O7" i="9"/>
  <c r="O8" i="9"/>
  <c r="O9" i="9"/>
  <c r="O6" i="9"/>
  <c r="T12" i="1" l="1"/>
  <c r="S11" i="1"/>
  <c r="S27" i="1"/>
  <c r="R26" i="1"/>
  <c r="L73" i="1"/>
  <c r="T11" i="1" l="1"/>
  <c r="U12" i="1"/>
  <c r="AF12" i="1" s="1"/>
  <c r="S26" i="1"/>
  <c r="T27" i="1"/>
  <c r="L69" i="1"/>
  <c r="V12" i="1" l="1"/>
  <c r="V11" i="1" s="1"/>
  <c r="U11" i="1"/>
  <c r="T26" i="1"/>
  <c r="U27" i="1"/>
  <c r="M3" i="9"/>
  <c r="M4" i="9"/>
  <c r="M5" i="9"/>
  <c r="M2" i="9"/>
  <c r="K13" i="9"/>
  <c r="K14" i="9"/>
  <c r="K15" i="9"/>
  <c r="K16" i="9"/>
  <c r="K17" i="9"/>
  <c r="K18" i="9"/>
  <c r="K19" i="9"/>
  <c r="K20" i="9"/>
  <c r="K21" i="9"/>
  <c r="K22" i="9"/>
  <c r="K23" i="9"/>
  <c r="K24" i="9"/>
  <c r="V27" i="1" l="1"/>
  <c r="V26" i="1" s="1"/>
  <c r="U26" i="1"/>
  <c r="M73" i="1"/>
  <c r="M83" i="1" s="1"/>
  <c r="N73" i="1"/>
  <c r="D22" i="5"/>
  <c r="D29" i="5"/>
  <c r="D36" i="5"/>
  <c r="D42" i="5"/>
  <c r="D48" i="5"/>
  <c r="D55" i="5"/>
  <c r="O74" i="1"/>
  <c r="P74" i="1"/>
  <c r="Q74" i="1"/>
  <c r="R74" i="1"/>
  <c r="S74" i="1"/>
  <c r="M13" i="4" l="1"/>
  <c r="M12" i="4"/>
  <c r="M11" i="4"/>
  <c r="M10" i="4"/>
  <c r="T74" i="1"/>
  <c r="U74" i="1"/>
  <c r="V74" i="1"/>
  <c r="W74" i="1"/>
  <c r="X74" i="1"/>
  <c r="Y74" i="1"/>
  <c r="Z74" i="1"/>
  <c r="L12" i="9"/>
  <c r="L11" i="9"/>
  <c r="L10" i="9"/>
  <c r="L9" i="9"/>
  <c r="F28" i="5" l="1"/>
  <c r="F35" i="5"/>
  <c r="E41" i="5"/>
  <c r="F41" i="5"/>
  <c r="F47" i="5"/>
  <c r="K49" i="5" l="1"/>
  <c r="F50" i="5"/>
  <c r="F37" i="5"/>
  <c r="F31" i="5"/>
  <c r="F43" i="5"/>
  <c r="N37" i="1"/>
  <c r="N72" i="1"/>
  <c r="N106" i="1"/>
  <c r="N103" i="1"/>
  <c r="N100" i="1"/>
  <c r="N97" i="1"/>
  <c r="N93" i="1"/>
  <c r="N86" i="1"/>
  <c r="N85" i="1"/>
  <c r="N87" i="1" s="1"/>
  <c r="N68" i="1"/>
  <c r="N61" i="1"/>
  <c r="N60" i="1"/>
  <c r="N59" i="1"/>
  <c r="N57" i="1"/>
  <c r="N54" i="1"/>
  <c r="N49" i="1"/>
  <c r="N48" i="1"/>
  <c r="N41" i="1"/>
  <c r="N35" i="1"/>
  <c r="L102" i="1"/>
  <c r="N104" i="1" l="1"/>
  <c r="N108" i="1"/>
  <c r="N95" i="1"/>
  <c r="G35" i="5"/>
  <c r="G37" i="5" s="1"/>
  <c r="N102" i="1"/>
  <c r="N98" i="1"/>
  <c r="O98" i="1" s="1"/>
  <c r="P98" i="1" s="1"/>
  <c r="Q98" i="1" s="1"/>
  <c r="R98" i="1" s="1"/>
  <c r="S98" i="1" s="1"/>
  <c r="N112" i="1"/>
  <c r="G21" i="5" s="1"/>
  <c r="N70" i="1"/>
  <c r="N71" i="1" s="1"/>
  <c r="N58" i="1"/>
  <c r="N47" i="1"/>
  <c r="N40" i="1"/>
  <c r="G41" i="5"/>
  <c r="G43" i="5" s="1"/>
  <c r="N88" i="1"/>
  <c r="O71" i="1" l="1"/>
  <c r="P71" i="1" s="1"/>
  <c r="Q71" i="1" s="1"/>
  <c r="R71" i="1" s="1"/>
  <c r="S71" i="1" s="1"/>
  <c r="T71" i="1" s="1"/>
  <c r="U71" i="1" s="1"/>
  <c r="V71" i="1" s="1"/>
  <c r="W71" i="1" s="1"/>
  <c r="X71" i="1" s="1"/>
  <c r="Y71" i="1" s="1"/>
  <c r="Z71" i="1" s="1"/>
  <c r="N83" i="1"/>
  <c r="F24" i="5"/>
  <c r="G47" i="5"/>
  <c r="G50" i="5" s="1"/>
  <c r="N55" i="1"/>
  <c r="N50" i="1"/>
  <c r="O26" i="4"/>
  <c r="N26" i="4"/>
  <c r="L112" i="1"/>
  <c r="E21" i="5" s="1"/>
  <c r="K112" i="1"/>
  <c r="J112" i="1"/>
  <c r="I112" i="1"/>
  <c r="H112" i="1"/>
  <c r="G112" i="1"/>
  <c r="F112" i="1"/>
  <c r="N51" i="1" l="1"/>
  <c r="B21" i="16"/>
  <c r="C20" i="16"/>
  <c r="S66" i="1" s="1"/>
  <c r="S55" i="1" s="1"/>
  <c r="C19" i="16"/>
  <c r="R39" i="1" s="1"/>
  <c r="C18" i="16"/>
  <c r="C17" i="16"/>
  <c r="B16" i="16"/>
  <c r="C16" i="16" s="1"/>
  <c r="C15" i="16"/>
  <c r="P38" i="1" s="1"/>
  <c r="B13" i="16"/>
  <c r="C13" i="16" s="1"/>
  <c r="V79" i="1" s="1"/>
  <c r="B10" i="16"/>
  <c r="C10" i="16" s="1"/>
  <c r="U81" i="1" s="1"/>
  <c r="C9" i="16"/>
  <c r="C8" i="16"/>
  <c r="C7" i="16"/>
  <c r="C14" i="16"/>
  <c r="C12" i="16"/>
  <c r="P64" i="1" s="1"/>
  <c r="Q64" i="1" s="1"/>
  <c r="C11" i="16"/>
  <c r="C6" i="16"/>
  <c r="C5" i="16"/>
  <c r="C4" i="16"/>
  <c r="O37" i="1" s="1"/>
  <c r="P5" i="9" s="1"/>
  <c r="C3" i="16"/>
  <c r="O45" i="1" s="1"/>
  <c r="C2" i="16"/>
  <c r="AD93" i="1"/>
  <c r="AC93" i="1"/>
  <c r="AI93" i="1"/>
  <c r="AJ93" i="1"/>
  <c r="AK93" i="1"/>
  <c r="W94" i="1"/>
  <c r="X94" i="1"/>
  <c r="Y94" i="1"/>
  <c r="Z94" i="1"/>
  <c r="O92" i="1" l="1"/>
  <c r="P92" i="1"/>
  <c r="Q92" i="1"/>
  <c r="R92" i="1"/>
  <c r="O63" i="1"/>
  <c r="P63" i="1"/>
  <c r="P91" i="1"/>
  <c r="Q91" i="1"/>
  <c r="R91" i="1"/>
  <c r="O91" i="1"/>
  <c r="T80" i="1"/>
  <c r="O80" i="1"/>
  <c r="O90" i="1"/>
  <c r="P90" i="1"/>
  <c r="Q90" i="1"/>
  <c r="R90" i="1"/>
  <c r="P79" i="1"/>
  <c r="O79" i="1"/>
  <c r="W79" i="1"/>
  <c r="W80" i="1"/>
  <c r="T66" i="1"/>
  <c r="X80" i="1"/>
  <c r="Z80" i="1"/>
  <c r="X79" i="1"/>
  <c r="V81" i="1"/>
  <c r="Y79" i="1"/>
  <c r="W81" i="1"/>
  <c r="Z79" i="1"/>
  <c r="X81" i="1"/>
  <c r="Y80" i="1"/>
  <c r="Y81" i="1"/>
  <c r="P80" i="1"/>
  <c r="Z81" i="1"/>
  <c r="Q80" i="1"/>
  <c r="U80" i="1"/>
  <c r="V80" i="1"/>
  <c r="Z82" i="1"/>
  <c r="Y82" i="1"/>
  <c r="X82" i="1"/>
  <c r="W82" i="1"/>
  <c r="V82" i="1"/>
  <c r="O82" i="1"/>
  <c r="U82" i="1"/>
  <c r="T82" i="1"/>
  <c r="S82" i="1"/>
  <c r="R82" i="1"/>
  <c r="Q82" i="1"/>
  <c r="P82" i="1"/>
  <c r="U66" i="1"/>
  <c r="V66" i="1"/>
  <c r="O39" i="1"/>
  <c r="O66" i="1"/>
  <c r="P39" i="1"/>
  <c r="Q39" i="1"/>
  <c r="O81" i="1"/>
  <c r="Q79" i="1"/>
  <c r="P81" i="1"/>
  <c r="O38" i="1"/>
  <c r="R79" i="1"/>
  <c r="Q81" i="1"/>
  <c r="R66" i="1"/>
  <c r="S79" i="1"/>
  <c r="R81" i="1"/>
  <c r="Q66" i="1"/>
  <c r="T79" i="1"/>
  <c r="R80" i="1"/>
  <c r="S81" i="1"/>
  <c r="P66" i="1"/>
  <c r="U79" i="1"/>
  <c r="S80" i="1"/>
  <c r="T81" i="1"/>
  <c r="W54" i="1"/>
  <c r="X54" i="1"/>
  <c r="Y54" i="1"/>
  <c r="Z54" i="1"/>
  <c r="Z95" i="1"/>
  <c r="D27" i="15"/>
  <c r="D26" i="15"/>
  <c r="C16" i="15" s="1"/>
  <c r="L21" i="15"/>
  <c r="F17" i="15"/>
  <c r="G17" i="15" s="1"/>
  <c r="C17" i="15"/>
  <c r="L16" i="15"/>
  <c r="L15" i="15"/>
  <c r="D6" i="15"/>
  <c r="P6" i="15" s="1"/>
  <c r="C6" i="15"/>
  <c r="D7" i="15" s="1"/>
  <c r="D5" i="15"/>
  <c r="E5" i="15" s="1"/>
  <c r="O55" i="1" l="1"/>
  <c r="R89" i="1"/>
  <c r="Q89" i="1"/>
  <c r="P89" i="1"/>
  <c r="O89" i="1"/>
  <c r="V78" i="1"/>
  <c r="V73" i="1" s="1"/>
  <c r="W78" i="1"/>
  <c r="W73" i="1" s="1"/>
  <c r="Y78" i="1"/>
  <c r="Y73" i="1" s="1"/>
  <c r="Z78" i="1"/>
  <c r="Z73" i="1" s="1"/>
  <c r="U78" i="1"/>
  <c r="U73" i="1" s="1"/>
  <c r="X78" i="1"/>
  <c r="X73" i="1" s="1"/>
  <c r="P78" i="1"/>
  <c r="P73" i="1" s="1"/>
  <c r="Q78" i="1"/>
  <c r="Q73" i="1" s="1"/>
  <c r="O78" i="1"/>
  <c r="O73" i="1" s="1"/>
  <c r="T78" i="1"/>
  <c r="T73" i="1" s="1"/>
  <c r="S78" i="1"/>
  <c r="S73" i="1" s="1"/>
  <c r="R78" i="1"/>
  <c r="R73" i="1" s="1"/>
  <c r="D28" i="15"/>
  <c r="C15" i="15" s="1"/>
  <c r="F5" i="15"/>
  <c r="E7" i="15"/>
  <c r="E9" i="15"/>
  <c r="D19" i="15"/>
  <c r="D18" i="15"/>
  <c r="D8" i="15"/>
  <c r="D9" i="15"/>
  <c r="H17" i="15"/>
  <c r="H18" i="15" l="1"/>
  <c r="G20" i="15"/>
  <c r="D20" i="15"/>
  <c r="F18" i="15"/>
  <c r="E20" i="15"/>
  <c r="G18" i="15"/>
  <c r="E18" i="15"/>
  <c r="F20" i="15"/>
  <c r="I17" i="15"/>
  <c r="H20" i="15"/>
  <c r="G5" i="15"/>
  <c r="F7" i="15"/>
  <c r="F9" i="15"/>
  <c r="G7" i="15" l="1"/>
  <c r="G9" i="15"/>
  <c r="H5" i="15"/>
  <c r="J17" i="15"/>
  <c r="I20" i="15"/>
  <c r="I18" i="15"/>
  <c r="I5" i="15" l="1"/>
  <c r="H9" i="15"/>
  <c r="H7" i="15"/>
  <c r="J20" i="15"/>
  <c r="K17" i="15"/>
  <c r="J18" i="15"/>
  <c r="L17" i="15"/>
  <c r="O107" i="1" l="1"/>
  <c r="P107" i="1" s="1"/>
  <c r="Q107" i="1" s="1"/>
  <c r="R107" i="1" s="1"/>
  <c r="S107" i="1" s="1"/>
  <c r="K20" i="15"/>
  <c r="L20" i="15" s="1"/>
  <c r="K18" i="15"/>
  <c r="I9" i="15"/>
  <c r="J5" i="15"/>
  <c r="I7" i="15"/>
  <c r="J9" i="15" l="1"/>
  <c r="K5" i="15"/>
  <c r="J7" i="15"/>
  <c r="E46" i="11"/>
  <c r="F46" i="11"/>
  <c r="G46" i="11"/>
  <c r="H46" i="11"/>
  <c r="I46" i="11"/>
  <c r="J46" i="11"/>
  <c r="K46" i="11"/>
  <c r="L46" i="11"/>
  <c r="L47" i="11" s="1"/>
  <c r="M46" i="11"/>
  <c r="M47" i="11" s="1"/>
  <c r="N46" i="11"/>
  <c r="O46" i="11"/>
  <c r="P46" i="11"/>
  <c r="Q46" i="11"/>
  <c r="R46" i="11"/>
  <c r="S46" i="11"/>
  <c r="S47" i="11" s="1"/>
  <c r="T46" i="11"/>
  <c r="U46" i="11"/>
  <c r="U47" i="11" s="1"/>
  <c r="V46" i="11"/>
  <c r="V47" i="11" s="1"/>
  <c r="W46" i="11"/>
  <c r="W47" i="11" s="1"/>
  <c r="X46" i="11"/>
  <c r="X47" i="11" s="1"/>
  <c r="Y46" i="11"/>
  <c r="Y47" i="11" s="1"/>
  <c r="Z46" i="11"/>
  <c r="AA46" i="11"/>
  <c r="D46" i="11"/>
  <c r="E39" i="11"/>
  <c r="F39" i="11"/>
  <c r="G39" i="11"/>
  <c r="H39" i="11"/>
  <c r="I39" i="11"/>
  <c r="J39" i="11"/>
  <c r="K39" i="11"/>
  <c r="K40" i="11" s="1"/>
  <c r="L39" i="11"/>
  <c r="M39" i="11"/>
  <c r="N39" i="11"/>
  <c r="O39" i="11"/>
  <c r="P39" i="11"/>
  <c r="Q39" i="11"/>
  <c r="R39" i="11"/>
  <c r="S39" i="11"/>
  <c r="S40" i="11" s="1"/>
  <c r="T39" i="11"/>
  <c r="U39" i="11"/>
  <c r="V39" i="11"/>
  <c r="W39" i="11"/>
  <c r="W40" i="11" s="1"/>
  <c r="X39" i="11"/>
  <c r="X40" i="11" s="1"/>
  <c r="Y39" i="11"/>
  <c r="Z39" i="11"/>
  <c r="AA39" i="11"/>
  <c r="D39" i="11"/>
  <c r="AA32" i="11"/>
  <c r="Z32" i="11"/>
  <c r="Y32" i="11"/>
  <c r="X32" i="11"/>
  <c r="W32" i="11"/>
  <c r="V32" i="11"/>
  <c r="U32" i="11"/>
  <c r="T32" i="11"/>
  <c r="S32" i="11"/>
  <c r="R32" i="11"/>
  <c r="Q32" i="11"/>
  <c r="P32" i="11"/>
  <c r="O32" i="11"/>
  <c r="N32" i="11"/>
  <c r="M32" i="11"/>
  <c r="L32" i="11"/>
  <c r="K32" i="11"/>
  <c r="J32" i="11"/>
  <c r="I32" i="11"/>
  <c r="H32" i="11"/>
  <c r="G32" i="11"/>
  <c r="F32" i="11"/>
  <c r="E32" i="11"/>
  <c r="D32" i="11"/>
  <c r="AA25" i="11"/>
  <c r="Z25" i="11"/>
  <c r="Y25" i="11"/>
  <c r="X25" i="11"/>
  <c r="W25" i="11"/>
  <c r="V25" i="11"/>
  <c r="U25" i="11"/>
  <c r="T25" i="11"/>
  <c r="S25" i="11"/>
  <c r="R25" i="11"/>
  <c r="Q25" i="11"/>
  <c r="P25" i="11"/>
  <c r="O25" i="11"/>
  <c r="N25" i="11"/>
  <c r="M25" i="11"/>
  <c r="L25" i="11"/>
  <c r="K25" i="11"/>
  <c r="J25" i="11"/>
  <c r="I25" i="11"/>
  <c r="H25" i="11"/>
  <c r="G25" i="11"/>
  <c r="F25" i="11"/>
  <c r="E25" i="11"/>
  <c r="D25" i="11"/>
  <c r="E6" i="10"/>
  <c r="F6" i="10"/>
  <c r="G6" i="10"/>
  <c r="H6" i="10"/>
  <c r="I6" i="10"/>
  <c r="D24" i="11" s="1"/>
  <c r="J6" i="10"/>
  <c r="E24" i="11" s="1"/>
  <c r="K6" i="10"/>
  <c r="F24" i="11" s="1"/>
  <c r="D6" i="10"/>
  <c r="D4" i="10"/>
  <c r="E4" i="10"/>
  <c r="F4" i="10"/>
  <c r="G4" i="10"/>
  <c r="H4" i="10"/>
  <c r="I4" i="10"/>
  <c r="K4" i="10"/>
  <c r="F38" i="11" s="1"/>
  <c r="J4" i="10"/>
  <c r="E38" i="11" s="1"/>
  <c r="L95" i="1"/>
  <c r="E47" i="5" s="1"/>
  <c r="E3" i="10"/>
  <c r="F3" i="10"/>
  <c r="G3" i="10"/>
  <c r="H3" i="10"/>
  <c r="I3" i="10"/>
  <c r="D45" i="11" s="1"/>
  <c r="J3" i="10"/>
  <c r="E45" i="11" s="1"/>
  <c r="K3" i="10"/>
  <c r="F45" i="11" s="1"/>
  <c r="T3" i="10"/>
  <c r="D3" i="10"/>
  <c r="E5" i="10"/>
  <c r="F5" i="10"/>
  <c r="G5" i="10"/>
  <c r="H5" i="10"/>
  <c r="I5" i="10"/>
  <c r="J5" i="10"/>
  <c r="E31" i="11" s="1"/>
  <c r="K5" i="10"/>
  <c r="F31" i="11" s="1"/>
  <c r="D5" i="10"/>
  <c r="AA47" i="11" l="1"/>
  <c r="O47" i="11"/>
  <c r="P47" i="11"/>
  <c r="O26" i="11"/>
  <c r="P33" i="11"/>
  <c r="R40" i="11"/>
  <c r="AA26" i="11"/>
  <c r="AA33" i="11"/>
  <c r="L5" i="15"/>
  <c r="K7" i="15"/>
  <c r="K9" i="15"/>
  <c r="Z40" i="11"/>
  <c r="L40" i="11"/>
  <c r="Q33" i="11"/>
  <c r="Q47" i="11"/>
  <c r="T26" i="11"/>
  <c r="V40" i="11"/>
  <c r="U33" i="11"/>
  <c r="V33" i="11"/>
  <c r="T40" i="11"/>
  <c r="T47" i="11"/>
  <c r="U26" i="11"/>
  <c r="X26" i="11"/>
  <c r="R47" i="11"/>
  <c r="N26" i="11"/>
  <c r="Z26" i="11"/>
  <c r="Z33" i="11"/>
  <c r="Y40" i="11"/>
  <c r="Y26" i="11"/>
  <c r="Z47" i="11"/>
  <c r="N47" i="11"/>
  <c r="F27" i="11"/>
  <c r="F34" i="11"/>
  <c r="F41" i="11"/>
  <c r="F48" i="11"/>
  <c r="N33" i="11"/>
  <c r="U40" i="11"/>
  <c r="Q40" i="11"/>
  <c r="S26" i="11"/>
  <c r="AA40" i="11"/>
  <c r="O40" i="11"/>
  <c r="Y33" i="11"/>
  <c r="R26" i="11"/>
  <c r="O33" i="11"/>
  <c r="M40" i="11"/>
  <c r="W33" i="11"/>
  <c r="P26" i="11"/>
  <c r="Q26" i="11"/>
  <c r="R33" i="11"/>
  <c r="S33" i="11"/>
  <c r="X33" i="11"/>
  <c r="V26" i="11"/>
  <c r="T33" i="11"/>
  <c r="N40" i="11"/>
  <c r="M33" i="11"/>
  <c r="P40" i="11"/>
  <c r="W26" i="11"/>
  <c r="Y112" i="1"/>
  <c r="X112" i="1"/>
  <c r="W112" i="1"/>
  <c r="Y111" i="1"/>
  <c r="X111" i="1"/>
  <c r="W111" i="1"/>
  <c r="G104" i="1"/>
  <c r="H104" i="1"/>
  <c r="I104" i="1"/>
  <c r="J104" i="1"/>
  <c r="K104" i="1"/>
  <c r="L104" i="1"/>
  <c r="L108" i="1"/>
  <c r="K108" i="1"/>
  <c r="W113" i="1" l="1"/>
  <c r="X113" i="1"/>
  <c r="Y113" i="1"/>
  <c r="M5" i="15"/>
  <c r="L7" i="15"/>
  <c r="L9" i="15"/>
  <c r="N5" i="15" l="1"/>
  <c r="M7" i="15"/>
  <c r="M9" i="15"/>
  <c r="L58" i="1"/>
  <c r="O5" i="15" l="1"/>
  <c r="N9" i="15"/>
  <c r="N7" i="15"/>
  <c r="AL35" i="1"/>
  <c r="AK35" i="1"/>
  <c r="AJ35" i="1"/>
  <c r="AI35" i="1"/>
  <c r="H50" i="1"/>
  <c r="W56" i="5"/>
  <c r="Q63" i="5" l="1"/>
  <c r="Z30" i="5"/>
  <c r="U70" i="5"/>
  <c r="M56" i="5"/>
  <c r="X56" i="5"/>
  <c r="AA30" i="5"/>
  <c r="T56" i="5"/>
  <c r="T70" i="5"/>
  <c r="AA70" i="5"/>
  <c r="Q23" i="5"/>
  <c r="W70" i="5"/>
  <c r="R30" i="5"/>
  <c r="O7" i="15"/>
  <c r="O9" i="15"/>
  <c r="P9" i="15" s="1"/>
  <c r="P5" i="15"/>
  <c r="R23" i="5"/>
  <c r="R56" i="5"/>
  <c r="Z70" i="5"/>
  <c r="Y56" i="5"/>
  <c r="Q56" i="5"/>
  <c r="AA23" i="5"/>
  <c r="X63" i="5"/>
  <c r="P63" i="5"/>
  <c r="T23" i="5"/>
  <c r="V56" i="5"/>
  <c r="P56" i="5"/>
  <c r="P49" i="5"/>
  <c r="V70" i="5"/>
  <c r="Q30" i="5"/>
  <c r="U23" i="5"/>
  <c r="U56" i="5"/>
  <c r="S70" i="5"/>
  <c r="O30" i="5"/>
  <c r="S56" i="5"/>
  <c r="Y63" i="5"/>
  <c r="W30" i="5"/>
  <c r="AA56" i="5"/>
  <c r="O56" i="5"/>
  <c r="U30" i="5"/>
  <c r="S49" i="5"/>
  <c r="Z56" i="5"/>
  <c r="N56" i="5"/>
  <c r="T63" i="5"/>
  <c r="X70" i="5"/>
  <c r="T30" i="5"/>
  <c r="Y49" i="5"/>
  <c r="AA49" i="5"/>
  <c r="R49" i="5"/>
  <c r="O23" i="5"/>
  <c r="V23" i="5"/>
  <c r="N23" i="5"/>
  <c r="P23" i="5"/>
  <c r="S23" i="5"/>
  <c r="W23" i="5"/>
  <c r="Y23" i="5"/>
  <c r="Z23" i="5"/>
  <c r="T49" i="5"/>
  <c r="N49" i="5"/>
  <c r="X23" i="5"/>
  <c r="M49" i="5"/>
  <c r="Z49" i="5"/>
  <c r="V49" i="5"/>
  <c r="Y30" i="5"/>
  <c r="Q49" i="5"/>
  <c r="U49" i="5"/>
  <c r="X49" i="5"/>
  <c r="Y70" i="5"/>
  <c r="W49" i="5"/>
  <c r="O49" i="5"/>
  <c r="AA63" i="5"/>
  <c r="S63" i="5"/>
  <c r="P30" i="5"/>
  <c r="S30" i="5"/>
  <c r="X30" i="5"/>
  <c r="V30" i="5"/>
  <c r="U63" i="5"/>
  <c r="W63" i="5"/>
  <c r="O63" i="5"/>
  <c r="V63" i="5"/>
  <c r="N63" i="5"/>
  <c r="Z63" i="5"/>
  <c r="R63" i="5"/>
  <c r="P35" i="1" l="1"/>
  <c r="Q35" i="1" s="1"/>
  <c r="R35" i="1" s="1"/>
  <c r="L4" i="10"/>
  <c r="G38" i="11" s="1"/>
  <c r="G41" i="11" s="1"/>
  <c r="Q70" i="5"/>
  <c r="R70" i="5"/>
  <c r="P57" i="1"/>
  <c r="P55" i="1" s="1"/>
  <c r="Q57" i="1"/>
  <c r="Q55" i="1" s="1"/>
  <c r="R57" i="1"/>
  <c r="R55" i="1" s="1"/>
  <c r="T57" i="1"/>
  <c r="U57" i="1"/>
  <c r="V57" i="1"/>
  <c r="T58" i="1"/>
  <c r="U58" i="1"/>
  <c r="V58" i="1"/>
  <c r="V55" i="1" l="1"/>
  <c r="T55" i="1"/>
  <c r="U55" i="1"/>
  <c r="M4" i="10"/>
  <c r="H38" i="11" s="1"/>
  <c r="H41" i="11" s="1"/>
  <c r="M63" i="5"/>
  <c r="T17" i="4"/>
  <c r="U17" i="4"/>
  <c r="V17" i="4"/>
  <c r="W17" i="4"/>
  <c r="N4" i="10" l="1"/>
  <c r="I38" i="11" s="1"/>
  <c r="I41" i="11" s="1"/>
  <c r="N30" i="5"/>
  <c r="M30" i="5"/>
  <c r="W18" i="4"/>
  <c r="V46" i="1" s="1"/>
  <c r="M12" i="9" s="1"/>
  <c r="K12" i="9" s="1"/>
  <c r="V18" i="4"/>
  <c r="U46" i="1" s="1"/>
  <c r="M11" i="9" s="1"/>
  <c r="K11" i="9" s="1"/>
  <c r="U18" i="4"/>
  <c r="T46" i="1" s="1"/>
  <c r="M10" i="9" s="1"/>
  <c r="K10" i="9" s="1"/>
  <c r="T18" i="4"/>
  <c r="S46" i="1" s="1"/>
  <c r="M9" i="9" s="1"/>
  <c r="K9" i="9" s="1"/>
  <c r="F29" i="4"/>
  <c r="V33" i="4"/>
  <c r="V26" i="4" s="1"/>
  <c r="U33" i="4"/>
  <c r="U26" i="4" s="1"/>
  <c r="T33" i="4"/>
  <c r="T26" i="4" s="1"/>
  <c r="S33" i="4"/>
  <c r="S37" i="4" s="1"/>
  <c r="V54" i="1"/>
  <c r="U54" i="1"/>
  <c r="T54" i="1"/>
  <c r="S54" i="1"/>
  <c r="L61" i="5" s="1"/>
  <c r="U40" i="1" l="1"/>
  <c r="V40" i="1"/>
  <c r="S40" i="1"/>
  <c r="T40" i="1"/>
  <c r="O4" i="10"/>
  <c r="J38" i="11" s="1"/>
  <c r="S26" i="4"/>
  <c r="M61" i="5"/>
  <c r="L64" i="5"/>
  <c r="E35" i="5"/>
  <c r="J41" i="11" l="1"/>
  <c r="K38" i="11"/>
  <c r="S35" i="1"/>
  <c r="P4" i="10"/>
  <c r="M64" i="5"/>
  <c r="N61" i="5"/>
  <c r="T35" i="1" l="1"/>
  <c r="Q4" i="10"/>
  <c r="L38" i="11"/>
  <c r="K41" i="11"/>
  <c r="N64" i="5"/>
  <c r="O61" i="5"/>
  <c r="M38" i="11" l="1"/>
  <c r="L41" i="11"/>
  <c r="U35" i="1"/>
  <c r="R4" i="10"/>
  <c r="P61" i="5"/>
  <c r="O64" i="5"/>
  <c r="V35" i="1" l="1"/>
  <c r="S4" i="10"/>
  <c r="N38" i="11"/>
  <c r="M41" i="11"/>
  <c r="Q61" i="5"/>
  <c r="P64" i="5"/>
  <c r="O38" i="11" l="1"/>
  <c r="N41" i="11"/>
  <c r="W35" i="1"/>
  <c r="W95" i="1" s="1"/>
  <c r="T4" i="10"/>
  <c r="Q64" i="5"/>
  <c r="R61" i="5"/>
  <c r="X35" i="1" l="1"/>
  <c r="X95" i="1" s="1"/>
  <c r="U4" i="10"/>
  <c r="P38" i="11"/>
  <c r="O41" i="11"/>
  <c r="S61" i="5"/>
  <c r="R64" i="5"/>
  <c r="Q38" i="11" l="1"/>
  <c r="P41" i="11"/>
  <c r="Y35" i="1"/>
  <c r="V4" i="10"/>
  <c r="T61" i="5"/>
  <c r="S64" i="5"/>
  <c r="W4" i="10" l="1"/>
  <c r="Y95" i="1"/>
  <c r="R38" i="11"/>
  <c r="Q41" i="11"/>
  <c r="T64" i="5"/>
  <c r="U61" i="5"/>
  <c r="S38" i="11" l="1"/>
  <c r="R41" i="11"/>
  <c r="V61" i="5"/>
  <c r="U64" i="5"/>
  <c r="T38" i="11" l="1"/>
  <c r="S41" i="11"/>
  <c r="W61" i="5"/>
  <c r="V64" i="5"/>
  <c r="U38" i="11" l="1"/>
  <c r="T41" i="11"/>
  <c r="X61" i="5"/>
  <c r="W64" i="5"/>
  <c r="V38" i="11" l="1"/>
  <c r="U41" i="11"/>
  <c r="X64" i="5"/>
  <c r="Y61" i="5"/>
  <c r="D27" i="8"/>
  <c r="D26" i="8"/>
  <c r="C16" i="8" s="1"/>
  <c r="L21" i="8"/>
  <c r="F17" i="8"/>
  <c r="G17" i="8" s="1"/>
  <c r="H17" i="8" s="1"/>
  <c r="C17" i="8"/>
  <c r="L16" i="8"/>
  <c r="L15" i="8"/>
  <c r="D6" i="8"/>
  <c r="P6" i="8" s="1"/>
  <c r="C6" i="8"/>
  <c r="D7" i="8" s="1"/>
  <c r="D5" i="8"/>
  <c r="E5" i="8" s="1"/>
  <c r="D28" i="8" l="1"/>
  <c r="C15" i="8" s="1"/>
  <c r="H20" i="8" s="1"/>
  <c r="D8" i="8"/>
  <c r="W38" i="11"/>
  <c r="V41" i="11"/>
  <c r="Z61" i="5"/>
  <c r="Y64" i="5"/>
  <c r="E7" i="8"/>
  <c r="F5" i="8"/>
  <c r="E9" i="8"/>
  <c r="I17" i="8"/>
  <c r="I18" i="8" s="1"/>
  <c r="H18" i="8"/>
  <c r="D9" i="8"/>
  <c r="D18" i="8"/>
  <c r="D19" i="8"/>
  <c r="E18" i="8"/>
  <c r="D20" i="8"/>
  <c r="F18" i="8"/>
  <c r="E20" i="8"/>
  <c r="G18" i="8"/>
  <c r="F20" i="8"/>
  <c r="G20" i="8"/>
  <c r="X38" i="11" l="1"/>
  <c r="W41" i="11"/>
  <c r="AA61" i="5"/>
  <c r="AA64" i="5" s="1"/>
  <c r="Z64" i="5"/>
  <c r="J17" i="8"/>
  <c r="I20" i="8"/>
  <c r="G5" i="8"/>
  <c r="F7" i="8"/>
  <c r="F9" i="8"/>
  <c r="Y38" i="11" l="1"/>
  <c r="X41" i="11"/>
  <c r="H5" i="8"/>
  <c r="G9" i="8"/>
  <c r="G7" i="8"/>
  <c r="K17" i="8"/>
  <c r="L17" i="8" s="1"/>
  <c r="J18" i="8"/>
  <c r="J20" i="8"/>
  <c r="Z38" i="11" l="1"/>
  <c r="Y41" i="11"/>
  <c r="K20" i="8"/>
  <c r="L20" i="8" s="1"/>
  <c r="K18" i="8"/>
  <c r="H9" i="8"/>
  <c r="H7" i="8"/>
  <c r="I5" i="8"/>
  <c r="AA38" i="11" l="1"/>
  <c r="AA41" i="11" s="1"/>
  <c r="Z41" i="11"/>
  <c r="I9" i="8"/>
  <c r="J5" i="8"/>
  <c r="I7" i="8"/>
  <c r="F2" i="12" l="1" a="1"/>
  <c r="F2" i="12" s="1"/>
  <c r="K5" i="8"/>
  <c r="J9" i="8"/>
  <c r="J7" i="8"/>
  <c r="F3" i="12" l="1"/>
  <c r="F12" i="12"/>
  <c r="F18" i="12"/>
  <c r="F6" i="12"/>
  <c r="F14" i="12"/>
  <c r="F8" i="12"/>
  <c r="F17" i="12"/>
  <c r="F20" i="12"/>
  <c r="F4" i="12"/>
  <c r="F15" i="12"/>
  <c r="F21" i="12"/>
  <c r="F10" i="12"/>
  <c r="F9" i="12"/>
  <c r="F11" i="12"/>
  <c r="F13" i="12"/>
  <c r="F7" i="12"/>
  <c r="F22" i="12"/>
  <c r="F5" i="12"/>
  <c r="F16" i="12"/>
  <c r="F19" i="12"/>
  <c r="F23" i="12"/>
  <c r="L5" i="8"/>
  <c r="K9" i="8"/>
  <c r="K7" i="8"/>
  <c r="M5" i="8" l="1"/>
  <c r="L7" i="8"/>
  <c r="L9" i="8"/>
  <c r="M7" i="8" l="1"/>
  <c r="N5" i="8"/>
  <c r="M9" i="8"/>
  <c r="O5" i="8" l="1"/>
  <c r="N7" i="8"/>
  <c r="N9" i="8"/>
  <c r="O9" i="8" l="1"/>
  <c r="P9" i="8" s="1"/>
  <c r="O7" i="8"/>
  <c r="P5" i="8"/>
  <c r="L98" i="1" l="1"/>
  <c r="K98" i="1"/>
  <c r="J98" i="1"/>
  <c r="I98" i="1"/>
  <c r="H98" i="1"/>
  <c r="G98" i="1"/>
  <c r="F98" i="1"/>
  <c r="G70" i="1"/>
  <c r="H70" i="1"/>
  <c r="I70" i="1"/>
  <c r="J70" i="1"/>
  <c r="K70" i="1"/>
  <c r="L70" i="1"/>
  <c r="L71" i="1" s="1"/>
  <c r="F70" i="1"/>
  <c r="J102" i="1"/>
  <c r="K102" i="1"/>
  <c r="G102" i="1"/>
  <c r="H102" i="1"/>
  <c r="I102" i="1"/>
  <c r="F102" i="1"/>
  <c r="F15" i="7" l="1"/>
  <c r="F13" i="7" s="1"/>
  <c r="L83" i="1"/>
  <c r="E68" i="5" s="1"/>
  <c r="J2" i="9" s="1"/>
  <c r="K83" i="1"/>
  <c r="T107" i="1"/>
  <c r="I15" i="7" l="1"/>
  <c r="I13" i="7" s="1"/>
  <c r="AK100" i="1" s="1"/>
  <c r="K15" i="7"/>
  <c r="K13" i="7" s="1"/>
  <c r="H15" i="7"/>
  <c r="H13" i="7" s="1"/>
  <c r="AJ100" i="1" s="1"/>
  <c r="G15" i="7"/>
  <c r="G13" i="7" s="1"/>
  <c r="AI100" i="1" s="1"/>
  <c r="J15" i="7"/>
  <c r="J13" i="7" s="1"/>
  <c r="U107" i="1"/>
  <c r="V107" i="1" s="1"/>
  <c r="P103" i="1"/>
  <c r="Q103" i="1" s="1"/>
  <c r="R103" i="1" s="1"/>
  <c r="S103" i="1" s="1"/>
  <c r="T103" i="1" s="1"/>
  <c r="U103" i="1" s="1"/>
  <c r="V103" i="1" s="1"/>
  <c r="AD100" i="1"/>
  <c r="F111" i="1"/>
  <c r="F113" i="1" s="1"/>
  <c r="L47" i="1"/>
  <c r="L15" i="7" l="1"/>
  <c r="L13" i="7" s="1"/>
  <c r="L6" i="10"/>
  <c r="G24" i="11" s="1"/>
  <c r="G27" i="11" s="1"/>
  <c r="K81" i="6"/>
  <c r="J81" i="6"/>
  <c r="I81" i="6"/>
  <c r="H81" i="6"/>
  <c r="G81" i="6"/>
  <c r="F81" i="6"/>
  <c r="E81" i="6"/>
  <c r="D81" i="6"/>
  <c r="D76" i="6" s="1"/>
  <c r="D80" i="6" s="1"/>
  <c r="K77" i="6"/>
  <c r="J77" i="6"/>
  <c r="I77" i="6"/>
  <c r="H77" i="6"/>
  <c r="G77" i="6"/>
  <c r="F77" i="6"/>
  <c r="K71" i="6"/>
  <c r="J71" i="6"/>
  <c r="I71" i="6"/>
  <c r="H71" i="6"/>
  <c r="G71" i="6"/>
  <c r="F71" i="6"/>
  <c r="E71" i="6"/>
  <c r="D71" i="6"/>
  <c r="E70" i="6"/>
  <c r="K65" i="6"/>
  <c r="J65" i="6"/>
  <c r="I65" i="6"/>
  <c r="H65" i="6"/>
  <c r="G65" i="6"/>
  <c r="F65" i="6"/>
  <c r="E65" i="6"/>
  <c r="E62" i="6" s="1"/>
  <c r="F62" i="6" s="1"/>
  <c r="D65" i="6"/>
  <c r="D62" i="6" s="1"/>
  <c r="K57" i="6"/>
  <c r="J57" i="6"/>
  <c r="I57" i="6"/>
  <c r="H57" i="6"/>
  <c r="G57" i="6"/>
  <c r="F57" i="6"/>
  <c r="E57" i="6"/>
  <c r="D57" i="6"/>
  <c r="D56" i="6"/>
  <c r="D54" i="6"/>
  <c r="K49" i="6"/>
  <c r="J49" i="6"/>
  <c r="I49" i="6"/>
  <c r="H49" i="6"/>
  <c r="G49" i="6"/>
  <c r="F49" i="6"/>
  <c r="E49" i="6"/>
  <c r="D49" i="6"/>
  <c r="F48" i="6"/>
  <c r="F50" i="6" s="1"/>
  <c r="K42" i="6"/>
  <c r="J42" i="6"/>
  <c r="I42" i="6"/>
  <c r="H42" i="6"/>
  <c r="G42" i="6"/>
  <c r="F42" i="6"/>
  <c r="E42" i="6"/>
  <c r="D42" i="6"/>
  <c r="F41" i="6"/>
  <c r="G41" i="6" s="1"/>
  <c r="K35" i="6"/>
  <c r="J35" i="6"/>
  <c r="I35" i="6"/>
  <c r="H35" i="6"/>
  <c r="G35" i="6"/>
  <c r="F35" i="6"/>
  <c r="E35" i="6"/>
  <c r="E32" i="6" s="1"/>
  <c r="E34" i="6" s="1"/>
  <c r="D35" i="6"/>
  <c r="D32" i="6" s="1"/>
  <c r="G33" i="6"/>
  <c r="F33" i="6"/>
  <c r="K27" i="6"/>
  <c r="J27" i="6"/>
  <c r="I27" i="6"/>
  <c r="H27" i="6"/>
  <c r="G27" i="6"/>
  <c r="F27" i="6"/>
  <c r="E27" i="6"/>
  <c r="E24" i="6" s="1"/>
  <c r="E26" i="6" s="1"/>
  <c r="D27" i="6"/>
  <c r="D24" i="6" s="1"/>
  <c r="E61" i="5"/>
  <c r="O47" i="1"/>
  <c r="P47" i="1"/>
  <c r="Q47" i="1"/>
  <c r="R47" i="1"/>
  <c r="O95" i="1" l="1"/>
  <c r="O70" i="1"/>
  <c r="M6" i="10"/>
  <c r="H24" i="11" s="1"/>
  <c r="H27" i="11" s="1"/>
  <c r="P100" i="1"/>
  <c r="E54" i="6"/>
  <c r="E56" i="6" s="1"/>
  <c r="G43" i="6"/>
  <c r="H41" i="6"/>
  <c r="G62" i="6"/>
  <c r="F64" i="6"/>
  <c r="F66" i="6" s="1"/>
  <c r="G48" i="6"/>
  <c r="F24" i="6"/>
  <c r="F26" i="6" s="1"/>
  <c r="F28" i="6" s="1"/>
  <c r="F43" i="6"/>
  <c r="E64" i="6"/>
  <c r="E76" i="6"/>
  <c r="E80" i="6" s="1"/>
  <c r="F76" i="6"/>
  <c r="F80" i="6" s="1"/>
  <c r="F82" i="6" s="1"/>
  <c r="F32" i="6"/>
  <c r="N6" i="10" l="1"/>
  <c r="I24" i="11" s="1"/>
  <c r="I27" i="11" s="1"/>
  <c r="P93" i="1"/>
  <c r="F54" i="6"/>
  <c r="Q100" i="1"/>
  <c r="F68" i="5"/>
  <c r="J3" i="9" s="1"/>
  <c r="G32" i="6"/>
  <c r="F34" i="6"/>
  <c r="F36" i="6" s="1"/>
  <c r="G50" i="6"/>
  <c r="H48" i="6"/>
  <c r="H62" i="6"/>
  <c r="G64" i="6"/>
  <c r="G66" i="6" s="1"/>
  <c r="G24" i="6"/>
  <c r="G76" i="6"/>
  <c r="I41" i="6"/>
  <c r="H43" i="6"/>
  <c r="O6" i="10" l="1"/>
  <c r="J24" i="11" s="1"/>
  <c r="J27" i="11" s="1"/>
  <c r="Q93" i="1"/>
  <c r="AE93" i="1" s="1"/>
  <c r="G54" i="6"/>
  <c r="F56" i="6"/>
  <c r="F58" i="6" s="1"/>
  <c r="R100" i="1"/>
  <c r="AE100" i="1"/>
  <c r="G80" i="6"/>
  <c r="G82" i="6" s="1"/>
  <c r="H76" i="6"/>
  <c r="H50" i="6"/>
  <c r="I48" i="6"/>
  <c r="I43" i="6"/>
  <c r="J41" i="6"/>
  <c r="I62" i="6"/>
  <c r="H64" i="6"/>
  <c r="H66" i="6" s="1"/>
  <c r="G26" i="6"/>
  <c r="G28" i="6" s="1"/>
  <c r="H24" i="6"/>
  <c r="G34" i="6"/>
  <c r="G36" i="6" s="1"/>
  <c r="H32" i="6"/>
  <c r="P6" i="10" l="1"/>
  <c r="K24" i="11" s="1"/>
  <c r="K27" i="11" s="1"/>
  <c r="R93" i="1"/>
  <c r="G56" i="6"/>
  <c r="G58" i="6" s="1"/>
  <c r="H54" i="6"/>
  <c r="S100" i="1"/>
  <c r="J43" i="6"/>
  <c r="K41" i="6"/>
  <c r="K43" i="6" s="1"/>
  <c r="J48" i="6"/>
  <c r="I50" i="6"/>
  <c r="I64" i="6"/>
  <c r="I66" i="6" s="1"/>
  <c r="J62" i="6"/>
  <c r="H34" i="6"/>
  <c r="H36" i="6" s="1"/>
  <c r="I32" i="6"/>
  <c r="H80" i="6"/>
  <c r="H82" i="6" s="1"/>
  <c r="I76" i="6"/>
  <c r="H26" i="6"/>
  <c r="H28" i="6" s="1"/>
  <c r="I24" i="6"/>
  <c r="Q6" i="10" l="1"/>
  <c r="L24" i="11" s="1"/>
  <c r="L27" i="11" s="1"/>
  <c r="S93" i="1"/>
  <c r="H56" i="6"/>
  <c r="H58" i="6" s="1"/>
  <c r="I54" i="6"/>
  <c r="T100" i="1"/>
  <c r="S83" i="1"/>
  <c r="L68" i="5" s="1"/>
  <c r="J32" i="6"/>
  <c r="I34" i="6"/>
  <c r="I36" i="6" s="1"/>
  <c r="J64" i="6"/>
  <c r="J66" i="6" s="1"/>
  <c r="K62" i="6"/>
  <c r="K64" i="6" s="1"/>
  <c r="K66" i="6" s="1"/>
  <c r="I26" i="6"/>
  <c r="I28" i="6" s="1"/>
  <c r="J24" i="6"/>
  <c r="K48" i="6"/>
  <c r="K50" i="6" s="1"/>
  <c r="J50" i="6"/>
  <c r="I80" i="6"/>
  <c r="I82" i="6" s="1"/>
  <c r="J76" i="6"/>
  <c r="L71" i="5" l="1"/>
  <c r="J9" i="9"/>
  <c r="R6" i="10"/>
  <c r="M24" i="11" s="1"/>
  <c r="N24" i="11" s="1"/>
  <c r="T93" i="1"/>
  <c r="I56" i="6"/>
  <c r="I58" i="6" s="1"/>
  <c r="J54" i="6"/>
  <c r="U100" i="1"/>
  <c r="T83" i="1"/>
  <c r="M68" i="5" s="1"/>
  <c r="K24" i="6"/>
  <c r="K26" i="6" s="1"/>
  <c r="K28" i="6" s="1"/>
  <c r="J26" i="6"/>
  <c r="J28" i="6" s="1"/>
  <c r="J80" i="6"/>
  <c r="J82" i="6" s="1"/>
  <c r="K76" i="6"/>
  <c r="K80" i="6" s="1"/>
  <c r="K82" i="6" s="1"/>
  <c r="J34" i="6"/>
  <c r="J36" i="6" s="1"/>
  <c r="K32" i="6"/>
  <c r="K34" i="6" s="1"/>
  <c r="K36" i="6" s="1"/>
  <c r="M71" i="5" l="1"/>
  <c r="J10" i="9"/>
  <c r="S6" i="10"/>
  <c r="U93" i="1"/>
  <c r="AF93" i="1" s="1"/>
  <c r="M27" i="11"/>
  <c r="K54" i="6"/>
  <c r="K56" i="6" s="1"/>
  <c r="K58" i="6" s="1"/>
  <c r="J56" i="6"/>
  <c r="J58" i="6" s="1"/>
  <c r="O24" i="11"/>
  <c r="N27" i="11"/>
  <c r="V100" i="1"/>
  <c r="AF100" i="1"/>
  <c r="U83" i="1"/>
  <c r="N68" i="5" s="1"/>
  <c r="O83" i="1"/>
  <c r="P83" i="1"/>
  <c r="Q83" i="1"/>
  <c r="R83" i="1"/>
  <c r="P54" i="1"/>
  <c r="Q54" i="1"/>
  <c r="R54" i="1"/>
  <c r="F71" i="5"/>
  <c r="D69" i="5"/>
  <c r="D62" i="5"/>
  <c r="L56" i="5"/>
  <c r="P36" i="1"/>
  <c r="O36" i="1"/>
  <c r="N71" i="5" l="1"/>
  <c r="J11" i="9"/>
  <c r="T6" i="10"/>
  <c r="V93" i="1"/>
  <c r="V112" i="1" s="1"/>
  <c r="O21" i="5" s="1"/>
  <c r="P21" i="5" s="1"/>
  <c r="Q21" i="5" s="1"/>
  <c r="R21" i="5" s="1"/>
  <c r="S21" i="5" s="1"/>
  <c r="T21" i="5" s="1"/>
  <c r="U21" i="5" s="1"/>
  <c r="V21" i="5" s="1"/>
  <c r="W21" i="5" s="1"/>
  <c r="X21" i="5" s="1"/>
  <c r="Y21" i="5" s="1"/>
  <c r="Z21" i="5" s="1"/>
  <c r="AA21" i="5" s="1"/>
  <c r="P24" i="11"/>
  <c r="O27" i="11"/>
  <c r="L49" i="5"/>
  <c r="V83" i="1"/>
  <c r="O68" i="5" s="1"/>
  <c r="G61" i="5"/>
  <c r="G64" i="5" s="1"/>
  <c r="G70" i="6"/>
  <c r="G72" i="6" s="1"/>
  <c r="I70" i="6"/>
  <c r="I72" i="6" s="1"/>
  <c r="I61" i="5"/>
  <c r="I64" i="5" s="1"/>
  <c r="F61" i="5"/>
  <c r="F64" i="5" s="1"/>
  <c r="F70" i="6"/>
  <c r="F72" i="6" s="1"/>
  <c r="H70" i="6"/>
  <c r="H72" i="6" s="1"/>
  <c r="H61" i="5"/>
  <c r="H64" i="5" s="1"/>
  <c r="K70" i="6"/>
  <c r="K72" i="6" s="1"/>
  <c r="K61" i="5"/>
  <c r="K64" i="5" s="1"/>
  <c r="J61" i="5"/>
  <c r="J64" i="5" s="1"/>
  <c r="J70" i="6"/>
  <c r="J72" i="6" s="1"/>
  <c r="O71" i="5" l="1"/>
  <c r="J12" i="9"/>
  <c r="W83" i="1"/>
  <c r="P68" i="5" s="1"/>
  <c r="H2" i="12" a="1"/>
  <c r="H12" i="12" s="1"/>
  <c r="Q24" i="11"/>
  <c r="P27" i="11"/>
  <c r="H3" i="9" a="1"/>
  <c r="P71" i="5" l="1"/>
  <c r="J13" i="9"/>
  <c r="X83" i="1"/>
  <c r="H20" i="12"/>
  <c r="H3" i="12"/>
  <c r="H15" i="12"/>
  <c r="H13" i="12"/>
  <c r="H21" i="12"/>
  <c r="H18" i="12"/>
  <c r="H7" i="12"/>
  <c r="H8" i="12"/>
  <c r="H2" i="12"/>
  <c r="H14" i="12"/>
  <c r="H16" i="12"/>
  <c r="H11" i="12"/>
  <c r="H22" i="12"/>
  <c r="H4" i="12"/>
  <c r="H5" i="12"/>
  <c r="H6" i="12"/>
  <c r="H17" i="12"/>
  <c r="H23" i="12"/>
  <c r="H19" i="12"/>
  <c r="H10" i="12"/>
  <c r="H9" i="12"/>
  <c r="R24" i="11"/>
  <c r="Q27" i="11"/>
  <c r="Q71" i="5"/>
  <c r="H3" i="9"/>
  <c r="H21" i="9"/>
  <c r="H7" i="9"/>
  <c r="H18" i="9"/>
  <c r="H20" i="9"/>
  <c r="H22" i="9"/>
  <c r="H19" i="9"/>
  <c r="H8" i="9"/>
  <c r="H12" i="9"/>
  <c r="H6" i="9"/>
  <c r="H17" i="9"/>
  <c r="H5" i="9"/>
  <c r="H4" i="9"/>
  <c r="H13" i="9"/>
  <c r="H10" i="9"/>
  <c r="H14" i="9"/>
  <c r="H16" i="9"/>
  <c r="H9" i="9"/>
  <c r="H11" i="9"/>
  <c r="H15" i="9"/>
  <c r="H24" i="9"/>
  <c r="H23" i="9"/>
  <c r="Z83" i="1" l="1"/>
  <c r="Y83" i="1"/>
  <c r="S24" i="11"/>
  <c r="R27" i="11"/>
  <c r="R71" i="5"/>
  <c r="T24" i="11" l="1"/>
  <c r="S27" i="11"/>
  <c r="T68" i="5"/>
  <c r="J17" i="9" s="1"/>
  <c r="S71" i="5"/>
  <c r="G111" i="1"/>
  <c r="G113" i="1" s="1"/>
  <c r="H111" i="1"/>
  <c r="H113" i="1" s="1"/>
  <c r="I111" i="1"/>
  <c r="I113" i="1" s="1"/>
  <c r="J111" i="1"/>
  <c r="J113" i="1" s="1"/>
  <c r="K111" i="1"/>
  <c r="K113" i="1" s="1"/>
  <c r="U24" i="11" l="1"/>
  <c r="T27" i="11"/>
  <c r="U68" i="5"/>
  <c r="J18" i="9" s="1"/>
  <c r="T71" i="5"/>
  <c r="AE47" i="1"/>
  <c r="AF47" i="1"/>
  <c r="X42" i="2"/>
  <c r="F47" i="2"/>
  <c r="X41" i="2"/>
  <c r="X40" i="2"/>
  <c r="X38" i="2"/>
  <c r="X37" i="2"/>
  <c r="X36" i="2"/>
  <c r="X35" i="2"/>
  <c r="X34" i="2"/>
  <c r="S43" i="1"/>
  <c r="T43" i="1"/>
  <c r="U43" i="1"/>
  <c r="L50" i="1"/>
  <c r="K50" i="1"/>
  <c r="J50" i="1"/>
  <c r="AD47" i="1"/>
  <c r="G48" i="2"/>
  <c r="AI47" i="1" s="1"/>
  <c r="AI52" i="1" s="1"/>
  <c r="AD36" i="1"/>
  <c r="S18" i="4"/>
  <c r="R46" i="1" s="1"/>
  <c r="M8" i="9" s="1"/>
  <c r="K37" i="4"/>
  <c r="K17" i="4" s="1"/>
  <c r="R33" i="4"/>
  <c r="Q33" i="4"/>
  <c r="P33" i="4"/>
  <c r="O33" i="4"/>
  <c r="O13" i="4"/>
  <c r="O12" i="4"/>
  <c r="O11" i="4"/>
  <c r="O10" i="4"/>
  <c r="N13" i="4"/>
  <c r="N31" i="4" s="1"/>
  <c r="M31" i="4"/>
  <c r="F30" i="4"/>
  <c r="G30" i="4"/>
  <c r="H30" i="4"/>
  <c r="F31" i="4"/>
  <c r="G31" i="4"/>
  <c r="H31" i="4"/>
  <c r="H32" i="4" s="1"/>
  <c r="H33" i="4" s="1"/>
  <c r="K26" i="4"/>
  <c r="K34" i="4" s="1"/>
  <c r="L30" i="4"/>
  <c r="M30" i="4"/>
  <c r="N12" i="4" s="1"/>
  <c r="L29" i="4"/>
  <c r="M29" i="4"/>
  <c r="N11" i="4" s="1"/>
  <c r="L28" i="4"/>
  <c r="L37" i="4" s="1"/>
  <c r="L17" i="4" s="1"/>
  <c r="O34" i="4" l="1"/>
  <c r="O37" i="4"/>
  <c r="O38" i="4" s="1"/>
  <c r="F32" i="4"/>
  <c r="F33" i="4" s="1"/>
  <c r="V24" i="11"/>
  <c r="U27" i="11"/>
  <c r="Q26" i="4"/>
  <c r="Q37" i="4"/>
  <c r="P26" i="4"/>
  <c r="P37" i="4"/>
  <c r="R26" i="4"/>
  <c r="R37" i="4"/>
  <c r="L51" i="1"/>
  <c r="J94" i="1"/>
  <c r="K94" i="1"/>
  <c r="D54" i="5" s="1"/>
  <c r="K51" i="1"/>
  <c r="V68" i="5"/>
  <c r="J19" i="9" s="1"/>
  <c r="U71" i="5"/>
  <c r="G47" i="2"/>
  <c r="G32" i="4"/>
  <c r="G33" i="4" s="1"/>
  <c r="K38" i="4"/>
  <c r="K18" i="4" s="1"/>
  <c r="G49" i="2"/>
  <c r="G50" i="2" s="1"/>
  <c r="X43" i="2"/>
  <c r="AF46" i="1"/>
  <c r="Q18" i="4"/>
  <c r="P46" i="1" s="1"/>
  <c r="M6" i="9" s="1"/>
  <c r="S17" i="4"/>
  <c r="R43" i="1" s="1"/>
  <c r="L26" i="4"/>
  <c r="M26" i="4"/>
  <c r="M28" i="4"/>
  <c r="Q17" i="4" l="1"/>
  <c r="P43" i="1" s="1"/>
  <c r="P42" i="1" s="1"/>
  <c r="L6" i="9" s="1"/>
  <c r="W24" i="11"/>
  <c r="V27" i="11"/>
  <c r="R17" i="4"/>
  <c r="Q43" i="1" s="1"/>
  <c r="Q42" i="1" s="1"/>
  <c r="L7" i="9" s="1"/>
  <c r="P17" i="4"/>
  <c r="O43" i="1" s="1"/>
  <c r="O42" i="1" s="1"/>
  <c r="O17" i="4"/>
  <c r="N43" i="1" s="1"/>
  <c r="W68" i="5"/>
  <c r="J20" i="9" s="1"/>
  <c r="V71" i="5"/>
  <c r="R42" i="1"/>
  <c r="L8" i="9" s="1"/>
  <c r="K8" i="9" s="1"/>
  <c r="M33" i="4"/>
  <c r="M37" i="4" s="1"/>
  <c r="AF43" i="1"/>
  <c r="L34" i="4"/>
  <c r="L38" i="4"/>
  <c r="L18" i="4" s="1"/>
  <c r="P18" i="4"/>
  <c r="O46" i="1" s="1"/>
  <c r="O18" i="4"/>
  <c r="R18" i="4"/>
  <c r="Q46" i="1" s="1"/>
  <c r="M7" i="9" s="1"/>
  <c r="K7" i="9" l="1"/>
  <c r="N42" i="1"/>
  <c r="N94" i="1" s="1"/>
  <c r="N46" i="1"/>
  <c r="M17" i="4"/>
  <c r="L43" i="1" s="1"/>
  <c r="L42" i="1" s="1"/>
  <c r="P40" i="1"/>
  <c r="Q40" i="1"/>
  <c r="AE43" i="1"/>
  <c r="X24" i="11"/>
  <c r="W27" i="11"/>
  <c r="R40" i="1"/>
  <c r="O40" i="1"/>
  <c r="M34" i="4"/>
  <c r="X68" i="5"/>
  <c r="J21" i="9" s="1"/>
  <c r="W71" i="5"/>
  <c r="N33" i="4"/>
  <c r="N10" i="4"/>
  <c r="M38" i="4"/>
  <c r="M18" i="4" s="1"/>
  <c r="L46" i="1" s="1"/>
  <c r="K20" i="3"/>
  <c r="L20" i="3"/>
  <c r="M20" i="3"/>
  <c r="N20" i="3"/>
  <c r="O20" i="3"/>
  <c r="P20" i="3"/>
  <c r="Q20" i="3"/>
  <c r="R20" i="3"/>
  <c r="J20" i="3"/>
  <c r="I20" i="3"/>
  <c r="H20" i="3"/>
  <c r="AK18" i="1" s="1"/>
  <c r="G20" i="3"/>
  <c r="AJ18" i="1" s="1"/>
  <c r="F20" i="3"/>
  <c r="AI18" i="1" s="1"/>
  <c r="G21" i="3"/>
  <c r="AJ21" i="1" s="1"/>
  <c r="H21" i="3"/>
  <c r="AK21" i="1" s="1"/>
  <c r="I21" i="3"/>
  <c r="J21" i="3"/>
  <c r="K21" i="3"/>
  <c r="L21" i="3"/>
  <c r="M21" i="3"/>
  <c r="N21" i="3"/>
  <c r="O21" i="3"/>
  <c r="P21" i="3"/>
  <c r="Q21" i="3"/>
  <c r="R21" i="3"/>
  <c r="F21" i="3"/>
  <c r="AI21" i="1" s="1"/>
  <c r="G19" i="3"/>
  <c r="AJ12" i="1" s="1"/>
  <c r="H19" i="3"/>
  <c r="AK12" i="1" s="1"/>
  <c r="I19" i="3"/>
  <c r="J19" i="3"/>
  <c r="K19" i="3"/>
  <c r="L19" i="3"/>
  <c r="M19" i="3"/>
  <c r="N19" i="3"/>
  <c r="O19" i="3"/>
  <c r="P19" i="3"/>
  <c r="Q19" i="3"/>
  <c r="R19" i="3"/>
  <c r="G22" i="3"/>
  <c r="H22" i="3"/>
  <c r="I22" i="3"/>
  <c r="J22" i="3"/>
  <c r="K22" i="3"/>
  <c r="L22" i="3"/>
  <c r="M22" i="3"/>
  <c r="N22" i="3"/>
  <c r="O22" i="3"/>
  <c r="P22" i="3"/>
  <c r="Q22" i="3"/>
  <c r="R22" i="3"/>
  <c r="F22" i="3"/>
  <c r="F19" i="3"/>
  <c r="AI12" i="1" s="1"/>
  <c r="G50" i="1"/>
  <c r="H94" i="1"/>
  <c r="I50" i="1"/>
  <c r="F50" i="1"/>
  <c r="AC40" i="1"/>
  <c r="I47" i="2"/>
  <c r="H47" i="2"/>
  <c r="F24" i="2"/>
  <c r="N111" i="1" l="1"/>
  <c r="AF40" i="1"/>
  <c r="AE46" i="1"/>
  <c r="N37" i="4"/>
  <c r="N38" i="4" s="1"/>
  <c r="N18" i="4" s="1"/>
  <c r="L94" i="1"/>
  <c r="E54" i="5" s="1"/>
  <c r="L40" i="1"/>
  <c r="Y24" i="11"/>
  <c r="X27" i="11"/>
  <c r="F94" i="1"/>
  <c r="G94" i="1"/>
  <c r="G51" i="1"/>
  <c r="H51" i="1"/>
  <c r="I94" i="1"/>
  <c r="I51" i="1"/>
  <c r="J51" i="1"/>
  <c r="Y68" i="5"/>
  <c r="J22" i="9" s="1"/>
  <c r="X71" i="5"/>
  <c r="N34" i="4"/>
  <c r="N35" i="4" s="1"/>
  <c r="AD46" i="1"/>
  <c r="L111" i="1"/>
  <c r="L113" i="1" s="1"/>
  <c r="E28" i="5" s="1"/>
  <c r="AE40" i="1"/>
  <c r="H49" i="2"/>
  <c r="H50" i="2" s="1"/>
  <c r="I49" i="2"/>
  <c r="I50" i="2" s="1"/>
  <c r="N113" i="1" l="1"/>
  <c r="N17" i="4"/>
  <c r="Z24" i="11"/>
  <c r="Y27" i="11"/>
  <c r="AD40" i="1"/>
  <c r="Z68" i="5"/>
  <c r="J23" i="9" s="1"/>
  <c r="Y71" i="5"/>
  <c r="AC68" i="1"/>
  <c r="AC54" i="1"/>
  <c r="AC35" i="1"/>
  <c r="AC34" i="1"/>
  <c r="G28" i="5" l="1"/>
  <c r="G31" i="5" s="1"/>
  <c r="AD43" i="1"/>
  <c r="AA24" i="11"/>
  <c r="AA27" i="11" s="1"/>
  <c r="Z27" i="11"/>
  <c r="AJ32" i="1"/>
  <c r="AJ33" i="1" s="1"/>
  <c r="AI32" i="1"/>
  <c r="AI33" i="1" s="1"/>
  <c r="AI34" i="1"/>
  <c r="AK32" i="1"/>
  <c r="AA68" i="5"/>
  <c r="Z71" i="5"/>
  <c r="AJ34" i="1"/>
  <c r="AJ50" i="1" s="1"/>
  <c r="AK34" i="1"/>
  <c r="AK50" i="1" s="1"/>
  <c r="AA71" i="5" l="1"/>
  <c r="J24" i="9"/>
  <c r="B2" i="12" a="1"/>
  <c r="B2" i="12" s="1"/>
  <c r="AI50" i="1"/>
  <c r="AD35" i="1"/>
  <c r="AD52" i="1" s="1"/>
  <c r="B5" i="12" l="1"/>
  <c r="B23" i="12"/>
  <c r="B3" i="12"/>
  <c r="B7" i="12"/>
  <c r="B16" i="12"/>
  <c r="B6" i="12"/>
  <c r="B9" i="12"/>
  <c r="B20" i="12"/>
  <c r="B13" i="12"/>
  <c r="B21" i="12"/>
  <c r="B8" i="12"/>
  <c r="B12" i="12"/>
  <c r="B19" i="12"/>
  <c r="B22" i="12"/>
  <c r="B17" i="12"/>
  <c r="B11" i="12"/>
  <c r="B18" i="12"/>
  <c r="B14" i="12"/>
  <c r="B10" i="12"/>
  <c r="B15" i="12"/>
  <c r="B4" i="12"/>
  <c r="V95" i="1"/>
  <c r="AC50" i="1"/>
  <c r="AD50" i="1"/>
  <c r="AO50" i="1" s="1"/>
  <c r="AE35" i="1"/>
  <c r="F54" i="5" l="1"/>
  <c r="F57" i="5" s="1"/>
  <c r="AN50" i="1"/>
  <c r="AF35" i="1"/>
  <c r="G68" i="5" l="1"/>
  <c r="G71" i="5" l="1"/>
  <c r="J4" i="9"/>
  <c r="O112" i="1"/>
  <c r="H68" i="5"/>
  <c r="H47" i="5"/>
  <c r="H50" i="5" s="1"/>
  <c r="G24" i="5" l="1"/>
  <c r="H21" i="5"/>
  <c r="H71" i="5"/>
  <c r="J5" i="9"/>
  <c r="I68" i="5"/>
  <c r="P112" i="1"/>
  <c r="I47" i="5"/>
  <c r="I50" i="5" s="1"/>
  <c r="I71" i="5" l="1"/>
  <c r="J6" i="9"/>
  <c r="H24" i="5"/>
  <c r="I21" i="5"/>
  <c r="J68" i="5"/>
  <c r="Q112" i="1"/>
  <c r="Q95" i="1"/>
  <c r="J47" i="5" s="1"/>
  <c r="J71" i="5" l="1"/>
  <c r="J7" i="9"/>
  <c r="I24" i="5"/>
  <c r="J21" i="5"/>
  <c r="K47" i="5"/>
  <c r="K50" i="5" s="1"/>
  <c r="J50" i="5"/>
  <c r="K68" i="5"/>
  <c r="R95" i="1"/>
  <c r="R112" i="1"/>
  <c r="K71" i="5" l="1"/>
  <c r="J8" i="9"/>
  <c r="J24" i="5"/>
  <c r="K21" i="5"/>
  <c r="L47" i="5"/>
  <c r="M47" i="5" s="1"/>
  <c r="N47" i="5" s="1"/>
  <c r="O47" i="5" s="1"/>
  <c r="P47" i="5" s="1"/>
  <c r="I3" i="9" a="1"/>
  <c r="I5" i="9" s="1"/>
  <c r="I2" i="12" a="1"/>
  <c r="S112" i="1"/>
  <c r="S95" i="1"/>
  <c r="K24" i="5" l="1"/>
  <c r="L21" i="5"/>
  <c r="O50" i="5"/>
  <c r="L50" i="5"/>
  <c r="I16" i="9"/>
  <c r="I4" i="9"/>
  <c r="I7" i="9"/>
  <c r="I19" i="9"/>
  <c r="I12" i="9"/>
  <c r="I11" i="9"/>
  <c r="I13" i="9"/>
  <c r="I3" i="9"/>
  <c r="I20" i="9"/>
  <c r="I22" i="9"/>
  <c r="I14" i="9"/>
  <c r="I10" i="9"/>
  <c r="I17" i="9"/>
  <c r="I18" i="9"/>
  <c r="I6" i="9"/>
  <c r="I15" i="9"/>
  <c r="I24" i="9"/>
  <c r="I21" i="9"/>
  <c r="I9" i="9"/>
  <c r="I23" i="9"/>
  <c r="I8" i="9"/>
  <c r="I2" i="12"/>
  <c r="I9" i="12"/>
  <c r="I17" i="12"/>
  <c r="I19" i="12"/>
  <c r="I6" i="12"/>
  <c r="I8" i="12"/>
  <c r="I16" i="12"/>
  <c r="I11" i="12"/>
  <c r="I14" i="12"/>
  <c r="I13" i="12"/>
  <c r="I20" i="12"/>
  <c r="I4" i="12"/>
  <c r="I15" i="12"/>
  <c r="I23" i="12"/>
  <c r="I3" i="12"/>
  <c r="I21" i="12"/>
  <c r="I5" i="12"/>
  <c r="I22" i="12"/>
  <c r="I7" i="12"/>
  <c r="I18" i="12"/>
  <c r="I10" i="12"/>
  <c r="I12" i="12"/>
  <c r="Q47" i="5"/>
  <c r="P50" i="5"/>
  <c r="T112" i="1"/>
  <c r="T95" i="1"/>
  <c r="M50" i="5" s="1"/>
  <c r="L24" i="5" l="1"/>
  <c r="M21" i="5"/>
  <c r="R47" i="5"/>
  <c r="Q50" i="5"/>
  <c r="U95" i="1"/>
  <c r="N50" i="5" s="1"/>
  <c r="U112" i="1"/>
  <c r="N21" i="5" s="1"/>
  <c r="M24" i="5" l="1"/>
  <c r="S47" i="5"/>
  <c r="R50" i="5"/>
  <c r="N24" i="5" l="1"/>
  <c r="S50" i="5"/>
  <c r="T47" i="5"/>
  <c r="O111" i="1" l="1"/>
  <c r="M5" i="10"/>
  <c r="H31" i="11" s="1"/>
  <c r="H34" i="11" s="1"/>
  <c r="L5" i="10"/>
  <c r="G31" i="11" s="1"/>
  <c r="G34" i="11" s="1"/>
  <c r="O24" i="5"/>
  <c r="T50" i="5"/>
  <c r="U47" i="5"/>
  <c r="P97" i="1"/>
  <c r="O113" i="1" l="1"/>
  <c r="H28" i="5" s="1"/>
  <c r="H31" i="5" s="1"/>
  <c r="N5" i="10"/>
  <c r="I31" i="11" s="1"/>
  <c r="I34" i="11" s="1"/>
  <c r="P24" i="5"/>
  <c r="U50" i="5"/>
  <c r="V47" i="5"/>
  <c r="Q97" i="1"/>
  <c r="P113" i="1" l="1"/>
  <c r="I28" i="5" s="1"/>
  <c r="I31" i="5" s="1"/>
  <c r="O5" i="10"/>
  <c r="J31" i="11" s="1"/>
  <c r="J34" i="11" s="1"/>
  <c r="Q24" i="5"/>
  <c r="W47" i="5"/>
  <c r="V50" i="5"/>
  <c r="R97" i="1"/>
  <c r="J28" i="5" l="1"/>
  <c r="J31" i="5" s="1"/>
  <c r="P5" i="10"/>
  <c r="K31" i="11" s="1"/>
  <c r="K34" i="11" s="1"/>
  <c r="R24" i="5"/>
  <c r="X47" i="5"/>
  <c r="W50" i="5"/>
  <c r="S97" i="1"/>
  <c r="T98" i="1"/>
  <c r="K28" i="5" l="1"/>
  <c r="K31" i="5" s="1"/>
  <c r="Q5" i="10"/>
  <c r="L31" i="11" s="1"/>
  <c r="S24" i="5"/>
  <c r="Y47" i="5"/>
  <c r="X50" i="5"/>
  <c r="T97" i="1"/>
  <c r="U98" i="1"/>
  <c r="L28" i="5" l="1"/>
  <c r="L34" i="11"/>
  <c r="M31" i="11"/>
  <c r="R5" i="10"/>
  <c r="U97" i="1"/>
  <c r="V98" i="1"/>
  <c r="V97" i="1" s="1"/>
  <c r="T24" i="5"/>
  <c r="Z47" i="5"/>
  <c r="Y50" i="5"/>
  <c r="M28" i="5" l="1"/>
  <c r="N28" i="5" s="1"/>
  <c r="O28" i="5" s="1"/>
  <c r="P28" i="5" s="1"/>
  <c r="Q28" i="5" s="1"/>
  <c r="R28" i="5" s="1"/>
  <c r="S28" i="5" s="1"/>
  <c r="T28" i="5" s="1"/>
  <c r="U28" i="5" s="1"/>
  <c r="V28" i="5" s="1"/>
  <c r="W28" i="5" s="1"/>
  <c r="X28" i="5" s="1"/>
  <c r="Y28" i="5" s="1"/>
  <c r="Z28" i="5" s="1"/>
  <c r="AA28" i="5" s="1"/>
  <c r="L31" i="5"/>
  <c r="N31" i="11"/>
  <c r="M34" i="11"/>
  <c r="T5" i="10"/>
  <c r="S5" i="10"/>
  <c r="U24" i="5"/>
  <c r="AA47" i="5"/>
  <c r="AA50" i="5" s="1"/>
  <c r="Z50" i="5"/>
  <c r="M31" i="5" l="1"/>
  <c r="N31" i="5"/>
  <c r="O31" i="5"/>
  <c r="O31" i="11"/>
  <c r="N34" i="11"/>
  <c r="V24" i="5"/>
  <c r="P31" i="5"/>
  <c r="F3" i="9" a="1"/>
  <c r="O34" i="11" l="1"/>
  <c r="P31" i="11"/>
  <c r="W24" i="5"/>
  <c r="Q31" i="5"/>
  <c r="F4" i="9"/>
  <c r="F21" i="9"/>
  <c r="F12" i="9"/>
  <c r="F23" i="9"/>
  <c r="F13" i="9"/>
  <c r="F24" i="9"/>
  <c r="F9" i="9"/>
  <c r="F3" i="9"/>
  <c r="F16" i="9"/>
  <c r="F22" i="9"/>
  <c r="F15" i="9"/>
  <c r="F6" i="9"/>
  <c r="F20" i="9"/>
  <c r="F5" i="9"/>
  <c r="F18" i="9"/>
  <c r="F19" i="9"/>
  <c r="F8" i="9"/>
  <c r="F10" i="9"/>
  <c r="F11" i="9"/>
  <c r="F17" i="9"/>
  <c r="F7" i="9"/>
  <c r="F14" i="9"/>
  <c r="Q31" i="11" l="1"/>
  <c r="P34" i="11"/>
  <c r="X24" i="5"/>
  <c r="R31" i="5"/>
  <c r="Q34" i="11" l="1"/>
  <c r="R31" i="11"/>
  <c r="Y24" i="5"/>
  <c r="S31" i="5"/>
  <c r="R34" i="11" l="1"/>
  <c r="S31" i="11"/>
  <c r="AA24" i="5"/>
  <c r="Z24" i="5"/>
  <c r="T31" i="5"/>
  <c r="S34" i="11" l="1"/>
  <c r="T31" i="11"/>
  <c r="B3" i="9" a="1"/>
  <c r="B20" i="9" s="1"/>
  <c r="U31" i="5"/>
  <c r="U31" i="11" l="1"/>
  <c r="T34" i="11"/>
  <c r="B18" i="9"/>
  <c r="B8" i="9"/>
  <c r="B4" i="9"/>
  <c r="B6" i="9"/>
  <c r="B11" i="9"/>
  <c r="B13" i="9"/>
  <c r="B7" i="9"/>
  <c r="B12" i="9"/>
  <c r="B19" i="9"/>
  <c r="B16" i="9"/>
  <c r="B5" i="9"/>
  <c r="B10" i="9"/>
  <c r="B15" i="9"/>
  <c r="B9" i="9"/>
  <c r="B22" i="9"/>
  <c r="B21" i="9"/>
  <c r="B24" i="9"/>
  <c r="B14" i="9"/>
  <c r="B23" i="9"/>
  <c r="B3" i="9"/>
  <c r="B17" i="9"/>
  <c r="V31" i="5"/>
  <c r="U34" i="11" l="1"/>
  <c r="V31" i="11"/>
  <c r="W31" i="5"/>
  <c r="W31" i="11" l="1"/>
  <c r="V34" i="11"/>
  <c r="X31" i="5"/>
  <c r="X31" i="11" l="1"/>
  <c r="W34" i="11"/>
  <c r="Y31" i="5"/>
  <c r="Y31" i="11" l="1"/>
  <c r="X34" i="11"/>
  <c r="AA31" i="5"/>
  <c r="Z31" i="5"/>
  <c r="Z31" i="11" l="1"/>
  <c r="Y34" i="11"/>
  <c r="C3" i="9" a="1"/>
  <c r="C23" i="9" s="1"/>
  <c r="AA31" i="11" l="1"/>
  <c r="AA34" i="11" s="1"/>
  <c r="Z34" i="11"/>
  <c r="C19" i="9"/>
  <c r="C11" i="9"/>
  <c r="C9" i="9"/>
  <c r="C10" i="9"/>
  <c r="C16" i="9"/>
  <c r="C21" i="9"/>
  <c r="C4" i="9"/>
  <c r="C22" i="9"/>
  <c r="C7" i="9"/>
  <c r="C17" i="9"/>
  <c r="C13" i="9"/>
  <c r="C5" i="9"/>
  <c r="C14" i="9"/>
  <c r="C15" i="9"/>
  <c r="C18" i="9"/>
  <c r="C20" i="9"/>
  <c r="C24" i="9"/>
  <c r="C12" i="9"/>
  <c r="C8" i="9"/>
  <c r="C3" i="9"/>
  <c r="C6" i="9"/>
  <c r="C2" i="12" l="1" a="1"/>
  <c r="C2" i="12" s="1"/>
  <c r="C16" i="12" l="1"/>
  <c r="C3" i="12"/>
  <c r="C19" i="12"/>
  <c r="C14" i="12"/>
  <c r="C9" i="12"/>
  <c r="C18" i="12"/>
  <c r="C6" i="12"/>
  <c r="C12" i="12"/>
  <c r="C7" i="12"/>
  <c r="C15" i="12"/>
  <c r="C8" i="12"/>
  <c r="C22" i="12"/>
  <c r="C4" i="12"/>
  <c r="C21" i="12"/>
  <c r="C10" i="12"/>
  <c r="C5" i="12"/>
  <c r="C17" i="12"/>
  <c r="C13" i="12"/>
  <c r="C23" i="12"/>
  <c r="C20" i="12"/>
  <c r="C11" i="12"/>
  <c r="G54" i="5" l="1"/>
  <c r="G57" i="5" s="1"/>
  <c r="O50" i="1"/>
  <c r="M3" i="10" l="1"/>
  <c r="H45" i="11" s="1"/>
  <c r="H48" i="11" s="1"/>
  <c r="O94" i="1"/>
  <c r="H54" i="5" s="1"/>
  <c r="H57" i="5" s="1"/>
  <c r="P50" i="1"/>
  <c r="L3" i="10"/>
  <c r="G45" i="11" s="1"/>
  <c r="G48" i="11" s="1"/>
  <c r="Q50" i="1" l="1"/>
  <c r="P34" i="1"/>
  <c r="N3" i="10" s="1"/>
  <c r="I45" i="11" s="1"/>
  <c r="I48" i="11" s="1"/>
  <c r="P94" i="1"/>
  <c r="I54" i="5" s="1"/>
  <c r="I57" i="5" s="1"/>
  <c r="Q34" i="1" l="1"/>
  <c r="O3" i="10" s="1"/>
  <c r="J45" i="11" s="1"/>
  <c r="J48" i="11" s="1"/>
  <c r="Q94" i="1"/>
  <c r="J54" i="5" s="1"/>
  <c r="J57" i="5" s="1"/>
  <c r="R50" i="1"/>
  <c r="AE50" i="1"/>
  <c r="R94" i="1" l="1"/>
  <c r="K54" i="5" s="1"/>
  <c r="S50" i="1"/>
  <c r="R34" i="1"/>
  <c r="P3" i="10" s="1"/>
  <c r="K45" i="11" s="1"/>
  <c r="K48" i="11" l="1"/>
  <c r="L45" i="11"/>
  <c r="S94" i="1"/>
  <c r="S34" i="1"/>
  <c r="Q3" i="10" s="1"/>
  <c r="T50" i="1"/>
  <c r="K57" i="5"/>
  <c r="L54" i="5"/>
  <c r="M54" i="5" l="1"/>
  <c r="L57" i="5"/>
  <c r="T94" i="1"/>
  <c r="T34" i="1"/>
  <c r="R3" i="10" s="1"/>
  <c r="U50" i="1"/>
  <c r="AF50" i="1" s="1"/>
  <c r="M45" i="11"/>
  <c r="L48" i="11"/>
  <c r="M48" i="11" l="1"/>
  <c r="N45" i="11"/>
  <c r="V50" i="1"/>
  <c r="V94" i="1" s="1"/>
  <c r="U34" i="1"/>
  <c r="S3" i="10" s="1"/>
  <c r="U94" i="1"/>
  <c r="M57" i="5"/>
  <c r="N54" i="5"/>
  <c r="O45" i="11" l="1"/>
  <c r="N48" i="11"/>
  <c r="O54" i="5"/>
  <c r="N57" i="5"/>
  <c r="O57" i="5" l="1"/>
  <c r="P54" i="5"/>
  <c r="P45" i="11"/>
  <c r="O48" i="11"/>
  <c r="P48" i="11" l="1"/>
  <c r="Q45" i="11"/>
  <c r="Q54" i="5"/>
  <c r="P57" i="5"/>
  <c r="R54" i="5" l="1"/>
  <c r="Q57" i="5"/>
  <c r="Q48" i="11"/>
  <c r="R45" i="11"/>
  <c r="S45" i="11" l="1"/>
  <c r="R48" i="11"/>
  <c r="S54" i="5"/>
  <c r="R57" i="5"/>
  <c r="T54" i="5" l="1"/>
  <c r="S57" i="5"/>
  <c r="T45" i="11"/>
  <c r="S48" i="11"/>
  <c r="T48" i="11" l="1"/>
  <c r="U45" i="11"/>
  <c r="U54" i="5"/>
  <c r="T57" i="5"/>
  <c r="V54" i="5" l="1"/>
  <c r="U57" i="5"/>
  <c r="U48" i="11"/>
  <c r="V45" i="11"/>
  <c r="W45" i="11" l="1"/>
  <c r="V48" i="11"/>
  <c r="V57" i="5"/>
  <c r="W54" i="5"/>
  <c r="X54" i="5" l="1"/>
  <c r="W57" i="5"/>
  <c r="X45" i="11"/>
  <c r="W48" i="11"/>
  <c r="Y45" i="11" l="1"/>
  <c r="X48" i="11"/>
  <c r="Y54" i="5"/>
  <c r="X57" i="5"/>
  <c r="Y57" i="5" l="1"/>
  <c r="Z54" i="5"/>
  <c r="Y48" i="11"/>
  <c r="Z45" i="11"/>
  <c r="AA45" i="11" l="1"/>
  <c r="AA48" i="11" s="1"/>
  <c r="Z48" i="11"/>
  <c r="AA54" i="5"/>
  <c r="AA57" i="5" s="1"/>
  <c r="Z57" i="5"/>
  <c r="G3" i="9" l="1" a="1"/>
  <c r="G2" i="12" a="1"/>
  <c r="G2" i="12" l="1"/>
  <c r="G4" i="12"/>
  <c r="G3" i="12"/>
  <c r="G5" i="12"/>
  <c r="G6" i="12"/>
  <c r="G7" i="12"/>
  <c r="G8" i="12"/>
  <c r="G9" i="12"/>
  <c r="G10" i="12"/>
  <c r="G11" i="12"/>
  <c r="G12" i="12"/>
  <c r="G13" i="12"/>
  <c r="G14" i="12"/>
  <c r="G15" i="12"/>
  <c r="G16" i="12"/>
  <c r="G17" i="12"/>
  <c r="G18" i="12"/>
  <c r="G19" i="12"/>
  <c r="G20" i="12"/>
  <c r="G21" i="12"/>
  <c r="G23" i="12"/>
  <c r="G3" i="9"/>
  <c r="G4" i="9"/>
  <c r="G5" i="9"/>
  <c r="G6" i="9"/>
  <c r="G7" i="9"/>
  <c r="G8" i="9"/>
  <c r="G9" i="9"/>
  <c r="G10" i="9"/>
  <c r="G11" i="9"/>
  <c r="G12" i="9"/>
  <c r="G13" i="9"/>
  <c r="G14" i="9"/>
  <c r="G15" i="9"/>
  <c r="G16" i="9"/>
  <c r="G17" i="9"/>
  <c r="G18" i="9"/>
  <c r="G19" i="9"/>
  <c r="G20" i="9"/>
  <c r="G21" i="9"/>
  <c r="G22" i="9"/>
  <c r="G24" i="9"/>
  <c r="G22" i="12"/>
  <c r="G23" i="9"/>
  <c r="H41" i="5" l="1"/>
  <c r="H43" i="5" s="1"/>
  <c r="H35" i="5" l="1"/>
  <c r="H37" i="5" s="1"/>
  <c r="I41" i="5" l="1"/>
  <c r="I43" i="5" s="1"/>
  <c r="I35" i="5"/>
  <c r="I37" i="5" s="1"/>
  <c r="J35" i="5"/>
  <c r="J37" i="5" s="1"/>
  <c r="K35" i="5" l="1"/>
  <c r="K37" i="5" s="1"/>
  <c r="D2" i="12" s="1" a="1"/>
  <c r="J41" i="5"/>
  <c r="J43" i="5" s="1"/>
  <c r="D9" i="12" l="1"/>
  <c r="D11" i="12"/>
  <c r="D18" i="12"/>
  <c r="D21" i="12"/>
  <c r="D22" i="12"/>
  <c r="D23" i="12"/>
  <c r="D3" i="12"/>
  <c r="D16" i="12"/>
  <c r="D8" i="12"/>
  <c r="D10" i="12"/>
  <c r="D17" i="12"/>
  <c r="D19" i="12"/>
  <c r="D13" i="12"/>
  <c r="D2" i="12"/>
  <c r="D20" i="12"/>
  <c r="D12" i="12"/>
  <c r="D15" i="12"/>
  <c r="D14" i="12"/>
  <c r="D4" i="12"/>
  <c r="D6" i="12"/>
  <c r="D5" i="12"/>
  <c r="D3" i="9" a="1"/>
  <c r="D8" i="9" s="1"/>
  <c r="K41" i="5"/>
  <c r="K43" i="5" s="1"/>
  <c r="E3" i="9" s="1" a="1"/>
  <c r="D7" i="12"/>
  <c r="E2" i="12" l="1" a="1"/>
  <c r="E19" i="12" s="1"/>
  <c r="E14" i="9"/>
  <c r="E3" i="9"/>
  <c r="E18" i="9"/>
  <c r="E23" i="9"/>
  <c r="E11" i="9"/>
  <c r="E24" i="9"/>
  <c r="E10" i="9"/>
  <c r="E9" i="9"/>
  <c r="E22" i="9"/>
  <c r="E13" i="9"/>
  <c r="E12" i="9"/>
  <c r="E21" i="9"/>
  <c r="E20" i="9"/>
  <c r="E17" i="9"/>
  <c r="E19" i="9"/>
  <c r="E15" i="9"/>
  <c r="E16" i="9"/>
  <c r="E4" i="9"/>
  <c r="E5" i="9"/>
  <c r="E6" i="9"/>
  <c r="E7" i="9"/>
  <c r="D13" i="9"/>
  <c r="D12" i="9"/>
  <c r="D23" i="9"/>
  <c r="D19" i="9"/>
  <c r="D10" i="9"/>
  <c r="D4" i="9"/>
  <c r="D21" i="9"/>
  <c r="D24" i="9"/>
  <c r="D9" i="9"/>
  <c r="D17" i="9"/>
  <c r="D16" i="9"/>
  <c r="D11" i="9"/>
  <c r="D20" i="9"/>
  <c r="D3" i="9"/>
  <c r="D18" i="9"/>
  <c r="D22" i="9"/>
  <c r="D14" i="9"/>
  <c r="D15" i="9"/>
  <c r="D5" i="9"/>
  <c r="D6" i="9"/>
  <c r="D7" i="9"/>
  <c r="E8" i="9"/>
  <c r="E12" i="12" l="1"/>
  <c r="E21" i="12"/>
  <c r="E6" i="12"/>
  <c r="E9" i="12"/>
  <c r="E23" i="12"/>
  <c r="E16" i="12"/>
  <c r="E22" i="12"/>
  <c r="E4" i="12"/>
  <c r="E18" i="12"/>
  <c r="E10" i="12"/>
  <c r="E20" i="12"/>
  <c r="E14" i="12"/>
  <c r="E3" i="12"/>
  <c r="E8" i="12"/>
  <c r="E7" i="12"/>
  <c r="E2" i="12"/>
  <c r="E11" i="12"/>
  <c r="E15" i="12"/>
  <c r="E17" i="12"/>
  <c r="E5" i="12"/>
  <c r="E13" i="12"/>
  <c r="K6" i="9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Kadija Yilla</author>
    <author>tc={D4AA3B3B-1162-4A8A-A155-4B50A107D1DD}</author>
    <author>tc={6CD6C4CA-E498-4D54-9079-67C6684A7737}</author>
    <author>tc={7D448B96-9EF3-473D-8237-30098D498358}</author>
    <author>tc={B3828621-F8BF-4EE3-B8BA-BEFCEEA719A6}</author>
    <author>tc={4DB7FB29-2B61-4AD8-B269-05A7FEEBC5BD}</author>
    <author>tc={ECAA649D-FAFF-415D-BBA3-8558E7EB5AD8}</author>
    <author>tc={7B8EF2ED-F5A7-446F-B87D-74CEED3214DC}</author>
    <author>tc={93445C5E-94EA-423D-BA59-395F985BF92E}</author>
    <author>tc={7314685E-335E-47AA-B478-1BA6ABF2BDA3}</author>
    <author>tc={299B58A4-BA69-464A-9D14-5A970E50857A}</author>
    <author>tc={C5311C2D-4764-4363-AE1C-A82227666FB7}</author>
    <author>tc={A0B72D47-4ADC-4971-B431-B9EA6C91AE60}</author>
    <author>tc={2D81BDF9-A0D8-4A1A-915B-91D32E8E61FF}</author>
    <author>tc={33EF6DF5-9556-47EC-86E1-A12FDBDC0AA8}</author>
    <author>tc={8D1CFFB8-D62F-4FA1-AB58-5320D39AA096}</author>
    <author>tc={DA48DE65-66E5-4DD8-819A-2F757A61D389}</author>
    <author>tc={1FC8F5D3-F5DD-4502-A8BF-AD36B99CFAF5}</author>
    <author>tc={99D44059-B7C8-4B13-A311-FD754252DDFC}</author>
    <author>tc={11731043-8530-4DAC-9476-3C98D0D836BB}</author>
    <author>tc={D84F0053-F219-4B69-8181-0F12AE7D3FC2}</author>
    <author>tc={3B711313-D2C6-42FC-83C8-BA827015079B}</author>
  </authors>
  <commentList>
    <comment ref="A27" authorId="0" shapeId="0" xr:uid="{ECD23F6A-9B4D-4065-9169-1870DFC07346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grows with GDP
</t>
        </r>
      </text>
    </comment>
    <comment ref="A28" authorId="0" shapeId="0" xr:uid="{7C805864-A9F8-430B-B88F-F827C38CC973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grows with GDP
</t>
        </r>
      </text>
    </comment>
    <comment ref="A29" authorId="0" shapeId="0" xr:uid="{283AF911-CB8E-44E8-8D42-E0DF0A172018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Grows with GDP</t>
        </r>
      </text>
    </comment>
    <comment ref="A30" authorId="0" shapeId="0" xr:uid="{B68C7479-38AA-411D-9605-5051E4057D2B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from the underlying tables</t>
        </r>
      </text>
    </comment>
    <comment ref="A32" authorId="0" shapeId="0" xr:uid="{C4DADB0A-8EA9-4101-A56C-DB4CE8FC5F54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Table 3.4U
</t>
        </r>
      </text>
    </comment>
    <comment ref="A34" authorId="0" shapeId="0" xr:uid="{1609F897-A756-40FA-960B-2F99129BE3A7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table 3.2
</t>
        </r>
      </text>
    </comment>
    <comment ref="A35" authorId="0" shapeId="0" xr:uid="{D7DB1FFC-D458-4B17-8084-D5D4B3EC9C94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Table 3.5U</t>
        </r>
      </text>
    </comment>
    <comment ref="O35" authorId="1" shapeId="0" xr:uid="{D4AA3B3B-1162-4A8A-A155-4B50A107D1DD}">
      <text>
        <t>[Threaded comment]
Your version of Excel allows you to read this threaded comment; however, any edits to it will get removed if the file is opened in a newer version of Excel. Learn more: https://go.microsoft.com/fwlink/?linkid=870924
Comment:
    adding $12B for the medicare sequester (12B over 4 quarters and then annuzlied)</t>
      </text>
    </comment>
    <comment ref="O37" authorId="2" shapeId="0" xr:uid="{6CD6C4CA-E498-4D54-9079-67C6684A7737}">
      <text>
        <t>[Threaded comment]
Your version of Excel allows you to read this threaded comment; however, any edits to it will get removed if the file is opened in a newer version of Excel. Learn more: https://go.microsoft.com/fwlink/?linkid=870924
Comment:
    fiscal hawk: estimate of $166B. and then annualized</t>
      </text>
    </comment>
    <comment ref="A38" authorId="0" shapeId="0" xr:uid="{FC202578-1747-4163-B35E-F3C0C5988714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Table 3.6U: sum of fed employer contributions + sum of fed employee contributions
</t>
        </r>
      </text>
    </comment>
    <comment ref="O38" authorId="3" shapeId="0" xr:uid="{7D448B96-9EF3-473D-8237-30098D498358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$26B. It is a six month extension so we divide by 2 (# of quarters) and then annualize by multiplying by 4.</t>
      </text>
    </comment>
    <comment ref="P38" authorId="4" shapeId="0" xr:uid="{B3828621-F8BF-4EE3-B8BA-BEFCEEA719A6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$26B. It is a six month extension so we divide by 2 (# of quarters) and then annualize by multiplying by 4.</t>
      </text>
    </comment>
    <comment ref="O39" authorId="5" shapeId="0" xr:uid="{4DB7FB29-2B61-4AD8-B269-05A7FEEBC5BD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$5B over calendar year 2021</t>
      </text>
    </comment>
    <comment ref="P39" authorId="6" shapeId="0" xr:uid="{ECAA649D-FAFF-415D-BBA3-8558E7EB5AD8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$5B over calendar year 2021</t>
      </text>
    </comment>
    <comment ref="Q39" authorId="7" shapeId="0" xr:uid="{7B8EF2ED-F5A7-446F-B87D-74CEED3214DC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$5B over calendar year 2021</t>
      </text>
    </comment>
    <comment ref="R39" authorId="8" shapeId="0" xr:uid="{93445C5E-94EA-423D-BA59-395F985BF92E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$5B over calendar year 2021</t>
      </text>
    </comment>
    <comment ref="A40" authorId="0" shapeId="0" xr:uid="{83124FE7-2DCD-4C2B-8989-795EF794C96F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table 2.1</t>
        </r>
      </text>
    </comment>
    <comment ref="M40" authorId="9" shapeId="0" xr:uid="{7314685E-335E-47AA-B478-1BA6ABF2BDA3}">
      <text>
        <t>[Threaded comment]
Your version of Excel allows you to read this threaded comment; however, any edits to it will get removed if the file is opened in a newer version of Excel. Learn more: https://go.microsoft.com/fwlink/?linkid=870924
Comment:
    BEA has 771k for total UI but not including Trump UI. Add trump UI for the real total</t>
      </text>
    </comment>
    <comment ref="O45" authorId="10" shapeId="0" xr:uid="{299B58A4-BA69-464A-9D14-5A970E50857A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CRFB: estimate of $120B. And then annualized</t>
      </text>
    </comment>
    <comment ref="A54" authorId="0" shapeId="0" xr:uid="{E4C71DFA-CAC4-4D78-B4DE-56E45CFF95B5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table 1.10
</t>
        </r>
      </text>
    </comment>
    <comment ref="O63" authorId="11" shapeId="0" xr:uid="{C5311C2D-4764-4363-AE1C-A82227666FB7}">
      <text>
        <t>[Threaded comment]
Your version of Excel allows you to read this threaded comment; however, any edits to it will get removed if the file is opened in a newer version of Excel. Learn more: https://go.microsoft.com/fwlink/?linkid=870924
Comment:
    estimated $300 billion next year. over three quarters = 100. annualized ( x4).
Reply:
    CFRB: estimates $325B. We then annualize it.</t>
      </text>
    </comment>
    <comment ref="O64" authorId="12" shapeId="0" xr:uid="{A0B72D47-4ADC-4971-B431-B9EA6C91AE60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CRFB: estimates $16B. We divide evenly over the remaining 3 quarters of FY21. then annualize</t>
      </text>
    </comment>
    <comment ref="L71" authorId="13" shapeId="0" xr:uid="{2D81BDF9-A0D8-4A1A-915B-91D32E8E61FF}">
      <text>
        <t>[Threaded comment]
Your version of Excel allows you to read this threaded comment; however, any edits to it will get removed if the file is opened in a newer version of Excel. Learn more: https://go.microsoft.com/fwlink/?linkid=870924
Comment:
    grow with nom purchases</t>
      </text>
    </comment>
    <comment ref="L76" authorId="14" shapeId="0" xr:uid="{33EF6DF5-9556-47EC-86E1-A12FDBDC0AA8}">
      <text>
        <t>[Threaded comment]
Your version of Excel allows you to read this threaded comment; however, any edits to it will get removed if the file is opened in a newer version of Excel. Learn more: https://go.microsoft.com/fwlink/?linkid=870924
Comment:
    CBO indicated 17 for q2? why do we split the quarter 3 payments into q2?
Reply:
    we're comfortable leaving this as is</t>
      </text>
    </comment>
    <comment ref="O79" authorId="15" shapeId="0" xr:uid="{8D1CFFB8-D62F-4FA1-AB58-5320D39AA096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$29B ($45 minus $16B for airline which is inn subsidies). MPC is 100% over 12 quarters. And then annualized</t>
      </text>
    </comment>
    <comment ref="O80" authorId="16" shapeId="0" xr:uid="{DA48DE65-66E5-4DD8-819A-2F757A61D389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CRFB: estimates $82B. According to the Louise x Wendy, MPC is 100% over 3 years.</t>
      </text>
    </comment>
    <comment ref="O81" authorId="17" shapeId="0" xr:uid="{1FC8F5D3-F5DD-4502-A8BF-AD36B99CFAF5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CRFB: estimates $63B. MPC is 100% over 12 quarters and then annualize</t>
      </text>
    </comment>
    <comment ref="O82" authorId="18" shapeId="0" xr:uid="{99D44059-B7C8-4B13-A311-FD754252DDFC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CRFB: estimates $54B ($80B top line but net out$26B in SNAP which is in social benefits). MPC is 100% over 12 quarters. And then annualized</t>
      </text>
    </comment>
    <comment ref="A93" authorId="0" shapeId="0" xr:uid="{BA08824F-AD84-4798-BBB7-EA418EA44348}">
      <text>
        <r>
          <rPr>
            <b/>
            <sz val="9"/>
            <color rgb="FF000000"/>
            <rFont val="Tahoma"/>
            <family val="2"/>
          </rPr>
          <t xml:space="preserve">Kadija Yilla:
</t>
        </r>
        <r>
          <rPr>
            <b/>
            <sz val="9"/>
            <color rgb="FF000000"/>
            <rFont val="Tahoma"/>
            <family val="2"/>
          </rPr>
          <t>Table 3.24U</t>
        </r>
      </text>
    </comment>
    <comment ref="N98" authorId="19" shapeId="0" xr:uid="{11731043-8530-4DAC-9476-3C98D0D836BB}">
      <text>
        <t>[Threaded comment]
Your version of Excel allows you to read this threaded comment; however, any edits to it will get removed if the file is opened in a newer version of Excel. Learn more: https://go.microsoft.com/fwlink/?linkid=870924
Comment:
    grow with S&amp;L nom purchases</t>
      </text>
    </comment>
    <comment ref="A100" authorId="0" shapeId="0" xr:uid="{B3E091FA-BC7B-4A13-BB52-450D0FDAFA83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Table 2.1</t>
        </r>
      </text>
    </comment>
    <comment ref="O110" authorId="20" shapeId="0" xr:uid="{D84F0053-F219-4B69-8181-0F12AE7D3FC2}">
      <text>
        <t>[Threaded comment]
Your version of Excel allows you to read this threaded comment; however, any edits to it will get removed if the file is opened in a newer version of Excel. Learn more: https://go.microsoft.com/fwlink/?linkid=870924
Comment:
    overide in the fim with 4%
Reply:
    cbo proected it will be 2.3%. should we still ovverride with 4%?</t>
      </text>
    </comment>
    <comment ref="P110" authorId="21" shapeId="0" xr:uid="{3B711313-D2C6-42FC-83C8-BA827015079B}">
      <text>
        <t>[Threaded comment]
Your version of Excel allows you to read this threaded comment; however, any edits to it will get removed if the file is opened in a newer version of Excel. Learn more: https://go.microsoft.com/fwlink/?linkid=870924
Comment:
    overide in the fim with 4%
Reply:
    cbo proected it will be 2.3%. should we still ovverride with 4%?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tc={8BC26E33-999B-CB4A-87A5-22E26D662D33}</author>
  </authors>
  <commentList>
    <comment ref="U2" authorId="0" shapeId="0" xr:uid="{8BC26E33-999B-CB4A-87A5-22E26D662D33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Extend medicaid estimates before Q4 update
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tc={0D11DB45-5F45-4101-88CC-04004C002B30}</author>
    <author>tc={9AE4A33D-4FC8-4887-8685-E4AD05B19618}</author>
    <author>tc={87857C10-95FA-4E5C-9CD5-D2FE6D3862B8}</author>
    <author>tc={FA886E65-A09D-4A87-8F68-FE5958AB35B4}</author>
  </authors>
  <commentList>
    <comment ref="E24" authorId="0" shapeId="0" xr:uid="{0D11DB45-5F45-4101-88CC-04004C002B30}">
      <text>
        <t>[Threaded comment]
Your version of Excel allows you to read this threaded comment; however, any edits to it will get removed if the file is opened in a newer version of Excel. Learn more: https://go.microsoft.com/fwlink/?linkid=870924
Comment:
    remove the legislation pre-covid level</t>
      </text>
    </comment>
    <comment ref="F24" authorId="1" shapeId="0" xr:uid="{9AE4A33D-4FC8-4887-8685-E4AD05B19618}">
      <text>
        <t>[Threaded comment]
Your version of Excel allows you to read this threaded comment; however, any edits to it will get removed if the file is opened in a newer version of Excel. Learn more: https://go.microsoft.com/fwlink/?linkid=870924
Comment:
    grow it by the growth rate that would prevail without legislation</t>
      </text>
    </comment>
    <comment ref="E32" authorId="2" shapeId="0" xr:uid="{87857C10-95FA-4E5C-9CD5-D2FE6D3862B8}">
      <text>
        <t>[Threaded comment]
Your version of Excel allows you to read this threaded comment; however, any edits to it will get removed if the file is opened in a newer version of Excel. Learn more: https://go.microsoft.com/fwlink/?linkid=870924
Comment:
    remove the legislation from the level</t>
      </text>
    </comment>
    <comment ref="F32" authorId="3" shapeId="0" xr:uid="{FA886E65-A09D-4A87-8F68-FE5958AB35B4}">
      <text>
        <t>[Threaded comment]
Your version of Excel allows you to read this threaded comment; however, any edits to it will get removed if the file is opened in a newer version of Excel. Learn more: https://go.microsoft.com/fwlink/?linkid=870924
Comment:
    grow it by 1%</t>
      </text>
    </comment>
  </commentList>
</comments>
</file>

<file path=xl/sharedStrings.xml><?xml version="1.0" encoding="utf-8"?>
<sst xmlns="http://schemas.openxmlformats.org/spreadsheetml/2006/main" count="1318" uniqueCount="671">
  <si>
    <t>Corporate Taxes</t>
  </si>
  <si>
    <t>FEDERAL</t>
  </si>
  <si>
    <t>Medicaid</t>
  </si>
  <si>
    <t>Medicare</t>
  </si>
  <si>
    <t>Subsidies</t>
  </si>
  <si>
    <t>q4</t>
  </si>
  <si>
    <t>q1</t>
  </si>
  <si>
    <t>q2</t>
  </si>
  <si>
    <t>q3</t>
  </si>
  <si>
    <t>FY2020</t>
  </si>
  <si>
    <t>FY2021</t>
  </si>
  <si>
    <t>FY2022</t>
  </si>
  <si>
    <t>Fy2021</t>
  </si>
  <si>
    <t>ui</t>
  </si>
  <si>
    <t>Fed Social Benefits NIPA Definition</t>
  </si>
  <si>
    <t>Total State Social Benefits NIPA</t>
  </si>
  <si>
    <t>All Grants to States</t>
  </si>
  <si>
    <t>Fed Purchases (Real)</t>
  </si>
  <si>
    <t>** let's smooth payment shift in Medicare +47 in 2020, -46 in 2021 according to CBO BEA doesn’t' appear to incorporate</t>
  </si>
  <si>
    <t>Rebate Checks</t>
  </si>
  <si>
    <t>FY2019</t>
  </si>
  <si>
    <t>State Personal</t>
  </si>
  <si>
    <t>State Taxes on Production</t>
  </si>
  <si>
    <t>State Cont Soc Insurance</t>
  </si>
  <si>
    <t>Personal</t>
  </si>
  <si>
    <t>Production</t>
  </si>
  <si>
    <t>Social Insurance</t>
  </si>
  <si>
    <t>Check FY NIPA</t>
  </si>
  <si>
    <t>** this was higher and seemed wrong</t>
  </si>
  <si>
    <r>
      <t>This file reproduces the tables detailing CBO's budgetary projections that appear in the agency's September 2020 report</t>
    </r>
    <r>
      <rPr>
        <i/>
        <sz val="11"/>
        <color rgb="FF000000"/>
        <rFont val="Arial"/>
        <family val="2"/>
      </rPr>
      <t xml:space="preserve"> An Update to the Budget Outlook: 2020 to 2030</t>
    </r>
    <r>
      <rPr>
        <sz val="11"/>
        <color rgb="FF000000"/>
        <rFont val="Arial"/>
        <family val="2"/>
      </rPr>
      <t>. The file also includes data that supplement those tables.</t>
    </r>
  </si>
  <si>
    <t>www.cbo.gov/publication/56517</t>
  </si>
  <si>
    <t>Table 3. 
Mandatory Outlays Projected in CBO's Baseline</t>
  </si>
  <si>
    <t>Billions of Dollars</t>
  </si>
  <si>
    <t>Total</t>
  </si>
  <si>
    <t>Actual,</t>
  </si>
  <si>
    <t>2021-</t>
  </si>
  <si>
    <t>Social Security</t>
  </si>
  <si>
    <t>Old-Age and Survivors Insurance</t>
  </si>
  <si>
    <t>Disability Insurance</t>
  </si>
  <si>
    <t>_____</t>
  </si>
  <si>
    <t>______</t>
  </si>
  <si>
    <t>Subtotal</t>
  </si>
  <si>
    <t>Major Health Care Programs</t>
  </si>
  <si>
    <r>
      <t>Medicare</t>
    </r>
    <r>
      <rPr>
        <vertAlign val="superscript"/>
        <sz val="11"/>
        <rFont val="Arial"/>
        <family val="2"/>
      </rPr>
      <t>a,b</t>
    </r>
  </si>
  <si>
    <r>
      <t>Premium tax credits and related spending</t>
    </r>
    <r>
      <rPr>
        <vertAlign val="superscript"/>
        <sz val="11"/>
        <rFont val="Arial"/>
        <family val="2"/>
      </rPr>
      <t>c</t>
    </r>
  </si>
  <si>
    <t>Children's Health Insurance Program</t>
  </si>
  <si>
    <r>
      <t>Subtotal</t>
    </r>
    <r>
      <rPr>
        <vertAlign val="superscript"/>
        <sz val="11"/>
        <rFont val="Arial"/>
        <family val="2"/>
      </rPr>
      <t>a</t>
    </r>
  </si>
  <si>
    <t>Income Security Programs</t>
  </si>
  <si>
    <r>
      <t>Earned income, child, and other tax credits</t>
    </r>
    <r>
      <rPr>
        <vertAlign val="superscript"/>
        <sz val="11"/>
        <rFont val="Arial"/>
        <family val="2"/>
      </rPr>
      <t>d</t>
    </r>
  </si>
  <si>
    <t>Supplemental Nutrition Assistance Program</t>
  </si>
  <si>
    <t>Supplemental Security Income</t>
  </si>
  <si>
    <t>Unemployment compensation</t>
  </si>
  <si>
    <r>
      <t>Family support and foster care</t>
    </r>
    <r>
      <rPr>
        <vertAlign val="superscript"/>
        <sz val="11"/>
        <rFont val="Arial"/>
        <family val="2"/>
      </rPr>
      <t>e</t>
    </r>
  </si>
  <si>
    <t>Child nutrition</t>
  </si>
  <si>
    <t>Federal Civilian and Military Retirement</t>
  </si>
  <si>
    <r>
      <t>Civilian</t>
    </r>
    <r>
      <rPr>
        <vertAlign val="superscript"/>
        <sz val="11"/>
        <rFont val="Arial"/>
        <family val="2"/>
      </rPr>
      <t>f</t>
    </r>
  </si>
  <si>
    <r>
      <t>Military</t>
    </r>
    <r>
      <rPr>
        <vertAlign val="superscript"/>
        <sz val="11"/>
        <rFont val="Arial"/>
        <family val="2"/>
      </rPr>
      <t>b</t>
    </r>
  </si>
  <si>
    <t>Other</t>
  </si>
  <si>
    <t>Veterans' Programs</t>
  </si>
  <si>
    <r>
      <t>Income security</t>
    </r>
    <r>
      <rPr>
        <vertAlign val="superscript"/>
        <sz val="11"/>
        <rFont val="Arial"/>
        <family val="2"/>
      </rPr>
      <t>b,g</t>
    </r>
  </si>
  <si>
    <t>Other Programs</t>
  </si>
  <si>
    <t>Small Business Administration</t>
  </si>
  <si>
    <t>Coronavirus relief fund</t>
  </si>
  <si>
    <t xml:space="preserve">Agriculture </t>
  </si>
  <si>
    <t>Deposit insurance</t>
  </si>
  <si>
    <t>MERHCF</t>
  </si>
  <si>
    <r>
      <t>Fannie Mae and Freddie Mac</t>
    </r>
    <r>
      <rPr>
        <vertAlign val="superscript"/>
        <sz val="11"/>
        <rFont val="Arial"/>
        <family val="2"/>
      </rPr>
      <t>h</t>
    </r>
  </si>
  <si>
    <t>Higher education</t>
  </si>
  <si>
    <t>Mandatory Outlays, Excluding the</t>
  </si>
  <si>
    <r>
      <t>Effects of Offsetting Receipts</t>
    </r>
    <r>
      <rPr>
        <vertAlign val="superscript"/>
        <sz val="11"/>
        <rFont val="Arial"/>
        <family val="2"/>
      </rPr>
      <t>a,b</t>
    </r>
  </si>
  <si>
    <t>Offsetting Receipts</t>
  </si>
  <si>
    <r>
      <t>Medicare</t>
    </r>
    <r>
      <rPr>
        <vertAlign val="superscript"/>
        <sz val="11"/>
        <rFont val="Arial"/>
        <family val="2"/>
      </rPr>
      <t>i</t>
    </r>
  </si>
  <si>
    <t>Federal share of federal employees'</t>
  </si>
  <si>
    <t xml:space="preserve">   retirement</t>
  </si>
  <si>
    <t>Civil service retirement and other</t>
  </si>
  <si>
    <t>Military retirement</t>
  </si>
  <si>
    <t>Receipts related to natural resources</t>
  </si>
  <si>
    <t>Total Mandatory Outlays,</t>
  </si>
  <si>
    <r>
      <t>Net of Offsetting Receipts</t>
    </r>
    <r>
      <rPr>
        <vertAlign val="superscript"/>
        <sz val="11"/>
        <rFont val="Arial"/>
        <family val="2"/>
      </rPr>
      <t>b</t>
    </r>
  </si>
  <si>
    <t>Memorandum:</t>
  </si>
  <si>
    <t>Outlays Net of Offsetting Receipts</t>
  </si>
  <si>
    <r>
      <t>Medicare</t>
    </r>
    <r>
      <rPr>
        <vertAlign val="superscript"/>
        <sz val="11"/>
        <rFont val="Arial"/>
        <family val="2"/>
      </rPr>
      <t>b</t>
    </r>
  </si>
  <si>
    <r>
      <t>Major health care programs</t>
    </r>
    <r>
      <rPr>
        <vertAlign val="superscript"/>
        <sz val="11"/>
        <rFont val="Arial"/>
        <family val="2"/>
      </rPr>
      <t>b</t>
    </r>
  </si>
  <si>
    <t xml:space="preserve">CBO NIPA Translation ???? </t>
  </si>
  <si>
    <t>CBO Tax changes have a lot of timing -- payroll deferall, as well as tax credits that the NIPA count as subsidies</t>
  </si>
  <si>
    <t>Only the economic changes should count</t>
  </si>
  <si>
    <t>In Billions of Dollars</t>
  </si>
  <si>
    <t>Revenues</t>
  </si>
  <si>
    <t>Individual income taxes</t>
  </si>
  <si>
    <t>Payroll taxes</t>
  </si>
  <si>
    <t>Corporate income taxes</t>
  </si>
  <si>
    <t>On-budget</t>
  </si>
  <si>
    <r>
      <t>Off-budget</t>
    </r>
    <r>
      <rPr>
        <vertAlign val="superscript"/>
        <sz val="11"/>
        <rFont val="Arial"/>
        <family val="2"/>
      </rPr>
      <t>a</t>
    </r>
  </si>
  <si>
    <t xml:space="preserve">CBO JULY </t>
  </si>
  <si>
    <t>Economic Changes</t>
  </si>
  <si>
    <t>Changes in Revenues</t>
  </si>
  <si>
    <t>___</t>
  </si>
  <si>
    <t>Total Change in Revenues</t>
  </si>
  <si>
    <t>Legislative Changes</t>
  </si>
  <si>
    <r>
      <t>Changes in Revenues</t>
    </r>
    <r>
      <rPr>
        <vertAlign val="superscript"/>
        <sz val="11"/>
        <rFont val="Arial"/>
        <family val="2"/>
      </rPr>
      <t>a</t>
    </r>
  </si>
  <si>
    <t>Technical Changes</t>
  </si>
  <si>
    <t>Check FY totals</t>
  </si>
  <si>
    <t>Revenues without legislative changes  and technical</t>
  </si>
  <si>
    <t>Effects of Selected Federal Pandemic Response Programs on Personal Income, July 2020</t>
  </si>
  <si>
    <r>
      <t>(billions of dollars, seasonally adjusted at</t>
    </r>
    <r>
      <rPr>
        <b/>
        <sz val="11"/>
        <rFont val="Calibri"/>
        <family val="2"/>
        <scheme val="minor"/>
      </rPr>
      <t xml:space="preserve"> annual</t>
    </r>
    <r>
      <rPr>
        <b/>
        <sz val="11"/>
        <color theme="1"/>
        <rFont val="Calibri"/>
        <family val="2"/>
        <scheme val="minor"/>
      </rPr>
      <t xml:space="preserve"> rates)</t>
    </r>
  </si>
  <si>
    <t>Levels</t>
  </si>
  <si>
    <t>Annual Rates</t>
  </si>
  <si>
    <t>Actual Spending</t>
  </si>
  <si>
    <t>Line</t>
  </si>
  <si>
    <t>Q1</t>
  </si>
  <si>
    <t>Q2</t>
  </si>
  <si>
    <t>Q3</t>
  </si>
  <si>
    <t>Jan.</t>
  </si>
  <si>
    <t>Feb.</t>
  </si>
  <si>
    <t>Mar.</t>
  </si>
  <si>
    <t>Apr.</t>
  </si>
  <si>
    <t>May</t>
  </si>
  <si>
    <t>Jun.</t>
  </si>
  <si>
    <t>Jul.</t>
  </si>
  <si>
    <t>CBO Legislation</t>
  </si>
  <si>
    <t>Unemployment Compensation Expansion</t>
  </si>
  <si>
    <t>FPUC - Additional $600 per week</t>
  </si>
  <si>
    <t>PUA - Eligibility expansion</t>
  </si>
  <si>
    <t>PEUC - Additional 13 weeks of coverage</t>
  </si>
  <si>
    <t>Subtotal, unemployment compensation</t>
  </si>
  <si>
    <t>CBO TOTAL UI</t>
  </si>
  <si>
    <t>NonLegislation</t>
  </si>
  <si>
    <t>Emergecy</t>
  </si>
  <si>
    <t>State</t>
  </si>
  <si>
    <t xml:space="preserve">                        Unemployment insurance</t>
  </si>
  <si>
    <r>
      <t xml:space="preserve">                           Of which: </t>
    </r>
    <r>
      <rPr>
        <i/>
        <vertAlign val="superscript"/>
        <sz val="11"/>
        <color theme="1"/>
        <rFont val="Calibri"/>
        <family val="2"/>
        <scheme val="minor"/>
      </rPr>
      <t>4</t>
    </r>
  </si>
  <si>
    <t xml:space="preserve">                              Pandemic Emergency Unemployment Compensation</t>
  </si>
  <si>
    <t xml:space="preserve">                              Pandemic Unemployment Assistance</t>
  </si>
  <si>
    <t xml:space="preserve">                              Pandemic Unemployment Compensation Payments</t>
  </si>
  <si>
    <t>Q4</t>
  </si>
  <si>
    <t>Figure out Q3 from CBO</t>
  </si>
  <si>
    <t>Federal is Everything Legislative + Legislative Cost of Emergency (Because legislation doubled spending from 50% to 100%)</t>
  </si>
  <si>
    <t>Federal UI</t>
  </si>
  <si>
    <t>State UI</t>
  </si>
  <si>
    <t>Assumed Other</t>
  </si>
  <si>
    <t>Total UI</t>
  </si>
  <si>
    <t>FPUC</t>
  </si>
  <si>
    <t>PUA</t>
  </si>
  <si>
    <t>PEUC</t>
  </si>
  <si>
    <t>Federal</t>
  </si>
  <si>
    <t>PUA and peuc expire Expires</t>
  </si>
  <si>
    <t>PPP and Provider Relief in personal income</t>
  </si>
  <si>
    <t>PPP and Provider relief in personal income</t>
  </si>
  <si>
    <t>Fed Social Benefits ex check and ex UI and ex Mediare and PPP and Provider Relief</t>
  </si>
  <si>
    <t>medicare</t>
  </si>
  <si>
    <t>eitc</t>
  </si>
  <si>
    <t>snap</t>
  </si>
  <si>
    <t>vet</t>
  </si>
  <si>
    <t>social security</t>
  </si>
  <si>
    <t>ppp</t>
  </si>
  <si>
    <t>Regular</t>
  </si>
  <si>
    <t>Special</t>
  </si>
  <si>
    <t>State Social Benefits + State UI Less Federal Medicaid</t>
  </si>
  <si>
    <t>Old - Kadija</t>
  </si>
  <si>
    <t>FY 2020</t>
  </si>
  <si>
    <t>FIM Fed Social Benefits</t>
  </si>
  <si>
    <t>Trump UI</t>
  </si>
  <si>
    <t>NO-ADD ONS</t>
  </si>
  <si>
    <t>FY 2021</t>
  </si>
  <si>
    <t>federal_social_benefits</t>
  </si>
  <si>
    <t>federal_noncorp_taxes</t>
  </si>
  <si>
    <t>federal_corporate_taxes</t>
  </si>
  <si>
    <t>federal_subsidies</t>
  </si>
  <si>
    <t>state_health_outlays</t>
  </si>
  <si>
    <t>state_social_benefits</t>
  </si>
  <si>
    <t>state_noncorp_taxes</t>
  </si>
  <si>
    <t>state_corporate_taxes</t>
  </si>
  <si>
    <t>state_subsidies</t>
  </si>
  <si>
    <t>federal_health_outlays</t>
  </si>
  <si>
    <t>FY 2022</t>
  </si>
  <si>
    <t>Without Add-ons</t>
  </si>
  <si>
    <t>Add Factors</t>
  </si>
  <si>
    <t>*Our* Estimate Post-Covid</t>
  </si>
  <si>
    <t>Data + Projections</t>
  </si>
  <si>
    <t>BEA Data</t>
  </si>
  <si>
    <t>State  Corp Taxes</t>
  </si>
  <si>
    <t>State Non-Corp Taxes</t>
  </si>
  <si>
    <t>State Health</t>
  </si>
  <si>
    <t>*Our* Estimate Pre-Covid</t>
  </si>
  <si>
    <t>Leglislative Changes</t>
  </si>
  <si>
    <t>State Social Benefits</t>
  </si>
  <si>
    <t>Federal Health</t>
  </si>
  <si>
    <t>Federal Social Benefits</t>
  </si>
  <si>
    <t>Federal Subsidies</t>
  </si>
  <si>
    <t>Color Code</t>
  </si>
  <si>
    <t>FIM Data ran without add-ons</t>
  </si>
  <si>
    <t>State Line Items</t>
  </si>
  <si>
    <t>Federal Line Items</t>
  </si>
  <si>
    <t>federal_cgrants</t>
  </si>
  <si>
    <t>Federal Cons Grants</t>
  </si>
  <si>
    <t>Grants to S&amp;L Gov't</t>
  </si>
  <si>
    <t>Education</t>
  </si>
  <si>
    <t>Calendar quarters</t>
  </si>
  <si>
    <t>Legislation Subsidies</t>
  </si>
  <si>
    <t>Support for hospitals (state)</t>
  </si>
  <si>
    <t>fed nom purchases growth rate</t>
  </si>
  <si>
    <t>Fed Purchases (Nominal)</t>
  </si>
  <si>
    <t>Nonprofit PPP</t>
  </si>
  <si>
    <t>Billions</t>
  </si>
  <si>
    <t>Grants to States</t>
  </si>
  <si>
    <t>BEA Grants Legislation</t>
  </si>
  <si>
    <t>All Subsidies</t>
  </si>
  <si>
    <t>Total Federal UI</t>
  </si>
  <si>
    <t>FIM State Health</t>
  </si>
  <si>
    <t>FIM Federal Health</t>
  </si>
  <si>
    <t>growth rate</t>
  </si>
  <si>
    <t>C Grants</t>
  </si>
  <si>
    <t>share of year FMAP assumptions</t>
  </si>
  <si>
    <t>Total Medicaid estimate</t>
  </si>
  <si>
    <t>ASSUMPTIOn</t>
  </si>
  <si>
    <t xml:space="preserve">BEA </t>
  </si>
  <si>
    <t>Fed Share of Medicaid NIPA</t>
  </si>
  <si>
    <t>NIPA Fed Share Medicaid</t>
  </si>
  <si>
    <t>FROM CBO</t>
  </si>
  <si>
    <t>Calculated</t>
  </si>
  <si>
    <t>Assumed</t>
  </si>
  <si>
    <t>Medicaid NIPA (all State)</t>
  </si>
  <si>
    <t>All  non Medicaid Grants</t>
  </si>
  <si>
    <t xml:space="preserve"> NonMedicaid Grants less legislation</t>
  </si>
  <si>
    <t>State Social Benefits ex Medicaid NIPA</t>
  </si>
  <si>
    <t xml:space="preserve">Fim State Social Benefits ex Medicaid </t>
  </si>
  <si>
    <t>** aviation subsidies, tax credits for sick leave</t>
  </si>
  <si>
    <t xml:space="preserve">** make some share like UI, some share like corp taxes.  Preliminary info suggests mostly like tax break. </t>
  </si>
  <si>
    <t>subsidies mpc (60% PPP)</t>
  </si>
  <si>
    <t>weight</t>
  </si>
  <si>
    <t>corp</t>
  </si>
  <si>
    <t xml:space="preserve">weighted average </t>
  </si>
  <si>
    <t>new mpc</t>
  </si>
  <si>
    <t>new consumption timing</t>
  </si>
  <si>
    <t>social benefits mpc</t>
  </si>
  <si>
    <t>total mpc</t>
  </si>
  <si>
    <t>speed up UI</t>
  </si>
  <si>
    <t>Weights</t>
  </si>
  <si>
    <t>UI</t>
  </si>
  <si>
    <t>Rebates</t>
  </si>
  <si>
    <t>Our Estimate</t>
  </si>
  <si>
    <t>2019 Actual NIPA</t>
  </si>
  <si>
    <t>Actual</t>
  </si>
  <si>
    <t>add_state_health_outlays</t>
  </si>
  <si>
    <t>add_state_social_benefits</t>
  </si>
  <si>
    <t>add_state_noncorp_taxes</t>
  </si>
  <si>
    <t>add_state_corporate_taxes</t>
  </si>
  <si>
    <t>add_federal_health_outlays</t>
  </si>
  <si>
    <t>add_federal_social_benefits</t>
  </si>
  <si>
    <t>add_federal_subsidies</t>
  </si>
  <si>
    <t>date</t>
  </si>
  <si>
    <t>Noncorporate Taxes</t>
  </si>
  <si>
    <t>Legislation</t>
  </si>
  <si>
    <t xml:space="preserve"> AS</t>
  </si>
  <si>
    <t>GDP (Nominal)</t>
  </si>
  <si>
    <t>GDP (Real)</t>
  </si>
  <si>
    <t>BILLIONS</t>
  </si>
  <si>
    <t>STATE</t>
  </si>
  <si>
    <t>Non-Corporate Taxes</t>
  </si>
  <si>
    <t>as a fraction of Federal Corporate</t>
  </si>
  <si>
    <t>FY2023</t>
  </si>
  <si>
    <t>Our estimate</t>
  </si>
  <si>
    <t>state</t>
  </si>
  <si>
    <t>grow by</t>
  </si>
  <si>
    <t>FY 2023</t>
  </si>
  <si>
    <t>State Non-Corporate Taxes</t>
  </si>
  <si>
    <t>All other subsidies (aviation, employee retention, paid sick)</t>
  </si>
  <si>
    <t>FY 2024</t>
  </si>
  <si>
    <t>FY 2025</t>
  </si>
  <si>
    <t>FY 2026</t>
  </si>
  <si>
    <t>New Targets (based on incoming data)</t>
  </si>
  <si>
    <t>growth rate (w/o adds)</t>
  </si>
  <si>
    <t>CBO NIPA Translation</t>
  </si>
  <si>
    <t>last quarter of add-ons</t>
  </si>
  <si>
    <t>x</t>
  </si>
  <si>
    <t>aviation</t>
  </si>
  <si>
    <t>employee retention</t>
  </si>
  <si>
    <t>paid sick leave</t>
  </si>
  <si>
    <t>real growth rate</t>
  </si>
  <si>
    <t>cbo projected growth rate</t>
  </si>
  <si>
    <t>add_federal_cgrants</t>
  </si>
  <si>
    <t>unemployment_insurance</t>
  </si>
  <si>
    <t>gdp</t>
  </si>
  <si>
    <t>gdph</t>
  </si>
  <si>
    <t>gfrpt</t>
  </si>
  <si>
    <t>gfrpri</t>
  </si>
  <si>
    <t>gfrsp</t>
  </si>
  <si>
    <t>gfrcp</t>
  </si>
  <si>
    <t>gsrpt</t>
  </si>
  <si>
    <t>gsrpri</t>
  </si>
  <si>
    <t>gsrsp</t>
  </si>
  <si>
    <t>gsrcp</t>
  </si>
  <si>
    <t>gftfpx</t>
  </si>
  <si>
    <t>yptmrx</t>
  </si>
  <si>
    <t>gftfpe</t>
  </si>
  <si>
    <t>yptux</t>
  </si>
  <si>
    <t>gftfpp</t>
  </si>
  <si>
    <t>gftfpv</t>
  </si>
  <si>
    <t>gsubx</t>
  </si>
  <si>
    <t>gfsubp</t>
  </si>
  <si>
    <t>gfsubg</t>
  </si>
  <si>
    <t>gfsube</t>
  </si>
  <si>
    <t>gfsubk</t>
  </si>
  <si>
    <t>gfegx</t>
  </si>
  <si>
    <t>gfegl</t>
  </si>
  <si>
    <t>gfz</t>
  </si>
  <si>
    <t>gfx</t>
  </si>
  <si>
    <t>gfeghdx</t>
  </si>
  <si>
    <t>gsetfpx</t>
  </si>
  <si>
    <t>yptmdx</t>
  </si>
  <si>
    <t>gsz</t>
  </si>
  <si>
    <t>gsx</t>
  </si>
  <si>
    <t>variable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</si>
  <si>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</si>
  <si>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</si>
  <si>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</si>
  <si>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</si>
  <si>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</si>
  <si>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</si>
  <si>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</si>
  <si>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</si>
  <si>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csipslx</t>
  </si>
  <si>
    <t>csislx</t>
  </si>
  <si>
    <t xml:space="preserve">BEA UI </t>
  </si>
  <si>
    <t>gsubl</t>
  </si>
  <si>
    <t>PPP (round 1)</t>
  </si>
  <si>
    <t>PPP (round 2)</t>
  </si>
  <si>
    <t>Round 1</t>
  </si>
  <si>
    <t>Round 2</t>
  </si>
  <si>
    <t>Rebate Checks - round 1</t>
  </si>
  <si>
    <t>Rebate Checks - round 2</t>
  </si>
  <si>
    <t>round 1</t>
  </si>
  <si>
    <t>round 2</t>
  </si>
  <si>
    <t>transportation</t>
  </si>
  <si>
    <t>education</t>
  </si>
  <si>
    <t>Unemployment $300 (round 2)</t>
  </si>
  <si>
    <t>add_state_purchases</t>
  </si>
  <si>
    <t>SNAP</t>
  </si>
  <si>
    <t>health care</t>
  </si>
  <si>
    <t>other spending</t>
  </si>
  <si>
    <t xml:space="preserve">EITC </t>
  </si>
  <si>
    <t>business meals deductions</t>
  </si>
  <si>
    <t>Funding to States for Testing</t>
  </si>
  <si>
    <t>Vaccine Procurement</t>
  </si>
  <si>
    <t>Vaccine Distribution</t>
  </si>
  <si>
    <t>Type</t>
  </si>
  <si>
    <t>Total (B)</t>
  </si>
  <si>
    <t>Total (M)</t>
  </si>
  <si>
    <t>add_federal_purchases</t>
  </si>
  <si>
    <t>Aid to Small Businesses</t>
  </si>
  <si>
    <t>Unemployment Benefits</t>
  </si>
  <si>
    <t>Healthcare</t>
  </si>
  <si>
    <t>Transportation</t>
  </si>
  <si>
    <t>Airline Workers Payroll</t>
  </si>
  <si>
    <t>Other Spending</t>
  </si>
  <si>
    <t>Other Tax Cuts</t>
  </si>
  <si>
    <t>Employee Retention Credit</t>
  </si>
  <si>
    <t>EITC</t>
  </si>
  <si>
    <t>Business Meals Deductions</t>
  </si>
  <si>
    <t>add_rebate_checks</t>
  </si>
  <si>
    <t>MILLIONS (Annualized)</t>
  </si>
  <si>
    <t>override growth rate</t>
  </si>
  <si>
    <t>first estimate</t>
  </si>
  <si>
    <t>2020-12-31</t>
  </si>
  <si>
    <t>Before</t>
  </si>
  <si>
    <t>code growth rate</t>
  </si>
  <si>
    <t>gfegc</t>
  </si>
  <si>
    <t>gfege</t>
  </si>
  <si>
    <t>gfegv</t>
  </si>
  <si>
    <t>federal nom purchases override growth rate</t>
  </si>
  <si>
    <t xml:space="preserve">Education </t>
  </si>
  <si>
    <t>Non profit Provider relief</t>
  </si>
  <si>
    <r>
      <rPr>
        <i/>
        <sz val="11"/>
        <color theme="1"/>
        <rFont val="Calibri"/>
        <family val="2"/>
        <scheme val="minor"/>
      </rPr>
      <t>our spending out of</t>
    </r>
    <r>
      <rPr>
        <sz val="11"/>
        <color theme="1"/>
        <rFont val="Calibri"/>
        <family val="2"/>
        <scheme val="minor"/>
      </rPr>
      <t xml:space="preserve"> Grants Legislation</t>
    </r>
  </si>
  <si>
    <t>January</t>
  </si>
  <si>
    <t>February</t>
  </si>
  <si>
    <t>March</t>
  </si>
  <si>
    <t>April</t>
  </si>
  <si>
    <t>PPP disbursements</t>
  </si>
  <si>
    <t>June</t>
  </si>
  <si>
    <t>July</t>
  </si>
  <si>
    <t>August</t>
  </si>
  <si>
    <t>September</t>
  </si>
  <si>
    <t>Boosting BEA's PPP by 325/261 because BEA didn't include all the programs we include in PPP</t>
  </si>
  <si>
    <t>BEA's PPP</t>
  </si>
  <si>
    <t>Quarterly disbursements</t>
  </si>
  <si>
    <t>Boosting quarterly disbursements by 325/261</t>
  </si>
  <si>
    <t>^Going to keep the 650 in Q1 and Q2 instead so that we don't need to change our MPCs to account for monthly timing of PPP within the quarter</t>
  </si>
  <si>
    <t>Payroll for Airline Workers (aviation)</t>
  </si>
  <si>
    <t>Federal Purchases Stimulus doesn't matter</t>
  </si>
  <si>
    <t>Medicaid Grants matters</t>
  </si>
  <si>
    <t>State Purchases Real (matters?)</t>
  </si>
  <si>
    <t>State and local nom purchases (matters?)</t>
  </si>
  <si>
    <t>FIM State social benefits (matters?)</t>
  </si>
  <si>
    <t>all below matters-- have filled in new haver data for Q1 up until here</t>
  </si>
  <si>
    <t>consumption_grants_override</t>
  </si>
  <si>
    <t>ui_override</t>
  </si>
  <si>
    <t>federal_ui_override</t>
  </si>
  <si>
    <t>state_ui_override</t>
  </si>
  <si>
    <t>add_state_non_corporate_taxes</t>
  </si>
  <si>
    <t>add_consumption_grants</t>
  </si>
  <si>
    <t>2021-03-31</t>
  </si>
  <si>
    <t>20909.9</t>
  </si>
  <si>
    <t>21115.3</t>
  </si>
  <si>
    <t>21329.9</t>
  </si>
  <si>
    <t>21540.3</t>
  </si>
  <si>
    <t>21747.4</t>
  </si>
  <si>
    <t>21561.1</t>
  </si>
  <si>
    <t>19520.1</t>
  </si>
  <si>
    <t>21170.3</t>
  </si>
  <si>
    <t>21494.7</t>
  </si>
  <si>
    <t>22061.0</t>
  </si>
  <si>
    <t>18813.9</t>
  </si>
  <si>
    <t>18950.3</t>
  </si>
  <si>
    <t>19020.6</t>
  </si>
  <si>
    <t>19141.7</t>
  </si>
  <si>
    <t>19254.0</t>
  </si>
  <si>
    <t>19010.8</t>
  </si>
  <si>
    <t>17302.5</t>
  </si>
  <si>
    <t>18596.5</t>
  </si>
  <si>
    <t>18794.4</t>
  </si>
  <si>
    <t>19088.1</t>
  </si>
  <si>
    <t>1634.2</t>
  </si>
  <si>
    <t>1695.5</t>
  </si>
  <si>
    <t>1703.1</t>
  </si>
  <si>
    <t>1713.2</t>
  </si>
  <si>
    <t>1740.2</t>
  </si>
  <si>
    <t>1756.6</t>
  </si>
  <si>
    <t>1600.1</t>
  </si>
  <si>
    <t>1685.0</t>
  </si>
  <si>
    <t>1745.6</t>
  </si>
  <si>
    <t>1757.8</t>
  </si>
  <si>
    <t>183.5</t>
  </si>
  <si>
    <t>172.1</t>
  </si>
  <si>
    <t>168.3</t>
  </si>
  <si>
    <t>175.1</t>
  </si>
  <si>
    <t>179.2</t>
  </si>
  <si>
    <t>183.8</t>
  </si>
  <si>
    <t>131.4</t>
  </si>
  <si>
    <t>144.7</t>
  </si>
  <si>
    <t>150.8</t>
  </si>
  <si>
    <t>159.8</t>
  </si>
  <si>
    <t>1355.2</t>
  </si>
  <si>
    <t>1386.7</t>
  </si>
  <si>
    <t>1392.6</t>
  </si>
  <si>
    <t>1397.2</t>
  </si>
  <si>
    <t>1411.7</t>
  </si>
  <si>
    <t>1431.2</t>
  </si>
  <si>
    <t>1369.2</t>
  </si>
  <si>
    <t>1421.4</t>
  </si>
  <si>
    <t>1461.3</t>
  </si>
  <si>
    <t>1498.6</t>
  </si>
  <si>
    <t>234.7</t>
  </si>
  <si>
    <t>213.8</t>
  </si>
  <si>
    <t>224.2</t>
  </si>
  <si>
    <t>201.6</t>
  </si>
  <si>
    <t>229.7</t>
  </si>
  <si>
    <t>180.5</t>
  </si>
  <si>
    <t>171.5</t>
  </si>
  <si>
    <t>207.0</t>
  </si>
  <si>
    <t>236.9</t>
  </si>
  <si>
    <t>250.9</t>
  </si>
  <si>
    <t>456.5</t>
  </si>
  <si>
    <t>475.2</t>
  </si>
  <si>
    <t>519.4</t>
  </si>
  <si>
    <t>483.9</t>
  </si>
  <si>
    <t>480.9</t>
  </si>
  <si>
    <t>495.8</t>
  </si>
  <si>
    <t>496.4</t>
  </si>
  <si>
    <t>506.6</t>
  </si>
  <si>
    <t>524.5</t>
  </si>
  <si>
    <t>555.0</t>
  </si>
  <si>
    <t>1295.5</t>
  </si>
  <si>
    <t>1301.6</t>
  </si>
  <si>
    <t>1312.4</t>
  </si>
  <si>
    <t>1326.5</t>
  </si>
  <si>
    <t>1330.4</t>
  </si>
  <si>
    <t>1346.2</t>
  </si>
  <si>
    <t>1264.3</t>
  </si>
  <si>
    <t>1344.5</t>
  </si>
  <si>
    <t>1360.8</t>
  </si>
  <si>
    <t>1386.2</t>
  </si>
  <si>
    <t xml:space="preserve"> 8600</t>
  </si>
  <si>
    <t xml:space="preserve"> 8932</t>
  </si>
  <si>
    <t xml:space="preserve"> 8944</t>
  </si>
  <si>
    <t xml:space="preserve"> 8604</t>
  </si>
  <si>
    <t xml:space="preserve"> 7908</t>
  </si>
  <si>
    <t xml:space="preserve"> 7020</t>
  </si>
  <si>
    <t xml:space="preserve"> 6744</t>
  </si>
  <si>
    <t xml:space="preserve"> 7248</t>
  </si>
  <si>
    <t xml:space="preserve"> 8536</t>
  </si>
  <si>
    <t>10404</t>
  </si>
  <si>
    <t>12969</t>
  </si>
  <si>
    <t>13054</t>
  </si>
  <si>
    <t>13132</t>
  </si>
  <si>
    <t>13183</t>
  </si>
  <si>
    <t>13235</t>
  </si>
  <si>
    <t>13345</t>
  </si>
  <si>
    <t>12362</t>
  </si>
  <si>
    <t>13001</t>
  </si>
  <si>
    <t>13308</t>
  </si>
  <si>
    <t>13541</t>
  </si>
  <si>
    <t>63.5</t>
  </si>
  <si>
    <t>68.5</t>
  </si>
  <si>
    <t>68.7</t>
  </si>
  <si>
    <t>69.8</t>
  </si>
  <si>
    <t>71.0</t>
  </si>
  <si>
    <t>62.7</t>
  </si>
  <si>
    <t>54.2</t>
  </si>
  <si>
    <t>90.2</t>
  </si>
  <si>
    <t>95.9</t>
  </si>
  <si>
    <t>96.6</t>
  </si>
  <si>
    <t>2220523</t>
  </si>
  <si>
    <t>2298792</t>
  </si>
  <si>
    <t>2315842</t>
  </si>
  <si>
    <t>2331428</t>
  </si>
  <si>
    <t>2347737</t>
  </si>
  <si>
    <t>2422546</t>
  </si>
  <si>
    <t>4815254</t>
  </si>
  <si>
    <t>3494888</t>
  </si>
  <si>
    <t>2918239</t>
  </si>
  <si>
    <t>5163185</t>
  </si>
  <si>
    <t>753311</t>
  </si>
  <si>
    <t>767353</t>
  </si>
  <si>
    <t>779707</t>
  </si>
  <si>
    <t>789893</t>
  </si>
  <si>
    <t>797912</t>
  </si>
  <si>
    <t>804655</t>
  </si>
  <si>
    <t>824058</t>
  </si>
  <si>
    <t>842733</t>
  </si>
  <si>
    <t>860594</t>
  </si>
  <si>
    <t>880104</t>
  </si>
  <si>
    <t>1078100</t>
  </si>
  <si>
    <t xml:space="preserve">  15600</t>
  </si>
  <si>
    <t xml:space="preserve">   5000</t>
  </si>
  <si>
    <t>1933700</t>
  </si>
  <si>
    <t xml:space="preserve">  27025</t>
  </si>
  <si>
    <t xml:space="preserve">  28029</t>
  </si>
  <si>
    <t xml:space="preserve">  27483</t>
  </si>
  <si>
    <t xml:space="preserve">  27578</t>
  </si>
  <si>
    <t xml:space="preserve">  27884</t>
  </si>
  <si>
    <t xml:space="preserve">  43429</t>
  </si>
  <si>
    <t>1084572</t>
  </si>
  <si>
    <t xml:space="preserve"> 775154</t>
  </si>
  <si>
    <t xml:space="preserve"> 296443</t>
  </si>
  <si>
    <t xml:space="preserve"> 544313</t>
  </si>
  <si>
    <t>19100</t>
  </si>
  <si>
    <t>27000</t>
  </si>
  <si>
    <t>10800</t>
  </si>
  <si>
    <t>160900</t>
  </si>
  <si>
    <t xml:space="preserve"> 58400</t>
  </si>
  <si>
    <t xml:space="preserve"> 34500</t>
  </si>
  <si>
    <t xml:space="preserve"> 43000</t>
  </si>
  <si>
    <t xml:space="preserve">  79458</t>
  </si>
  <si>
    <t xml:space="preserve">  71318</t>
  </si>
  <si>
    <t xml:space="preserve">  61083</t>
  </si>
  <si>
    <t xml:space="preserve">  81998</t>
  </si>
  <si>
    <t xml:space="preserve">  81147</t>
  </si>
  <si>
    <t xml:space="preserve">  75093</t>
  </si>
  <si>
    <t>1086548</t>
  </si>
  <si>
    <t>1213480</t>
  </si>
  <si>
    <t xml:space="preserve"> 610407</t>
  </si>
  <si>
    <t xml:space="preserve"> 405269</t>
  </si>
  <si>
    <t>609300</t>
  </si>
  <si>
    <t>865600</t>
  </si>
  <si>
    <t>260300</t>
  </si>
  <si>
    <t>184600</t>
  </si>
  <si>
    <t>63800</t>
  </si>
  <si>
    <t>15000</t>
  </si>
  <si>
    <t xml:space="preserve">  100</t>
  </si>
  <si>
    <t>38000</t>
  </si>
  <si>
    <t>73300</t>
  </si>
  <si>
    <t>140000</t>
  </si>
  <si>
    <t xml:space="preserve">  8000</t>
  </si>
  <si>
    <t xml:space="preserve"> 586475</t>
  </si>
  <si>
    <t xml:space="preserve"> 594213</t>
  </si>
  <si>
    <t xml:space="preserve"> 612547</t>
  </si>
  <si>
    <t xml:space="preserve"> 610331</t>
  </si>
  <si>
    <t xml:space="preserve"> 615406</t>
  </si>
  <si>
    <t xml:space="preserve"> 627805</t>
  </si>
  <si>
    <t>1396890</t>
  </si>
  <si>
    <t xml:space="preserve"> 728172</t>
  </si>
  <si>
    <t xml:space="preserve"> 738142</t>
  </si>
  <si>
    <t xml:space="preserve"> 785624</t>
  </si>
  <si>
    <t>1368395</t>
  </si>
  <si>
    <t>1388750</t>
  </si>
  <si>
    <t>1410626</t>
  </si>
  <si>
    <t>1429281</t>
  </si>
  <si>
    <t>1447946</t>
  </si>
  <si>
    <t>1452551</t>
  </si>
  <si>
    <t>1504782</t>
  </si>
  <si>
    <t>1487035</t>
  </si>
  <si>
    <t>1493436</t>
  </si>
  <si>
    <t>1557175</t>
  </si>
  <si>
    <t>1241599</t>
  </si>
  <si>
    <t>1245767</t>
  </si>
  <si>
    <t>1273567</t>
  </si>
  <si>
    <t>1288518</t>
  </si>
  <si>
    <t>1301120</t>
  </si>
  <si>
    <t>1306142</t>
  </si>
  <si>
    <t>1356816</t>
  </si>
  <si>
    <t>1335133</t>
  </si>
  <si>
    <t>1332160</t>
  </si>
  <si>
    <t>1376156</t>
  </si>
  <si>
    <t>389624</t>
  </si>
  <si>
    <t>404529</t>
  </si>
  <si>
    <t>419672</t>
  </si>
  <si>
    <t>418824</t>
  </si>
  <si>
    <t>411409</t>
  </si>
  <si>
    <t>423429</t>
  </si>
  <si>
    <t>512640</t>
  </si>
  <si>
    <t>486072</t>
  </si>
  <si>
    <t>512193</t>
  </si>
  <si>
    <t>523163</t>
  </si>
  <si>
    <t>728844</t>
  </si>
  <si>
    <t>738714</t>
  </si>
  <si>
    <t>755204</t>
  </si>
  <si>
    <t>763370</t>
  </si>
  <si>
    <t>760967</t>
  </si>
  <si>
    <t>767087</t>
  </si>
  <si>
    <t>812158</t>
  </si>
  <si>
    <t>828480</t>
  </si>
  <si>
    <t>827577</t>
  </si>
  <si>
    <t>840323</t>
  </si>
  <si>
    <t>589819</t>
  </si>
  <si>
    <t>599372</t>
  </si>
  <si>
    <t>614976</t>
  </si>
  <si>
    <t>622265</t>
  </si>
  <si>
    <t>619362</t>
  </si>
  <si>
    <t>624096</t>
  </si>
  <si>
    <t>668823</t>
  </si>
  <si>
    <t>683703</t>
  </si>
  <si>
    <t>682428</t>
  </si>
  <si>
    <t>694419</t>
  </si>
  <si>
    <t>1997129</t>
  </si>
  <si>
    <t>2012720</t>
  </si>
  <si>
    <t>2025477</t>
  </si>
  <si>
    <t>2028275</t>
  </si>
  <si>
    <t>2035602</t>
  </si>
  <si>
    <t>2041017</t>
  </si>
  <si>
    <t>2013139</t>
  </si>
  <si>
    <t>1993051</t>
  </si>
  <si>
    <t>1989168</t>
  </si>
  <si>
    <t>1993271</t>
  </si>
  <si>
    <t>2279638</t>
  </si>
  <si>
    <t>2292717</t>
  </si>
  <si>
    <t>2327018</t>
  </si>
  <si>
    <t>2337774</t>
  </si>
  <si>
    <t>2357385</t>
  </si>
  <si>
    <t>2381563</t>
  </si>
  <si>
    <t>2334544</t>
  </si>
  <si>
    <t>2329605</t>
  </si>
  <si>
    <t>2341726</t>
  </si>
  <si>
    <t>2389366</t>
  </si>
  <si>
    <t>21.569</t>
  </si>
  <si>
    <t>21.986</t>
  </si>
  <si>
    <t>22.076</t>
  </si>
  <si>
    <t>21.787</t>
  </si>
  <si>
    <t>21.143</t>
  </si>
  <si>
    <t>20.365</t>
  </si>
  <si>
    <t>19.106</t>
  </si>
  <si>
    <t>20.249</t>
  </si>
  <si>
    <t>21.844</t>
  </si>
  <si>
    <t>23.945</t>
  </si>
  <si>
    <t>277100</t>
  </si>
  <si>
    <t>228300</t>
  </si>
  <si>
    <t>213400</t>
  </si>
  <si>
    <t>119300</t>
  </si>
  <si>
    <t>690700</t>
  </si>
  <si>
    <t xml:space="preserve"> 39200</t>
  </si>
  <si>
    <t xml:space="preserve"> 29000</t>
  </si>
  <si>
    <t xml:space="preserve"> 46000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</si>
</sst>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3" formatCode="_(* #,##0.00_);_(* \(#,##0.00\);_(* &quot;-&quot;??_);_(@_)"/>
    <numFmt numFmtId="164" formatCode="0.000"/>
    <numFmt numFmtId="165" formatCode="dd\-mmm\-yy"/>
    <numFmt numFmtId="166" formatCode="#,##0.000"/>
    <numFmt numFmtId="167" formatCode="#,##0.0"/>
    <numFmt numFmtId="168" formatCode="[$-409]mmmm\ d\,\ yyyy;@"/>
    <numFmt numFmtId="169" formatCode="_(* #,##0_);_(* \(#,##0\);_(* &quot;-&quot;??_);_(@_)"/>
    <numFmt numFmtId="170" formatCode="0.0"/>
    <numFmt numFmtId="171" formatCode="0.000%"/>
    <numFmt numFmtId="172" formatCode="0.0000"/>
  </numFmts>
  <fonts count="3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Arial"/>
      <family val="2"/>
    </font>
    <font>
      <i/>
      <sz val="11"/>
      <color rgb="FF000000"/>
      <name val="Arial"/>
      <family val="2"/>
    </font>
    <font>
      <sz val="12"/>
      <name val="Arial"/>
      <family val="2"/>
    </font>
    <font>
      <sz val="11"/>
      <name val="Arial"/>
      <family val="2"/>
    </font>
    <font>
      <sz val="10"/>
      <name val="Arial"/>
      <family val="2"/>
    </font>
    <font>
      <sz val="11"/>
      <color rgb="FF1F497D"/>
      <name val="Arial"/>
      <family val="2"/>
    </font>
    <font>
      <sz val="11"/>
      <color theme="3"/>
      <name val="Arial"/>
      <family val="2"/>
    </font>
    <font>
      <b/>
      <sz val="1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  <font>
      <vertAlign val="superscript"/>
      <sz val="11"/>
      <name val="Arial"/>
      <family val="2"/>
    </font>
    <font>
      <b/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vertAlign val="superscript"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i/>
      <sz val="14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ABE9FF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2CC"/>
        <bgColor rgb="FF000000"/>
      </patternFill>
    </fill>
  </fills>
  <borders count="3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/>
      <right/>
      <top/>
      <bottom style="medium">
        <color theme="0" tint="-0.499984740745262"/>
      </bottom>
      <diagonal/>
    </border>
    <border>
      <left/>
      <right/>
      <top style="medium">
        <color theme="0" tint="-0.499984740745262"/>
      </top>
      <bottom/>
      <diagonal/>
    </border>
    <border>
      <left style="medium">
        <color theme="0" tint="-0.499984740745262"/>
      </left>
      <right style="medium">
        <color theme="0" tint="-0.499984740745262"/>
      </right>
      <top style="medium">
        <color theme="0" tint="-0.499984740745262"/>
      </top>
      <bottom/>
      <diagonal/>
    </border>
    <border>
      <left style="medium">
        <color theme="0" tint="-0.499984740745262"/>
      </left>
      <right/>
      <top style="medium">
        <color theme="0" tint="-0.499984740745262"/>
      </top>
      <bottom style="thin">
        <color theme="0" tint="-0.499984740745262"/>
      </bottom>
      <diagonal/>
    </border>
    <border>
      <left/>
      <right/>
      <top style="medium">
        <color theme="0" tint="-0.499984740745262"/>
      </top>
      <bottom style="thin">
        <color theme="0" tint="-0.499984740745262"/>
      </bottom>
      <diagonal/>
    </border>
    <border>
      <left/>
      <right style="medium">
        <color theme="0" tint="-0.499984740745262"/>
      </right>
      <top style="medium">
        <color theme="0" tint="-0.499984740745262"/>
      </top>
      <bottom style="thin">
        <color theme="0" tint="-0.499984740745262"/>
      </bottom>
      <diagonal/>
    </border>
    <border>
      <left style="medium">
        <color theme="0" tint="-0.499984740745262"/>
      </left>
      <right/>
      <top/>
      <bottom/>
      <diagonal/>
    </border>
    <border>
      <left style="medium">
        <color theme="0" tint="-0.499984740745262"/>
      </left>
      <right style="medium">
        <color theme="0" tint="-0.499984740745262"/>
      </right>
      <top/>
      <bottom/>
      <diagonal/>
    </border>
    <border>
      <left style="medium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medium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 style="medium">
        <color theme="0" tint="-0.499984740745262"/>
      </left>
      <right style="medium">
        <color theme="0" tint="-0.499984740745262"/>
      </right>
      <top/>
      <bottom style="thin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Dot">
        <color indexed="64"/>
      </left>
      <right/>
      <top/>
      <bottom/>
      <diagonal/>
    </border>
    <border>
      <left style="dashDot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/>
      <right/>
      <top/>
      <bottom style="medium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/>
      <bottom/>
      <diagonal/>
    </border>
  </borders>
  <cellStyleXfs count="11">
    <xf numFmtId="0" fontId="0" fillId="0" borderId="0"/>
    <xf numFmtId="43" fontId="2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7" fillId="0" borderId="0"/>
    <xf numFmtId="0" fontId="9" fillId="0" borderId="0"/>
    <xf numFmtId="0" fontId="9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2" fillId="0" borderId="0"/>
    <xf numFmtId="9" fontId="22" fillId="0" borderId="0" applyFont="0" applyFill="0" applyBorder="0" applyAlignment="0" applyProtection="0"/>
  </cellStyleXfs>
  <cellXfs count="39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/>
    <xf numFmtId="0" fontId="5" fillId="0" borderId="0" xfId="0" applyFont="1"/>
    <xf numFmtId="0" fontId="8" fillId="0" borderId="0" xfId="3" applyNumberFormat="1" applyFont="1" applyAlignment="1"/>
    <xf numFmtId="0" fontId="8" fillId="0" borderId="0" xfId="4" applyFont="1"/>
    <xf numFmtId="0" fontId="10" fillId="0" borderId="0" xfId="2" applyFont="1" applyFill="1" applyAlignment="1">
      <alignment vertical="center"/>
    </xf>
    <xf numFmtId="0" fontId="11" fillId="0" borderId="0" xfId="2" applyFont="1" applyFill="1" applyAlignment="1">
      <alignment horizontal="left" vertical="center"/>
    </xf>
    <xf numFmtId="164" fontId="8" fillId="0" borderId="0" xfId="0" applyNumberFormat="1" applyFont="1" applyAlignment="1">
      <alignment horizontal="left"/>
    </xf>
    <xf numFmtId="0" fontId="8" fillId="0" borderId="0" xfId="0" applyFont="1"/>
    <xf numFmtId="1" fontId="8" fillId="0" borderId="0" xfId="0" applyNumberFormat="1" applyFont="1" applyAlignment="1">
      <alignment horizontal="fill"/>
    </xf>
    <xf numFmtId="1" fontId="14" fillId="0" borderId="0" xfId="0" applyNumberFormat="1" applyFont="1" applyAlignment="1">
      <alignment horizontal="fill"/>
    </xf>
    <xf numFmtId="0" fontId="14" fillId="0" borderId="0" xfId="0" applyFont="1"/>
    <xf numFmtId="1" fontId="8" fillId="0" borderId="0" xfId="0" applyNumberFormat="1" applyFont="1"/>
    <xf numFmtId="1" fontId="14" fillId="0" borderId="0" xfId="0" applyNumberFormat="1" applyFont="1" applyAlignment="1">
      <alignment horizontal="right"/>
    </xf>
    <xf numFmtId="1" fontId="14" fillId="0" borderId="0" xfId="0" applyNumberFormat="1" applyFont="1"/>
    <xf numFmtId="164" fontId="14" fillId="0" borderId="0" xfId="0" applyNumberFormat="1" applyFont="1"/>
    <xf numFmtId="1" fontId="8" fillId="0" borderId="0" xfId="5" applyNumberFormat="1" applyFont="1" applyAlignment="1">
      <alignment horizontal="right"/>
    </xf>
    <xf numFmtId="0" fontId="8" fillId="0" borderId="1" xfId="0" applyFont="1" applyBorder="1"/>
    <xf numFmtId="165" fontId="8" fillId="0" borderId="1" xfId="0" applyNumberFormat="1" applyFont="1" applyBorder="1"/>
    <xf numFmtId="1" fontId="14" fillId="0" borderId="1" xfId="0" applyNumberFormat="1" applyFont="1" applyBorder="1"/>
    <xf numFmtId="1" fontId="8" fillId="0" borderId="1" xfId="5" applyNumberFormat="1" applyFont="1" applyBorder="1"/>
    <xf numFmtId="3" fontId="15" fillId="0" borderId="0" xfId="0" applyNumberFormat="1" applyFont="1" applyProtection="1">
      <protection locked="0"/>
    </xf>
    <xf numFmtId="3" fontId="8" fillId="0" borderId="0" xfId="0" applyNumberFormat="1" applyFont="1"/>
    <xf numFmtId="3" fontId="15" fillId="0" borderId="0" xfId="0" applyNumberFormat="1" applyFont="1"/>
    <xf numFmtId="3" fontId="8" fillId="0" borderId="0" xfId="0" applyNumberFormat="1" applyFont="1" applyAlignment="1">
      <alignment horizontal="right"/>
    </xf>
    <xf numFmtId="166" fontId="8" fillId="0" borderId="0" xfId="0" applyNumberFormat="1" applyFont="1"/>
    <xf numFmtId="0" fontId="8" fillId="0" borderId="0" xfId="0" applyFont="1" applyAlignment="1">
      <alignment horizontal="left"/>
    </xf>
    <xf numFmtId="167" fontId="15" fillId="0" borderId="0" xfId="0" applyNumberFormat="1" applyFont="1"/>
    <xf numFmtId="0" fontId="12" fillId="0" borderId="0" xfId="0" applyFont="1"/>
    <xf numFmtId="164" fontId="8" fillId="0" borderId="2" xfId="0" applyNumberFormat="1" applyFont="1" applyBorder="1"/>
    <xf numFmtId="3" fontId="0" fillId="2" borderId="0" xfId="0" applyNumberFormat="1" applyFill="1"/>
    <xf numFmtId="1" fontId="0" fillId="4" borderId="0" xfId="0" applyNumberFormat="1" applyFill="1"/>
    <xf numFmtId="0" fontId="0" fillId="4" borderId="0" xfId="0" applyFill="1"/>
    <xf numFmtId="0" fontId="0" fillId="0" borderId="0" xfId="0" applyFill="1"/>
    <xf numFmtId="0" fontId="8" fillId="0" borderId="0" xfId="3" applyFont="1"/>
    <xf numFmtId="0" fontId="8" fillId="0" borderId="0" xfId="5" applyFont="1" applyAlignment="1">
      <alignment horizontal="right"/>
    </xf>
    <xf numFmtId="0" fontId="8" fillId="0" borderId="0" xfId="5" applyFont="1"/>
    <xf numFmtId="0" fontId="8" fillId="0" borderId="1" xfId="3" applyFont="1" applyBorder="1"/>
    <xf numFmtId="165" fontId="8" fillId="0" borderId="1" xfId="3" applyNumberFormat="1" applyFont="1" applyBorder="1"/>
    <xf numFmtId="0" fontId="8" fillId="0" borderId="0" xfId="3" applyFont="1" applyAlignment="1">
      <alignment horizontal="center"/>
    </xf>
    <xf numFmtId="3" fontId="8" fillId="0" borderId="0" xfId="3" applyNumberFormat="1" applyFont="1"/>
    <xf numFmtId="3" fontId="8" fillId="0" borderId="0" xfId="3" applyNumberFormat="1" applyFont="1" applyAlignment="1">
      <alignment horizontal="right"/>
    </xf>
    <xf numFmtId="1" fontId="0" fillId="0" borderId="0" xfId="0" applyNumberFormat="1" applyFill="1"/>
    <xf numFmtId="1" fontId="0" fillId="0" borderId="0" xfId="0" applyNumberFormat="1" applyFill="1" applyAlignment="1">
      <alignment horizontal="center"/>
    </xf>
    <xf numFmtId="168" fontId="0" fillId="0" borderId="0" xfId="0" applyNumberFormat="1" applyAlignment="1">
      <alignment horizontal="right"/>
    </xf>
    <xf numFmtId="0" fontId="3" fillId="0" borderId="4" xfId="0" applyFont="1" applyBorder="1"/>
    <xf numFmtId="0" fontId="0" fillId="0" borderId="5" xfId="0" applyBorder="1"/>
    <xf numFmtId="0" fontId="0" fillId="0" borderId="10" xfId="0" applyBorder="1"/>
    <xf numFmtId="0" fontId="0" fillId="0" borderId="14" xfId="0" applyBorder="1"/>
    <xf numFmtId="0" fontId="0" fillId="0" borderId="15" xfId="0" applyBorder="1"/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5" borderId="0" xfId="0" applyFill="1"/>
    <xf numFmtId="0" fontId="0" fillId="5" borderId="10" xfId="0" applyFill="1" applyBorder="1"/>
    <xf numFmtId="167" fontId="0" fillId="5" borderId="9" xfId="0" quotePrefix="1" applyNumberFormat="1" applyFill="1" applyBorder="1" applyAlignment="1">
      <alignment horizontal="right"/>
    </xf>
    <xf numFmtId="167" fontId="0" fillId="5" borderId="21" xfId="0" quotePrefix="1" applyNumberFormat="1" applyFill="1" applyBorder="1" applyAlignment="1">
      <alignment horizontal="right"/>
    </xf>
    <xf numFmtId="167" fontId="0" fillId="5" borderId="0" xfId="0" quotePrefix="1" applyNumberFormat="1" applyFill="1" applyAlignment="1">
      <alignment horizontal="right"/>
    </xf>
    <xf numFmtId="167" fontId="0" fillId="0" borderId="9" xfId="0" quotePrefix="1" applyNumberFormat="1" applyBorder="1" applyAlignment="1">
      <alignment horizontal="right"/>
    </xf>
    <xf numFmtId="167" fontId="0" fillId="0" borderId="21" xfId="0" quotePrefix="1" applyNumberFormat="1" applyBorder="1" applyAlignment="1">
      <alignment horizontal="right"/>
    </xf>
    <xf numFmtId="167" fontId="0" fillId="0" borderId="0" xfId="0" quotePrefix="1" applyNumberFormat="1" applyAlignment="1">
      <alignment horizontal="right"/>
    </xf>
    <xf numFmtId="0" fontId="8" fillId="0" borderId="1" xfId="0" applyNumberFormat="1" applyFont="1" applyFill="1" applyBorder="1" applyAlignment="1"/>
    <xf numFmtId="0" fontId="8" fillId="0" borderId="1" xfId="0" applyNumberFormat="1" applyFont="1" applyFill="1" applyBorder="1" applyAlignment="1">
      <alignment horizontal="right"/>
    </xf>
    <xf numFmtId="3" fontId="8" fillId="0" borderId="0" xfId="0" applyNumberFormat="1" applyFont="1" applyFill="1" applyAlignment="1"/>
    <xf numFmtId="3" fontId="8" fillId="0" borderId="22" xfId="0" applyNumberFormat="1" applyFont="1" applyFill="1" applyBorder="1" applyAlignment="1">
      <alignment horizontal="right"/>
    </xf>
    <xf numFmtId="0" fontId="8" fillId="0" borderId="0" xfId="0" applyNumberFormat="1" applyFont="1" applyFill="1" applyAlignment="1"/>
    <xf numFmtId="3" fontId="8" fillId="0" borderId="0" xfId="0" applyNumberFormat="1" applyFont="1" applyFill="1" applyBorder="1" applyAlignment="1">
      <alignment horizontal="right"/>
    </xf>
    <xf numFmtId="0" fontId="8" fillId="0" borderId="0" xfId="0" applyFont="1" applyFill="1" applyBorder="1" applyAlignment="1"/>
    <xf numFmtId="3" fontId="0" fillId="0" borderId="0" xfId="0" applyNumberFormat="1"/>
    <xf numFmtId="3" fontId="0" fillId="0" borderId="0" xfId="0" applyNumberFormat="1" applyAlignment="1">
      <alignment horizontal="center"/>
    </xf>
    <xf numFmtId="0" fontId="18" fillId="0" borderId="10" xfId="0" applyFont="1" applyBorder="1" applyAlignment="1">
      <alignment horizontal="left"/>
    </xf>
    <xf numFmtId="0" fontId="20" fillId="0" borderId="10" xfId="6" quotePrefix="1" applyFont="1" applyBorder="1" applyAlignment="1">
      <alignment horizontal="left"/>
    </xf>
    <xf numFmtId="0" fontId="20" fillId="5" borderId="10" xfId="6" quotePrefix="1" applyFont="1" applyFill="1" applyBorder="1" applyAlignment="1">
      <alignment horizontal="left"/>
    </xf>
    <xf numFmtId="0" fontId="3" fillId="0" borderId="0" xfId="0" applyFont="1" applyAlignment="1">
      <alignment horizontal="center"/>
    </xf>
    <xf numFmtId="0" fontId="0" fillId="0" borderId="0" xfId="0" applyBorder="1" applyAlignment="1">
      <alignment horizontal="center"/>
    </xf>
    <xf numFmtId="0" fontId="0" fillId="6" borderId="0" xfId="0" applyFill="1"/>
    <xf numFmtId="3" fontId="0" fillId="6" borderId="0" xfId="0" applyNumberFormat="1" applyFill="1"/>
    <xf numFmtId="0" fontId="0" fillId="0" borderId="0" xfId="0" applyAlignment="1">
      <alignment horizontal="center" wrapText="1"/>
    </xf>
    <xf numFmtId="167" fontId="0" fillId="0" borderId="0" xfId="0" quotePrefix="1" applyNumberFormat="1" applyFill="1" applyAlignment="1">
      <alignment horizontal="right"/>
    </xf>
    <xf numFmtId="3" fontId="0" fillId="0" borderId="0" xfId="0" applyNumberFormat="1" applyFill="1" applyAlignment="1">
      <alignment horizontal="center"/>
    </xf>
    <xf numFmtId="3" fontId="0" fillId="0" borderId="0" xfId="0" applyNumberFormat="1" applyFill="1"/>
    <xf numFmtId="167" fontId="0" fillId="0" borderId="0" xfId="0" applyNumberFormat="1" applyFill="1" applyAlignment="1">
      <alignment horizontal="right"/>
    </xf>
    <xf numFmtId="0" fontId="0" fillId="0" borderId="0" xfId="0" applyAlignment="1">
      <alignment wrapText="1"/>
    </xf>
    <xf numFmtId="169" fontId="0" fillId="0" borderId="0" xfId="1" applyNumberFormat="1" applyFont="1"/>
    <xf numFmtId="169" fontId="0" fillId="0" borderId="0" xfId="0" applyNumberFormat="1"/>
    <xf numFmtId="0" fontId="8" fillId="6" borderId="0" xfId="0" applyFont="1" applyFill="1"/>
    <xf numFmtId="3" fontId="15" fillId="6" borderId="0" xfId="0" applyNumberFormat="1" applyFont="1" applyFill="1"/>
    <xf numFmtId="0" fontId="8" fillId="6" borderId="0" xfId="4" applyFont="1" applyFill="1"/>
    <xf numFmtId="3" fontId="8" fillId="6" borderId="0" xfId="0" applyNumberFormat="1" applyFont="1" applyFill="1"/>
    <xf numFmtId="0" fontId="0" fillId="0" borderId="0" xfId="0" applyFill="1" applyAlignment="1">
      <alignment wrapText="1"/>
    </xf>
    <xf numFmtId="43" fontId="0" fillId="0" borderId="0" xfId="0" applyNumberFormat="1"/>
    <xf numFmtId="0" fontId="0" fillId="0" borderId="0" xfId="0" applyBorder="1"/>
    <xf numFmtId="0" fontId="0" fillId="0" borderId="1" xfId="0" applyBorder="1" applyAlignment="1">
      <alignment horizontal="center"/>
    </xf>
    <xf numFmtId="0" fontId="3" fillId="0" borderId="0" xfId="0" applyFont="1"/>
    <xf numFmtId="0" fontId="0" fillId="7" borderId="0" xfId="0" applyFill="1"/>
    <xf numFmtId="0" fontId="3" fillId="0" borderId="0" xfId="0" applyFont="1" applyAlignment="1">
      <alignment horizontal="left" indent="1"/>
    </xf>
    <xf numFmtId="2" fontId="2" fillId="0" borderId="0" xfId="8" applyNumberFormat="1" applyAlignment="1">
      <alignment horizontal="center"/>
    </xf>
    <xf numFmtId="2" fontId="0" fillId="7" borderId="0" xfId="0" applyNumberFormat="1" applyFill="1"/>
    <xf numFmtId="2" fontId="0" fillId="0" borderId="0" xfId="0" applyNumberFormat="1"/>
    <xf numFmtId="2" fontId="3" fillId="0" borderId="0" xfId="0" applyNumberFormat="1" applyFont="1"/>
    <xf numFmtId="2" fontId="0" fillId="0" borderId="0" xfId="0" applyNumberFormat="1" applyBorder="1"/>
    <xf numFmtId="0" fontId="21" fillId="8" borderId="0" xfId="0" applyFont="1" applyFill="1"/>
    <xf numFmtId="0" fontId="21" fillId="9" borderId="0" xfId="0" applyFont="1" applyFill="1"/>
    <xf numFmtId="0" fontId="0" fillId="9" borderId="0" xfId="0" applyFill="1"/>
    <xf numFmtId="0" fontId="0" fillId="10" borderId="0" xfId="0" applyFill="1"/>
    <xf numFmtId="0" fontId="0" fillId="8" borderId="0" xfId="0" applyFill="1"/>
    <xf numFmtId="0" fontId="21" fillId="10" borderId="0" xfId="0" applyFont="1" applyFill="1"/>
    <xf numFmtId="170" fontId="23" fillId="0" borderId="0" xfId="9" applyNumberFormat="1" applyFont="1" applyAlignment="1">
      <alignment horizontal="left" wrapText="1" indent="2"/>
    </xf>
    <xf numFmtId="170" fontId="23" fillId="0" borderId="0" xfId="9" applyNumberFormat="1" applyFont="1" applyAlignment="1">
      <alignment horizontal="left" indent="2"/>
    </xf>
    <xf numFmtId="0" fontId="0" fillId="0" borderId="0" xfId="0" applyFill="1" applyAlignment="1">
      <alignment horizontal="left" indent="3"/>
    </xf>
    <xf numFmtId="0" fontId="0" fillId="0" borderId="0" xfId="0" applyFill="1" applyAlignment="1">
      <alignment horizontal="left"/>
    </xf>
    <xf numFmtId="0" fontId="0" fillId="0" borderId="0" xfId="0" applyAlignment="1">
      <alignment horizontal="left" wrapText="1" indent="1"/>
    </xf>
    <xf numFmtId="43" fontId="0" fillId="0" borderId="0" xfId="1" applyFont="1" applyFill="1"/>
    <xf numFmtId="0" fontId="0" fillId="0" borderId="0" xfId="0" applyAlignment="1">
      <alignment horizontal="left" wrapText="1" indent="2"/>
    </xf>
    <xf numFmtId="0" fontId="0" fillId="0" borderId="26" xfId="0" applyBorder="1"/>
    <xf numFmtId="0" fontId="0" fillId="0" borderId="27" xfId="0" applyBorder="1" applyAlignment="1">
      <alignment horizontal="center"/>
    </xf>
    <xf numFmtId="0" fontId="0" fillId="0" borderId="26" xfId="0" applyBorder="1" applyAlignment="1">
      <alignment horizontal="center"/>
    </xf>
    <xf numFmtId="2" fontId="2" fillId="0" borderId="26" xfId="8" applyNumberFormat="1" applyBorder="1" applyAlignment="1">
      <alignment horizontal="center"/>
    </xf>
    <xf numFmtId="2" fontId="0" fillId="0" borderId="26" xfId="0" applyNumberFormat="1" applyBorder="1"/>
    <xf numFmtId="2" fontId="3" fillId="0" borderId="26" xfId="0" applyNumberFormat="1" applyFont="1" applyBorder="1"/>
    <xf numFmtId="0" fontId="0" fillId="0" borderId="27" xfId="0" applyFill="1" applyBorder="1" applyAlignment="1">
      <alignment horizontal="center"/>
    </xf>
    <xf numFmtId="0" fontId="0" fillId="0" borderId="26" xfId="0" applyFill="1" applyBorder="1" applyAlignment="1">
      <alignment horizontal="center"/>
    </xf>
    <xf numFmtId="0" fontId="0" fillId="9" borderId="28" xfId="0" applyFill="1" applyBorder="1"/>
    <xf numFmtId="0" fontId="0" fillId="10" borderId="29" xfId="0" applyFill="1" applyBorder="1"/>
    <xf numFmtId="0" fontId="0" fillId="8" borderId="29" xfId="0" applyFill="1" applyBorder="1"/>
    <xf numFmtId="0" fontId="0" fillId="7" borderId="30" xfId="0" applyFill="1" applyBorder="1"/>
    <xf numFmtId="0" fontId="8" fillId="0" borderId="0" xfId="0" applyFont="1"/>
    <xf numFmtId="0" fontId="14" fillId="0" borderId="0" xfId="0" applyFont="1"/>
    <xf numFmtId="0" fontId="3" fillId="0" borderId="0" xfId="0" applyFont="1" applyAlignment="1">
      <alignment horizontal="center"/>
    </xf>
    <xf numFmtId="169" fontId="0" fillId="0" borderId="0" xfId="1" applyNumberFormat="1" applyFont="1" applyFill="1"/>
    <xf numFmtId="0" fontId="0" fillId="0" borderId="0" xfId="0" applyFill="1" applyAlignment="1">
      <alignment horizontal="left" wrapText="1" indent="1"/>
    </xf>
    <xf numFmtId="43" fontId="0" fillId="0" borderId="0" xfId="0" applyNumberFormat="1" applyFill="1"/>
    <xf numFmtId="0" fontId="0" fillId="0" borderId="0" xfId="0" applyFill="1" applyAlignment="1">
      <alignment horizontal="left" indent="1"/>
    </xf>
    <xf numFmtId="0" fontId="23" fillId="0" borderId="0" xfId="0" applyFont="1" applyFill="1" applyAlignment="1">
      <alignment horizontal="left" indent="4"/>
    </xf>
    <xf numFmtId="0" fontId="23" fillId="0" borderId="0" xfId="0" applyFont="1" applyFill="1"/>
    <xf numFmtId="43" fontId="23" fillId="0" borderId="0" xfId="1" applyFont="1" applyFill="1"/>
    <xf numFmtId="1" fontId="23" fillId="0" borderId="0" xfId="0" applyNumberFormat="1" applyFont="1" applyFill="1"/>
    <xf numFmtId="0" fontId="0" fillId="12" borderId="0" xfId="0" applyFill="1"/>
    <xf numFmtId="169" fontId="0" fillId="12" borderId="0" xfId="0" applyNumberFormat="1" applyFill="1"/>
    <xf numFmtId="43" fontId="0" fillId="12" borderId="0" xfId="0" applyNumberFormat="1" applyFill="1"/>
    <xf numFmtId="43" fontId="0" fillId="12" borderId="0" xfId="1" applyFont="1" applyFill="1"/>
    <xf numFmtId="0" fontId="0" fillId="12" borderId="0" xfId="0" applyFill="1" applyAlignment="1">
      <alignment horizontal="left"/>
    </xf>
    <xf numFmtId="0" fontId="0" fillId="0" borderId="31" xfId="0" applyBorder="1"/>
    <xf numFmtId="0" fontId="0" fillId="0" borderId="32" xfId="0" applyBorder="1" applyAlignment="1">
      <alignment horizontal="center"/>
    </xf>
    <xf numFmtId="0" fontId="0" fillId="0" borderId="31" xfId="0" applyBorder="1" applyAlignment="1">
      <alignment horizontal="center"/>
    </xf>
    <xf numFmtId="2" fontId="0" fillId="0" borderId="31" xfId="0" applyNumberFormat="1" applyBorder="1"/>
    <xf numFmtId="2" fontId="3" fillId="0" borderId="31" xfId="0" applyNumberFormat="1" applyFont="1" applyBorder="1"/>
    <xf numFmtId="2" fontId="2" fillId="0" borderId="31" xfId="8" applyNumberFormat="1" applyBorder="1" applyAlignment="1">
      <alignment horizontal="center"/>
    </xf>
    <xf numFmtId="0" fontId="0" fillId="0" borderId="31" xfId="0" applyFill="1" applyBorder="1" applyAlignment="1">
      <alignment horizontal="center"/>
    </xf>
    <xf numFmtId="0" fontId="25" fillId="0" borderId="0" xfId="0" applyFont="1" applyFill="1" applyAlignment="1">
      <alignment horizontal="left" indent="2"/>
    </xf>
    <xf numFmtId="1" fontId="25" fillId="0" borderId="0" xfId="0" applyNumberFormat="1" applyFont="1" applyFill="1" applyAlignment="1">
      <alignment horizontal="left" indent="2"/>
    </xf>
    <xf numFmtId="3" fontId="25" fillId="0" borderId="0" xfId="0" applyNumberFormat="1" applyFont="1" applyFill="1" applyAlignment="1">
      <alignment horizontal="left" indent="2"/>
    </xf>
    <xf numFmtId="0" fontId="3" fillId="0" borderId="0" xfId="0" applyFont="1" applyAlignment="1">
      <alignment horizontal="center"/>
    </xf>
    <xf numFmtId="0" fontId="22" fillId="0" borderId="0" xfId="9"/>
    <xf numFmtId="9" fontId="0" fillId="0" borderId="0" xfId="10" applyFont="1"/>
    <xf numFmtId="0" fontId="26" fillId="0" borderId="0" xfId="9" applyFont="1"/>
    <xf numFmtId="9" fontId="0" fillId="13" borderId="0" xfId="10" applyFont="1" applyFill="1"/>
    <xf numFmtId="0" fontId="22" fillId="13" borderId="0" xfId="9" applyFill="1"/>
    <xf numFmtId="10" fontId="0" fillId="0" borderId="0" xfId="10" applyNumberFormat="1" applyFont="1"/>
    <xf numFmtId="10" fontId="22" fillId="0" borderId="0" xfId="9" applyNumberFormat="1"/>
    <xf numFmtId="2" fontId="26" fillId="0" borderId="0" xfId="9" applyNumberFormat="1" applyFont="1"/>
    <xf numFmtId="10" fontId="0" fillId="13" borderId="0" xfId="10" applyNumberFormat="1" applyFont="1" applyFill="1"/>
    <xf numFmtId="172" fontId="0" fillId="13" borderId="0" xfId="10" applyNumberFormat="1" applyFont="1" applyFill="1"/>
    <xf numFmtId="170" fontId="0" fillId="0" borderId="0" xfId="0" applyNumberFormat="1"/>
    <xf numFmtId="170" fontId="0" fillId="0" borderId="0" xfId="0" applyNumberFormat="1" applyFill="1"/>
    <xf numFmtId="0" fontId="27" fillId="0" borderId="0" xfId="0" applyFont="1" applyFill="1" applyAlignment="1">
      <alignment horizontal="left" indent="1"/>
    </xf>
    <xf numFmtId="0" fontId="27" fillId="0" borderId="0" xfId="0" applyFont="1"/>
    <xf numFmtId="170" fontId="27" fillId="0" borderId="0" xfId="0" applyNumberFormat="1" applyFont="1" applyFill="1"/>
    <xf numFmtId="1" fontId="27" fillId="0" borderId="0" xfId="0" applyNumberFormat="1" applyFont="1" applyFill="1"/>
    <xf numFmtId="1" fontId="27" fillId="0" borderId="0" xfId="0" applyNumberFormat="1" applyFont="1" applyFill="1" applyAlignment="1">
      <alignment horizontal="center"/>
    </xf>
    <xf numFmtId="1" fontId="27" fillId="0" borderId="0" xfId="0" applyNumberFormat="1" applyFont="1"/>
    <xf numFmtId="10" fontId="27" fillId="0" borderId="0" xfId="7" applyNumberFormat="1" applyFont="1" applyFill="1"/>
    <xf numFmtId="0" fontId="0" fillId="0" borderId="0" xfId="0" applyAlignment="1">
      <alignment horizontal="left" indent="1"/>
    </xf>
    <xf numFmtId="0" fontId="27" fillId="0" borderId="0" xfId="0" applyFont="1" applyFill="1" applyAlignment="1">
      <alignment horizontal="left" indent="2"/>
    </xf>
    <xf numFmtId="0" fontId="3" fillId="0" borderId="31" xfId="0" applyFont="1" applyBorder="1" applyAlignment="1">
      <alignment horizontal="center"/>
    </xf>
    <xf numFmtId="1" fontId="0" fillId="0" borderId="31" xfId="0" applyNumberFormat="1" applyFill="1" applyBorder="1" applyAlignment="1">
      <alignment horizontal="center"/>
    </xf>
    <xf numFmtId="1" fontId="27" fillId="0" borderId="31" xfId="0" applyNumberFormat="1" applyFont="1" applyFill="1" applyBorder="1" applyAlignment="1">
      <alignment horizontal="center"/>
    </xf>
    <xf numFmtId="0" fontId="3" fillId="0" borderId="31" xfId="0" applyFont="1" applyBorder="1"/>
    <xf numFmtId="1" fontId="0" fillId="0" borderId="31" xfId="0" applyNumberFormat="1" applyBorder="1"/>
    <xf numFmtId="1" fontId="27" fillId="0" borderId="31" xfId="0" applyNumberFormat="1" applyFont="1" applyBorder="1"/>
    <xf numFmtId="10" fontId="27" fillId="0" borderId="0" xfId="7" applyNumberFormat="1" applyFont="1" applyFill="1" applyAlignment="1">
      <alignment horizontal="center"/>
    </xf>
    <xf numFmtId="0" fontId="25" fillId="0" borderId="0" xfId="0" applyFont="1" applyFill="1"/>
    <xf numFmtId="171" fontId="27" fillId="0" borderId="0" xfId="7" applyNumberFormat="1" applyFont="1" applyFill="1"/>
    <xf numFmtId="1" fontId="25" fillId="0" borderId="0" xfId="0" applyNumberFormat="1" applyFont="1" applyFill="1"/>
    <xf numFmtId="14" fontId="0" fillId="0" borderId="0" xfId="0" applyNumberFormat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167" fontId="0" fillId="5" borderId="0" xfId="0" quotePrefix="1" applyNumberFormat="1" applyFill="1" applyBorder="1" applyAlignment="1">
      <alignment horizontal="right"/>
    </xf>
    <xf numFmtId="167" fontId="0" fillId="0" borderId="0" xfId="0" quotePrefix="1" applyNumberFormat="1" applyBorder="1" applyAlignment="1">
      <alignment horizontal="right"/>
    </xf>
    <xf numFmtId="10" fontId="25" fillId="0" borderId="0" xfId="7" applyNumberFormat="1" applyFont="1" applyFill="1"/>
    <xf numFmtId="0" fontId="27" fillId="15" borderId="0" xfId="0" applyFont="1" applyFill="1" applyAlignment="1">
      <alignment horizontal="left" indent="1"/>
    </xf>
    <xf numFmtId="0" fontId="27" fillId="15" borderId="0" xfId="0" applyFont="1" applyFill="1"/>
    <xf numFmtId="10" fontId="27" fillId="0" borderId="0" xfId="7" applyNumberFormat="1" applyFont="1"/>
    <xf numFmtId="0" fontId="0" fillId="16" borderId="33" xfId="0" applyFill="1" applyBorder="1"/>
    <xf numFmtId="170" fontId="0" fillId="16" borderId="33" xfId="0" applyNumberFormat="1" applyFill="1" applyBorder="1"/>
    <xf numFmtId="170" fontId="27" fillId="16" borderId="33" xfId="0" applyNumberFormat="1" applyFont="1" applyFill="1" applyBorder="1"/>
    <xf numFmtId="10" fontId="27" fillId="16" borderId="33" xfId="7" applyNumberFormat="1" applyFont="1" applyFill="1" applyBorder="1"/>
    <xf numFmtId="169" fontId="0" fillId="16" borderId="33" xfId="0" applyNumberFormat="1" applyFill="1" applyBorder="1"/>
    <xf numFmtId="169" fontId="0" fillId="16" borderId="33" xfId="1" applyNumberFormat="1" applyFont="1" applyFill="1" applyBorder="1"/>
    <xf numFmtId="43" fontId="0" fillId="16" borderId="33" xfId="0" applyNumberFormat="1" applyFill="1" applyBorder="1"/>
    <xf numFmtId="0" fontId="23" fillId="16" borderId="33" xfId="0" applyFont="1" applyFill="1" applyBorder="1"/>
    <xf numFmtId="169" fontId="23" fillId="16" borderId="33" xfId="1" applyNumberFormat="1" applyFont="1" applyFill="1" applyBorder="1"/>
    <xf numFmtId="43" fontId="0" fillId="16" borderId="33" xfId="1" applyFont="1" applyFill="1" applyBorder="1"/>
    <xf numFmtId="0" fontId="25" fillId="16" borderId="33" xfId="0" applyFont="1" applyFill="1" applyBorder="1"/>
    <xf numFmtId="43" fontId="25" fillId="16" borderId="33" xfId="0" applyNumberFormat="1" applyFont="1" applyFill="1" applyBorder="1" applyAlignment="1">
      <alignment horizontal="left" indent="2"/>
    </xf>
    <xf numFmtId="10" fontId="25" fillId="16" borderId="33" xfId="7" applyNumberFormat="1" applyFont="1" applyFill="1" applyBorder="1"/>
    <xf numFmtId="0" fontId="27" fillId="0" borderId="0" xfId="0" applyFont="1" applyAlignment="1">
      <alignment horizontal="left" indent="1"/>
    </xf>
    <xf numFmtId="0" fontId="0" fillId="0" borderId="0" xfId="0" applyAlignment="1">
      <alignment horizontal="left" indent="2"/>
    </xf>
    <xf numFmtId="0" fontId="27" fillId="0" borderId="0" xfId="0" applyFont="1" applyFill="1" applyAlignment="1">
      <alignment horizontal="left" indent="3"/>
    </xf>
    <xf numFmtId="43" fontId="0" fillId="0" borderId="33" xfId="0" applyNumberFormat="1" applyFill="1" applyBorder="1"/>
    <xf numFmtId="2" fontId="0" fillId="0" borderId="0" xfId="0" applyNumberFormat="1" applyFill="1"/>
    <xf numFmtId="169" fontId="0" fillId="0" borderId="0" xfId="0" applyNumberFormat="1" applyFill="1"/>
    <xf numFmtId="3" fontId="8" fillId="0" borderId="0" xfId="0" applyNumberFormat="1" applyFont="1" applyFill="1" applyAlignment="1">
      <alignment wrapText="1"/>
    </xf>
    <xf numFmtId="2" fontId="3" fillId="0" borderId="0" xfId="0" applyNumberFormat="1" applyFont="1" applyBorder="1"/>
    <xf numFmtId="2" fontId="2" fillId="0" borderId="0" xfId="8" applyNumberFormat="1" applyBorder="1" applyAlignment="1">
      <alignment horizontal="center"/>
    </xf>
    <xf numFmtId="0" fontId="0" fillId="0" borderId="0" xfId="0" applyFill="1" applyAlignment="1">
      <alignment horizontal="left" wrapText="1" indent="2"/>
    </xf>
    <xf numFmtId="0" fontId="0" fillId="0" borderId="0" xfId="0" applyFill="1" applyAlignment="1">
      <alignment horizontal="left" indent="2"/>
    </xf>
    <xf numFmtId="0" fontId="0" fillId="0" borderId="0" xfId="0" applyAlignment="1">
      <alignment horizontal="center"/>
    </xf>
    <xf numFmtId="0" fontId="3" fillId="0" borderId="23" xfId="0" applyFont="1" applyBorder="1" applyAlignment="1"/>
    <xf numFmtId="2" fontId="0" fillId="2" borderId="0" xfId="0" applyNumberFormat="1" applyFill="1" applyBorder="1"/>
    <xf numFmtId="171" fontId="25" fillId="0" borderId="0" xfId="7" applyNumberFormat="1" applyFont="1" applyFill="1"/>
    <xf numFmtId="0" fontId="27" fillId="16" borderId="33" xfId="0" applyFont="1" applyFill="1" applyBorder="1"/>
    <xf numFmtId="169" fontId="27" fillId="0" borderId="0" xfId="0" applyNumberFormat="1" applyFont="1"/>
    <xf numFmtId="171" fontId="27" fillId="16" borderId="33" xfId="7" applyNumberFormat="1" applyFont="1" applyFill="1" applyBorder="1"/>
    <xf numFmtId="2" fontId="27" fillId="0" borderId="0" xfId="0" applyNumberFormat="1" applyFont="1"/>
    <xf numFmtId="2" fontId="27" fillId="0" borderId="31" xfId="0" applyNumberFormat="1" applyFont="1" applyBorder="1"/>
    <xf numFmtId="171" fontId="27" fillId="0" borderId="0" xfId="7" applyNumberFormat="1" applyFont="1" applyFill="1" applyBorder="1"/>
    <xf numFmtId="2" fontId="0" fillId="0" borderId="0" xfId="0" applyNumberFormat="1" applyFill="1" applyBorder="1"/>
    <xf numFmtId="0" fontId="27" fillId="0" borderId="31" xfId="0" applyFont="1" applyBorder="1"/>
    <xf numFmtId="0" fontId="0" fillId="0" borderId="31" xfId="0" applyFill="1" applyBorder="1"/>
    <xf numFmtId="0" fontId="25" fillId="0" borderId="31" xfId="0" applyFont="1" applyFill="1" applyBorder="1"/>
    <xf numFmtId="1" fontId="0" fillId="0" borderId="31" xfId="0" applyNumberFormat="1" applyFill="1" applyBorder="1"/>
    <xf numFmtId="0" fontId="23" fillId="0" borderId="31" xfId="0" applyFont="1" applyFill="1" applyBorder="1"/>
    <xf numFmtId="1" fontId="25" fillId="0" borderId="31" xfId="0" applyNumberFormat="1" applyFont="1" applyFill="1" applyBorder="1"/>
    <xf numFmtId="0" fontId="25" fillId="0" borderId="31" xfId="0" applyFont="1" applyFill="1" applyBorder="1" applyAlignment="1">
      <alignment horizontal="left" indent="2"/>
    </xf>
    <xf numFmtId="2" fontId="3" fillId="2" borderId="0" xfId="0" applyNumberFormat="1" applyFont="1" applyFill="1" applyBorder="1"/>
    <xf numFmtId="0" fontId="0" fillId="2" borderId="0" xfId="0" applyFill="1"/>
    <xf numFmtId="0" fontId="0" fillId="2" borderId="0" xfId="0" applyFill="1" applyBorder="1"/>
    <xf numFmtId="2" fontId="27" fillId="0" borderId="0" xfId="0" applyNumberFormat="1" applyFont="1" applyBorder="1"/>
    <xf numFmtId="0" fontId="27" fillId="0" borderId="0" xfId="0" applyFont="1" applyBorder="1"/>
    <xf numFmtId="0" fontId="3" fillId="0" borderId="0" xfId="0" applyFont="1" applyBorder="1"/>
    <xf numFmtId="2" fontId="2" fillId="2" borderId="0" xfId="8" applyNumberFormat="1" applyFill="1" applyBorder="1" applyAlignment="1">
      <alignment horizontal="center"/>
    </xf>
    <xf numFmtId="171" fontId="27" fillId="0" borderId="31" xfId="7" applyNumberFormat="1" applyFont="1" applyFill="1" applyBorder="1"/>
    <xf numFmtId="2" fontId="0" fillId="0" borderId="31" xfId="0" applyNumberFormat="1" applyFill="1" applyBorder="1"/>
    <xf numFmtId="2" fontId="2" fillId="0" borderId="0" xfId="8" applyNumberFormat="1" applyFill="1" applyBorder="1" applyAlignment="1">
      <alignment horizontal="center"/>
    </xf>
    <xf numFmtId="2" fontId="2" fillId="0" borderId="31" xfId="8" applyNumberFormat="1" applyFill="1" applyBorder="1" applyAlignment="1">
      <alignment horizontal="center"/>
    </xf>
    <xf numFmtId="2" fontId="3" fillId="0" borderId="0" xfId="0" applyNumberFormat="1" applyFont="1" applyFill="1" applyBorder="1"/>
    <xf numFmtId="2" fontId="3" fillId="0" borderId="31" xfId="0" applyNumberFormat="1" applyFont="1" applyFill="1" applyBorder="1"/>
    <xf numFmtId="10" fontId="0" fillId="0" borderId="0" xfId="7" applyNumberFormat="1" applyFont="1"/>
    <xf numFmtId="169" fontId="25" fillId="16" borderId="33" xfId="1" applyNumberFormat="1" applyFont="1" applyFill="1" applyBorder="1"/>
    <xf numFmtId="43" fontId="25" fillId="0" borderId="0" xfId="1" applyFont="1" applyFill="1"/>
    <xf numFmtId="169" fontId="0" fillId="0" borderId="33" xfId="0" applyNumberFormat="1" applyFill="1" applyBorder="1"/>
    <xf numFmtId="0" fontId="0" fillId="12" borderId="31" xfId="0" applyFill="1" applyBorder="1"/>
    <xf numFmtId="0" fontId="0" fillId="0" borderId="0" xfId="0" applyAlignment="1">
      <alignment horizontal="center"/>
    </xf>
    <xf numFmtId="0" fontId="0" fillId="0" borderId="0" xfId="0" applyFill="1" applyBorder="1"/>
    <xf numFmtId="0" fontId="32" fillId="0" borderId="0" xfId="0" applyFont="1"/>
    <xf numFmtId="14" fontId="32" fillId="0" borderId="0" xfId="0" applyNumberFormat="1" applyFont="1"/>
    <xf numFmtId="2" fontId="32" fillId="0" borderId="0" xfId="0" applyNumberFormat="1" applyFont="1"/>
    <xf numFmtId="43" fontId="0" fillId="0" borderId="0" xfId="0" applyNumberFormat="1" applyFill="1" applyBorder="1"/>
    <xf numFmtId="2" fontId="0" fillId="2" borderId="31" xfId="0" applyNumberFormat="1" applyFill="1" applyBorder="1"/>
    <xf numFmtId="2" fontId="3" fillId="2" borderId="31" xfId="0" applyNumberFormat="1" applyFont="1" applyFill="1" applyBorder="1"/>
    <xf numFmtId="164" fontId="0" fillId="0" borderId="0" xfId="0" applyNumberFormat="1"/>
    <xf numFmtId="164" fontId="0" fillId="0" borderId="31" xfId="0" applyNumberFormat="1" applyBorder="1"/>
    <xf numFmtId="0" fontId="1" fillId="0" borderId="0" xfId="9" applyFont="1"/>
    <xf numFmtId="0" fontId="24" fillId="0" borderId="0" xfId="0" applyFont="1" applyFill="1" applyAlignment="1">
      <alignment horizontal="center"/>
    </xf>
    <xf numFmtId="0" fontId="27" fillId="0" borderId="0" xfId="0" applyFont="1" applyFill="1"/>
    <xf numFmtId="0" fontId="0" fillId="0" borderId="0" xfId="0" applyAlignment="1">
      <alignment horizontal="left" wrapText="1" indent="3"/>
    </xf>
    <xf numFmtId="0" fontId="0" fillId="0" borderId="0" xfId="0" applyFill="1" applyAlignment="1">
      <alignment horizontal="left" wrapText="1" indent="3"/>
    </xf>
    <xf numFmtId="0" fontId="25" fillId="0" borderId="0" xfId="0" applyFont="1" applyFill="1" applyAlignment="1">
      <alignment horizontal="left" indent="4"/>
    </xf>
    <xf numFmtId="0" fontId="0" fillId="17" borderId="0" xfId="0" applyFill="1" applyAlignment="1">
      <alignment horizontal="left" wrapText="1" indent="3"/>
    </xf>
    <xf numFmtId="0" fontId="0" fillId="17" borderId="0" xfId="0" applyFill="1"/>
    <xf numFmtId="169" fontId="0" fillId="17" borderId="0" xfId="1" applyNumberFormat="1" applyFont="1" applyFill="1"/>
    <xf numFmtId="1" fontId="0" fillId="17" borderId="0" xfId="0" applyNumberFormat="1" applyFill="1"/>
    <xf numFmtId="1" fontId="0" fillId="17" borderId="0" xfId="0" applyNumberFormat="1" applyFill="1" applyAlignment="1">
      <alignment horizontal="center"/>
    </xf>
    <xf numFmtId="1" fontId="0" fillId="17" borderId="31" xfId="0" applyNumberFormat="1" applyFill="1" applyBorder="1"/>
    <xf numFmtId="43" fontId="0" fillId="17" borderId="0" xfId="1" applyFont="1" applyFill="1"/>
    <xf numFmtId="0" fontId="0" fillId="17" borderId="31" xfId="0" applyFill="1" applyBorder="1"/>
    <xf numFmtId="0" fontId="0" fillId="17" borderId="0" xfId="0" applyFill="1" applyAlignment="1">
      <alignment wrapText="1"/>
    </xf>
    <xf numFmtId="0" fontId="0" fillId="17" borderId="0" xfId="0" applyFill="1" applyAlignment="1">
      <alignment horizontal="left" indent="3"/>
    </xf>
    <xf numFmtId="0" fontId="0" fillId="0" borderId="0" xfId="0" applyAlignment="1">
      <alignment horizontal="center"/>
    </xf>
    <xf numFmtId="0" fontId="0" fillId="17" borderId="0" xfId="0" applyFill="1" applyAlignment="1">
      <alignment horizontal="left" indent="1"/>
    </xf>
    <xf numFmtId="0" fontId="25" fillId="17" borderId="0" xfId="0" applyFont="1" applyFill="1" applyAlignment="1">
      <alignment horizontal="left" indent="1"/>
    </xf>
    <xf numFmtId="171" fontId="27" fillId="17" borderId="0" xfId="7" applyNumberFormat="1" applyFont="1" applyFill="1" applyAlignment="1">
      <alignment horizontal="left" indent="1"/>
    </xf>
    <xf numFmtId="1" fontId="25" fillId="17" borderId="0" xfId="0" applyNumberFormat="1" applyFont="1" applyFill="1" applyAlignment="1">
      <alignment horizontal="left" indent="1"/>
    </xf>
    <xf numFmtId="1" fontId="25" fillId="17" borderId="31" xfId="0" applyNumberFormat="1" applyFont="1" applyFill="1" applyBorder="1" applyAlignment="1">
      <alignment horizontal="left" indent="1"/>
    </xf>
    <xf numFmtId="0" fontId="0" fillId="0" borderId="0" xfId="0" applyFont="1"/>
    <xf numFmtId="43" fontId="0" fillId="0" borderId="0" xfId="1" applyFont="1"/>
    <xf numFmtId="0" fontId="0" fillId="0" borderId="0" xfId="0" applyFont="1" applyAlignment="1">
      <alignment horizontal="left" indent="1"/>
    </xf>
    <xf numFmtId="0" fontId="0" fillId="0" borderId="0" xfId="0" applyFont="1" applyAlignment="1">
      <alignment horizontal="left"/>
    </xf>
    <xf numFmtId="0" fontId="0" fillId="0" borderId="34" xfId="0" applyFont="1" applyBorder="1" applyAlignment="1">
      <alignment horizontal="left" indent="1"/>
    </xf>
    <xf numFmtId="0" fontId="0" fillId="0" borderId="34" xfId="0" applyBorder="1"/>
    <xf numFmtId="43" fontId="0" fillId="0" borderId="34" xfId="1" applyFont="1" applyBorder="1"/>
    <xf numFmtId="169" fontId="32" fillId="18" borderId="0" xfId="0" applyNumberFormat="1" applyFont="1" applyFill="1"/>
    <xf numFmtId="0" fontId="3" fillId="0" borderId="0" xfId="0" applyFont="1" applyAlignment="1">
      <alignment horizontal="center"/>
    </xf>
    <xf numFmtId="169" fontId="0" fillId="16" borderId="0" xfId="0" applyNumberFormat="1" applyFill="1"/>
    <xf numFmtId="43" fontId="0" fillId="16" borderId="0" xfId="1" applyFont="1" applyFill="1"/>
    <xf numFmtId="0" fontId="25" fillId="16" borderId="33" xfId="0" applyFont="1" applyFill="1" applyBorder="1" applyAlignment="1">
      <alignment horizontal="left" indent="1"/>
    </xf>
    <xf numFmtId="0" fontId="0" fillId="16" borderId="35" xfId="0" applyFill="1" applyBorder="1"/>
    <xf numFmtId="10" fontId="27" fillId="16" borderId="35" xfId="7" applyNumberFormat="1" applyFont="1" applyFill="1" applyBorder="1"/>
    <xf numFmtId="169" fontId="0" fillId="16" borderId="35" xfId="1" applyNumberFormat="1" applyFont="1" applyFill="1" applyBorder="1"/>
    <xf numFmtId="169" fontId="25" fillId="16" borderId="35" xfId="1" applyNumberFormat="1" applyFont="1" applyFill="1" applyBorder="1"/>
    <xf numFmtId="10" fontId="27" fillId="16" borderId="35" xfId="7" applyNumberFormat="1" applyFont="1" applyFill="1" applyBorder="1" applyAlignment="1">
      <alignment horizontal="left" indent="1"/>
    </xf>
    <xf numFmtId="169" fontId="0" fillId="16" borderId="35" xfId="0" applyNumberFormat="1" applyFill="1" applyBorder="1"/>
    <xf numFmtId="1" fontId="0" fillId="16" borderId="35" xfId="0" applyNumberFormat="1" applyFill="1" applyBorder="1"/>
    <xf numFmtId="43" fontId="0" fillId="16" borderId="35" xfId="1" applyFont="1" applyFill="1" applyBorder="1"/>
    <xf numFmtId="43" fontId="25" fillId="16" borderId="35" xfId="1" applyFont="1" applyFill="1" applyBorder="1"/>
    <xf numFmtId="43" fontId="0" fillId="16" borderId="35" xfId="0" applyNumberFormat="1" applyFill="1" applyBorder="1"/>
    <xf numFmtId="171" fontId="27" fillId="16" borderId="35" xfId="7" applyNumberFormat="1" applyFont="1" applyFill="1" applyBorder="1"/>
    <xf numFmtId="171" fontId="27" fillId="16" borderId="35" xfId="7" applyNumberFormat="1" applyFont="1" applyFill="1" applyBorder="1" applyAlignment="1">
      <alignment horizontal="left" indent="1"/>
    </xf>
    <xf numFmtId="170" fontId="0" fillId="0" borderId="35" xfId="0" applyNumberFormat="1" applyFill="1" applyBorder="1"/>
    <xf numFmtId="10" fontId="27" fillId="0" borderId="35" xfId="7" applyNumberFormat="1" applyFont="1" applyFill="1" applyBorder="1"/>
    <xf numFmtId="169" fontId="20" fillId="16" borderId="35" xfId="1" applyNumberFormat="1" applyFont="1" applyFill="1" applyBorder="1"/>
    <xf numFmtId="167" fontId="0" fillId="0" borderId="0" xfId="0" applyNumberFormat="1" applyAlignment="1">
      <alignment horizontal="right"/>
    </xf>
    <xf numFmtId="0" fontId="3" fillId="0" borderId="0" xfId="0" applyFont="1" applyBorder="1" applyAlignment="1">
      <alignment horizontal="center"/>
    </xf>
    <xf numFmtId="2" fontId="0" fillId="16" borderId="35" xfId="0" applyNumberFormat="1" applyFill="1" applyBorder="1"/>
    <xf numFmtId="170" fontId="0" fillId="16" borderId="35" xfId="0" applyNumberFormat="1" applyFill="1" applyBorder="1"/>
    <xf numFmtId="1" fontId="27" fillId="0" borderId="0" xfId="0" applyNumberFormat="1" applyFont="1" applyFill="1" applyBorder="1" applyAlignment="1">
      <alignment horizontal="center"/>
    </xf>
    <xf numFmtId="1" fontId="0" fillId="0" borderId="0" xfId="0" applyNumberFormat="1" applyFill="1" applyBorder="1" applyAlignment="1">
      <alignment horizontal="center"/>
    </xf>
    <xf numFmtId="10" fontId="27" fillId="0" borderId="31" xfId="7" applyNumberFormat="1" applyFont="1" applyFill="1" applyBorder="1" applyAlignment="1">
      <alignment horizontal="center"/>
    </xf>
    <xf numFmtId="10" fontId="27" fillId="16" borderId="0" xfId="7" applyNumberFormat="1" applyFont="1" applyFill="1"/>
    <xf numFmtId="2" fontId="8" fillId="0" borderId="0" xfId="3" applyNumberFormat="1" applyFont="1" applyAlignment="1">
      <alignment horizontal="right"/>
    </xf>
    <xf numFmtId="0" fontId="0" fillId="9" borderId="0" xfId="0" applyFill="1" applyAlignment="1">
      <alignment wrapText="1"/>
    </xf>
    <xf numFmtId="169" fontId="0" fillId="9" borderId="33" xfId="1" applyNumberFormat="1" applyFont="1" applyFill="1" applyBorder="1"/>
    <xf numFmtId="0" fontId="0" fillId="9" borderId="35" xfId="0" applyFill="1" applyBorder="1"/>
    <xf numFmtId="169" fontId="0" fillId="9" borderId="35" xfId="1" applyNumberFormat="1" applyFont="1" applyFill="1" applyBorder="1"/>
    <xf numFmtId="169" fontId="0" fillId="9" borderId="0" xfId="1" applyNumberFormat="1" applyFont="1" applyFill="1"/>
    <xf numFmtId="1" fontId="0" fillId="9" borderId="0" xfId="0" applyNumberFormat="1" applyFill="1"/>
    <xf numFmtId="1" fontId="0" fillId="9" borderId="0" xfId="0" applyNumberFormat="1" applyFill="1" applyAlignment="1">
      <alignment horizontal="center"/>
    </xf>
    <xf numFmtId="1" fontId="0" fillId="9" borderId="31" xfId="0" applyNumberFormat="1" applyFill="1" applyBorder="1"/>
    <xf numFmtId="0" fontId="0" fillId="9" borderId="0" xfId="0" applyFill="1" applyAlignment="1">
      <alignment horizontal="left" wrapText="1" indent="2"/>
    </xf>
    <xf numFmtId="0" fontId="0" fillId="9" borderId="0" xfId="0" applyFill="1" applyAlignment="1">
      <alignment horizontal="left" indent="3"/>
    </xf>
    <xf numFmtId="0" fontId="0" fillId="9" borderId="33" xfId="0" applyFill="1" applyBorder="1"/>
    <xf numFmtId="43" fontId="0" fillId="9" borderId="35" xfId="1" applyFont="1" applyFill="1" applyBorder="1"/>
    <xf numFmtId="43" fontId="0" fillId="9" borderId="0" xfId="1" applyFont="1" applyFill="1"/>
    <xf numFmtId="0" fontId="0" fillId="9" borderId="31" xfId="0" applyFill="1" applyBorder="1"/>
    <xf numFmtId="0" fontId="0" fillId="16" borderId="0" xfId="0" applyFill="1"/>
    <xf numFmtId="170" fontId="0" fillId="16" borderId="0" xfId="0" applyNumberFormat="1" applyFill="1"/>
    <xf numFmtId="2" fontId="0" fillId="16" borderId="0" xfId="0" applyNumberFormat="1" applyFill="1"/>
    <xf numFmtId="10" fontId="25" fillId="16" borderId="0" xfId="7" applyNumberFormat="1" applyFont="1" applyFill="1"/>
    <xf numFmtId="169" fontId="0" fillId="16" borderId="0" xfId="1" applyNumberFormat="1" applyFont="1" applyFill="1"/>
    <xf numFmtId="169" fontId="27" fillId="16" borderId="0" xfId="0" applyNumberFormat="1" applyFont="1" applyFill="1"/>
    <xf numFmtId="1" fontId="0" fillId="16" borderId="0" xfId="0" applyNumberFormat="1" applyFill="1"/>
    <xf numFmtId="43" fontId="25" fillId="16" borderId="0" xfId="1" applyFont="1" applyFill="1"/>
    <xf numFmtId="43" fontId="0" fillId="16" borderId="0" xfId="0" applyNumberFormat="1" applyFill="1"/>
    <xf numFmtId="0" fontId="25" fillId="16" borderId="0" xfId="0" applyFont="1" applyFill="1" applyAlignment="1">
      <alignment horizontal="left" indent="2"/>
    </xf>
    <xf numFmtId="10" fontId="0" fillId="16" borderId="0" xfId="7" applyNumberFormat="1" applyFont="1" applyFill="1"/>
    <xf numFmtId="0" fontId="3" fillId="0" borderId="0" xfId="0" applyFont="1" applyAlignment="1">
      <alignment horizontal="center"/>
    </xf>
    <xf numFmtId="0" fontId="24" fillId="15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24" fillId="11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14" borderId="0" xfId="0" applyFill="1" applyAlignment="1">
      <alignment horizontal="center"/>
    </xf>
    <xf numFmtId="0" fontId="0" fillId="0" borderId="36" xfId="0" applyBorder="1" applyAlignment="1">
      <alignment horizontal="center"/>
    </xf>
    <xf numFmtId="0" fontId="0" fillId="13" borderId="31" xfId="0" applyFill="1" applyBorder="1" applyAlignment="1">
      <alignment horizontal="center"/>
    </xf>
    <xf numFmtId="0" fontId="0" fillId="13" borderId="0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24" fillId="11" borderId="23" xfId="0" applyFont="1" applyFill="1" applyBorder="1" applyAlignment="1">
      <alignment horizontal="center"/>
    </xf>
    <xf numFmtId="0" fontId="24" fillId="11" borderId="25" xfId="0" applyFont="1" applyFill="1" applyBorder="1" applyAlignment="1">
      <alignment horizontal="center"/>
    </xf>
    <xf numFmtId="0" fontId="0" fillId="0" borderId="28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3" fillId="0" borderId="23" xfId="0" applyFont="1" applyBorder="1" applyAlignment="1">
      <alignment horizontal="center"/>
    </xf>
    <xf numFmtId="0" fontId="3" fillId="0" borderId="24" xfId="0" applyFont="1" applyBorder="1" applyAlignment="1">
      <alignment horizontal="center"/>
    </xf>
    <xf numFmtId="0" fontId="3" fillId="0" borderId="25" xfId="0" applyFont="1" applyBorder="1" applyAlignment="1">
      <alignment horizontal="center"/>
    </xf>
    <xf numFmtId="0" fontId="0" fillId="0" borderId="0" xfId="0" applyBorder="1" applyAlignment="1">
      <alignment horizontal="center" wrapText="1"/>
    </xf>
    <xf numFmtId="164" fontId="12" fillId="0" borderId="0" xfId="0" applyNumberFormat="1" applyFont="1" applyAlignment="1">
      <alignment horizontal="left" wrapText="1"/>
    </xf>
    <xf numFmtId="0" fontId="13" fillId="0" borderId="0" xfId="0" applyFont="1" applyAlignment="1">
      <alignment horizontal="left"/>
    </xf>
    <xf numFmtId="164" fontId="8" fillId="0" borderId="1" xfId="0" applyNumberFormat="1" applyFont="1" applyBorder="1" applyAlignment="1">
      <alignment horizontal="left"/>
    </xf>
    <xf numFmtId="164" fontId="14" fillId="0" borderId="1" xfId="0" applyNumberFormat="1" applyFont="1" applyBorder="1" applyAlignment="1">
      <alignment horizontal="center"/>
    </xf>
    <xf numFmtId="0" fontId="14" fillId="0" borderId="1" xfId="0" applyFont="1" applyBorder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3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8" fillId="0" borderId="0" xfId="3" applyFont="1"/>
    <xf numFmtId="0" fontId="8" fillId="0" borderId="0" xfId="3" applyFont="1" applyAlignment="1">
      <alignment horizontal="center"/>
    </xf>
    <xf numFmtId="3" fontId="12" fillId="0" borderId="0" xfId="0" applyNumberFormat="1" applyFont="1" applyAlignment="1">
      <alignment horizontal="center"/>
    </xf>
    <xf numFmtId="0" fontId="12" fillId="0" borderId="0" xfId="0" applyFont="1" applyAlignment="1">
      <alignment horizontal="center"/>
    </xf>
    <xf numFmtId="0" fontId="8" fillId="0" borderId="0" xfId="0" applyFont="1"/>
    <xf numFmtId="0" fontId="14" fillId="0" borderId="0" xfId="0" applyFont="1"/>
  </cellXfs>
  <cellStyles count="11">
    <cellStyle name="Comma" xfId="1" builtinId="3"/>
    <cellStyle name="Hyperlink" xfId="2" builtinId="8"/>
    <cellStyle name="Normal" xfId="0" builtinId="0"/>
    <cellStyle name="Normal 14" xfId="6" xr:uid="{20A556EA-3C2B-456F-BCE0-EA6BE7284776}"/>
    <cellStyle name="Normal 2" xfId="9" xr:uid="{9B348D39-219D-422D-AE28-884C1962DBE8}"/>
    <cellStyle name="Normal 2 2" xfId="5" xr:uid="{34635A16-64EE-43B6-9283-92F6862D9874}"/>
    <cellStyle name="Normal 2 3" xfId="3" xr:uid="{D1A6EB91-840E-4034-8263-00365D12B104}"/>
    <cellStyle name="Normal 5" xfId="4" xr:uid="{6F641E95-6A68-4E33-875B-2EBC402F3D5A}"/>
    <cellStyle name="Percent" xfId="7" builtinId="5"/>
    <cellStyle name="Percent 2" xfId="8" xr:uid="{0034A050-0C90-4052-BF61-AA0807DBF01F}"/>
    <cellStyle name="Percent 3" xfId="10" xr:uid="{589B434A-ABD7-4614-A9BD-3738BA68DA15}"/>
  </cellStyles>
  <dxfs count="0"/>
  <tableStyles count="0" defaultTableStyle="TableStyleMedium2" defaultPivotStyle="PivotStyleLight16"/>
  <colors>
    <mruColors>
      <color rgb="FFCCCCFF"/>
      <color rgb="FFFF5050"/>
      <color rgb="FFABE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1.xml"/><Relationship Id="rId26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microsoft.com/office/2017/10/relationships/person" Target="persons/perso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kyilla/Documents/Git/Fiscal-Impact-Measure/documentation/COVID-19%20Changes/September/Covid_quartely_outlays_Sep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rch 6 Budg Baseline"/>
      <sheetName val="Revised Add Factors"/>
      <sheetName val="Master"/>
      <sheetName val="Add factor comparison"/>
      <sheetName val="Leg Changes Quarterly Values"/>
      <sheetName val="MPC"/>
      <sheetName val="cbo_budget_nipas_proj_annual_co"/>
      <sheetName val="Automatic Stabilizers"/>
      <sheetName val="All Budg Add-Ons - Annual"/>
      <sheetName val="UI"/>
      <sheetName val="SNAP"/>
      <sheetName val="Stimulus Checks"/>
      <sheetName val="Corp Taxes"/>
      <sheetName val="PPP"/>
      <sheetName val="All other subsidies"/>
      <sheetName val="Jan Econ Baseline"/>
      <sheetName val="May Econ Baseline"/>
      <sheetName val="New Outlook"/>
      <sheetName val="Sheet6"/>
    </sheetNames>
    <sheetDataSet>
      <sheetData sheetId="0"/>
      <sheetData sheetId="1">
        <row r="13">
          <cell r="D13">
            <v>282.68175834658189</v>
          </cell>
          <cell r="F13">
            <v>0</v>
          </cell>
          <cell r="G13">
            <v>0</v>
          </cell>
          <cell r="H13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Kadija Yilla" id="{2D35AFA9-F227-4AE7-B9A7-D673D9D18C70}" userId="S::KYilla@brookings.edu::1d0f8558-0594-40f7-8134-e540cb01b2cb" providerId="AD"/>
  <person displayName="Manuel Alcala Kovalski" id="{CE7965FB-6D9A-C247-A3AE-EA28428512F3}" userId="S::malcalakovalski@brookings.edu::65ca0f03-2f5c-48fe-8ae6-628c3a907f64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O35" dT="2020-12-22T23:07:42.60" personId="{2D35AFA9-F227-4AE7-B9A7-D673D9D18C70}" id="{D4AA3B3B-1162-4A8A-A155-4B50A107D1DD}">
    <text>adding $12B for the medicare sequester (12B over 4 quarters and then annuzlied)</text>
  </threadedComment>
  <threadedComment ref="O37" dT="2020-12-21T20:20:09.37" personId="{2D35AFA9-F227-4AE7-B9A7-D673D9D18C70}" id="{6CD6C4CA-E498-4D54-9079-67C6684A7737}">
    <text>fiscal hawk: estimate of $166B. and then annualized</text>
  </threadedComment>
  <threadedComment ref="O38" dT="2020-12-21T21:17:43.06" personId="{2D35AFA9-F227-4AE7-B9A7-D673D9D18C70}" id="{7D448B96-9EF3-473D-8237-30098D498358}">
    <text>CRFB estimates $26B. It is a six month extension so we divide by 2 (# of quarters) and then annualize by multiplying by 4.</text>
  </threadedComment>
  <threadedComment ref="P38" dT="2020-12-21T21:17:43.06" personId="{2D35AFA9-F227-4AE7-B9A7-D673D9D18C70}" id="{B3828621-F8BF-4EE3-B8BA-BEFCEEA719A6}">
    <text>CRFB estimates $26B. It is a six month extension so we divide by 2 (# of quarters) and then annualize by multiplying by 4.</text>
  </threadedComment>
  <threadedComment ref="O39" dT="2020-12-22T18:00:08.03" personId="{2D35AFA9-F227-4AE7-B9A7-D673D9D18C70}" id="{4DB7FB29-2B61-4AD8-B269-05A7FEEBC5BD}">
    <text>CRFB estimates $5B over calendar year 2021</text>
  </threadedComment>
  <threadedComment ref="P39" dT="2020-12-22T18:00:08.03" personId="{2D35AFA9-F227-4AE7-B9A7-D673D9D18C70}" id="{ECAA649D-FAFF-415D-BBA3-8558E7EB5AD8}">
    <text>CRFB estimates $5B over calendar year 2021</text>
  </threadedComment>
  <threadedComment ref="Q39" dT="2020-12-22T18:00:08.03" personId="{2D35AFA9-F227-4AE7-B9A7-D673D9D18C70}" id="{7B8EF2ED-F5A7-446F-B87D-74CEED3214DC}">
    <text>CRFB estimates $5B over calendar year 2021</text>
  </threadedComment>
  <threadedComment ref="R39" dT="2020-12-22T18:00:08.03" personId="{2D35AFA9-F227-4AE7-B9A7-D673D9D18C70}" id="{93445C5E-94EA-423D-BA59-395F985BF92E}">
    <text>CRFB estimates $5B over calendar year 2021</text>
  </threadedComment>
  <threadedComment ref="M40" dT="2020-10-29T15:30:32.00" personId="{2D35AFA9-F227-4AE7-B9A7-D673D9D18C70}" id="{7314685E-335E-47AA-B478-1BA6ABF2BDA3}">
    <text>BEA has 771k for total UI but not including Trump UI. Add trump UI for the real total</text>
  </threadedComment>
  <threadedComment ref="O45" dT="2020-12-21T20:20:53.19" personId="{2D35AFA9-F227-4AE7-B9A7-D673D9D18C70}" id="{299B58A4-BA69-464A-9D14-5A970E50857A}">
    <text>CRFB: estimate of $120B. And then annualized</text>
  </threadedComment>
  <threadedComment ref="O63" dT="2020-12-17T16:13:31.41" personId="{2D35AFA9-F227-4AE7-B9A7-D673D9D18C70}" id="{C5311C2D-4764-4363-AE1C-A82227666FB7}">
    <text>estimated $300 billion next year. over three quarters = 100. annualized ( x4).</text>
  </threadedComment>
  <threadedComment ref="O63" dT="2020-12-21T20:53:02.94" personId="{2D35AFA9-F227-4AE7-B9A7-D673D9D18C70}" id="{79753B33-0A2D-4CFB-8AE4-CAE7DF9CD46E}" parentId="{C5311C2D-4764-4363-AE1C-A82227666FB7}">
    <text>CFRB: estimates $325B. We then annualize it.</text>
  </threadedComment>
  <threadedComment ref="O64" dT="2020-12-21T21:06:48.42" personId="{2D35AFA9-F227-4AE7-B9A7-D673D9D18C70}" id="{A0B72D47-4ADC-4971-B431-B9EA6C91AE60}">
    <text>CRFB: estimates $16B. We divide evenly over the remaining 3 quarters of FY21. then annualize</text>
  </threadedComment>
  <threadedComment ref="L71" dT="2020-09-10T19:09:05.64" personId="{2D35AFA9-F227-4AE7-B9A7-D673D9D18C70}" id="{2D81BDF9-A0D8-4A1A-915B-91D32E8E61FF}">
    <text>grow with nom purchases</text>
  </threadedComment>
  <threadedComment ref="L76" dT="2020-10-27T15:26:37.39" personId="{2D35AFA9-F227-4AE7-B9A7-D673D9D18C70}" id="{33EF6DF5-9556-47EC-86E1-A12FDBDC0AA8}">
    <text>CBO indicated 17 for q2? why do we split the quarter 3 payments into q2?</text>
  </threadedComment>
  <threadedComment ref="L76" dT="2020-10-28T16:31:53.35" personId="{2D35AFA9-F227-4AE7-B9A7-D673D9D18C70}" id="{1079BF34-6E2F-4888-8715-72B28B28D9AA}" parentId="{33EF6DF5-9556-47EC-86E1-A12FDBDC0AA8}">
    <text>we're comfortable leaving this as is</text>
  </threadedComment>
  <threadedComment ref="O79" dT="2020-12-21T21:08:26.13" personId="{2D35AFA9-F227-4AE7-B9A7-D673D9D18C70}" id="{8D1CFFB8-D62F-4FA1-AB58-5320D39AA096}">
    <text>CRFB estimates $29B ($45 minus $16B for airline which is inn subsidies). MPC is 100% over 12 quarters. And then annualized</text>
  </threadedComment>
  <threadedComment ref="O80" dT="2020-12-21T21:00:34.35" personId="{2D35AFA9-F227-4AE7-B9A7-D673D9D18C70}" id="{DA48DE65-66E5-4DD8-819A-2F757A61D389}">
    <text>CRFB: estimates $82B. According to the Louise x Wendy, MPC is 100% over 3 years.</text>
  </threadedComment>
  <threadedComment ref="O81" dT="2020-12-21T21:03:38.65" personId="{2D35AFA9-F227-4AE7-B9A7-D673D9D18C70}" id="{1FC8F5D3-F5DD-4502-A8BF-AD36B99CFAF5}">
    <text>CRFB: estimates $63B. MPC is 100% over 12 quarters and then annualize</text>
  </threadedComment>
  <threadedComment ref="O82" dT="2020-12-21T21:11:36.65" personId="{2D35AFA9-F227-4AE7-B9A7-D673D9D18C70}" id="{99D44059-B7C8-4B13-A311-FD754252DDFC}">
    <text>CRFB: estimates $54B ($80B top line but net out$26B in SNAP which is in social benefits). MPC is 100% over 12 quarters. And then annualized</text>
  </threadedComment>
  <threadedComment ref="N98" dT="2020-09-11T20:43:00.49" personId="{2D35AFA9-F227-4AE7-B9A7-D673D9D18C70}" id="{11731043-8530-4DAC-9476-3C98D0D836BB}">
    <text>grow with S&amp;L nom purchases</text>
  </threadedComment>
  <threadedComment ref="O110" dT="2020-09-30T15:34:25.90" personId="{2D35AFA9-F227-4AE7-B9A7-D673D9D18C70}" id="{D84F0053-F219-4B69-8181-0F12AE7D3FC2}">
    <text>overide in the fim with 4%</text>
  </threadedComment>
  <threadedComment ref="O110" dT="2020-10-29T16:57:45.80" personId="{2D35AFA9-F227-4AE7-B9A7-D673D9D18C70}" id="{37E79AF5-9147-493F-B326-FDE57ECB2DEB}" parentId="{D84F0053-F219-4B69-8181-0F12AE7D3FC2}">
    <text>cbo proected it will be 2.3%. should we still ovverride with 4%?</text>
  </threadedComment>
  <threadedComment ref="P110" dT="2020-09-30T15:34:25.90" personId="{2D35AFA9-F227-4AE7-B9A7-D673D9D18C70}" id="{3B711313-D2C6-42FC-83C8-BA827015079B}">
    <text>overide in the fim with 4%</text>
  </threadedComment>
  <threadedComment ref="P110" dT="2020-10-29T16:57:45.80" personId="{2D35AFA9-F227-4AE7-B9A7-D673D9D18C70}" id="{F46C58D3-6BCD-41FA-BF7D-CDA2529CBD21}" parentId="{3B711313-D2C6-42FC-83C8-BA827015079B}">
    <text>cbo proected it will be 2.3%. should we still ovverride with 4%?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U2" dT="2020-11-18T17:27:07.54" personId="{CE7965FB-6D9A-C247-A3AE-EA28428512F3}" id="{8BC26E33-999B-CB4A-87A5-22E26D662D33}">
    <text xml:space="preserve">Extend medicaid estimates before Q4 update
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E24" dT="2020-09-10T16:45:02.83" personId="{2D35AFA9-F227-4AE7-B9A7-D673D9D18C70}" id="{0D11DB45-5F45-4101-88CC-04004C002B30}">
    <text>remove the legislation pre-covid level</text>
  </threadedComment>
  <threadedComment ref="F24" dT="2020-09-10T16:45:33.43" personId="{2D35AFA9-F227-4AE7-B9A7-D673D9D18C70}" id="{9AE4A33D-4FC8-4887-8685-E4AD05B19618}">
    <text>grow it by the growth rate that would prevail without legislation</text>
  </threadedComment>
  <threadedComment ref="E32" dT="2020-09-10T16:03:26.33" personId="{2D35AFA9-F227-4AE7-B9A7-D673D9D18C70}" id="{87857C10-95FA-4E5C-9CD5-D2FE6D3862B8}">
    <text>remove the legislation from the level</text>
  </threadedComment>
  <threadedComment ref="F32" dT="2020-09-10T16:03:36.96" personId="{2D35AFA9-F227-4AE7-B9A7-D673D9D18C70}" id="{FA886E65-A09D-4A87-8F68-FE5958AB35B4}">
    <text>grow it by 1%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bo.gov/publication/56517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6.bin"/><Relationship Id="rId4" Type="http://schemas.microsoft.com/office/2017/10/relationships/threadedComment" Target="../threadedComments/threadedComment3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bo.gov/publication/565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AAB1A-8B83-4A8D-A21D-8EE870D0279B}">
  <dimension ref="A1:AQ121"/>
  <sheetViews>
    <sheetView zoomScale="150" zoomScaleNormal="110" workbookViewId="0">
      <pane xSplit="2" ySplit="3" topLeftCell="M95" activePane="bottomRight" state="frozen"/>
      <selection pane="topRight" activeCell="C1" sqref="C1"/>
      <selection pane="bottomLeft" activeCell="A4" sqref="A4"/>
      <selection pane="bottomRight" activeCell="P113" sqref="P113"/>
    </sheetView>
  </sheetViews>
  <sheetFormatPr baseColWidth="10" defaultColWidth="8.83203125" defaultRowHeight="15" x14ac:dyDescent="0.2"/>
  <cols>
    <col min="1" max="1" width="32.6640625" customWidth="1"/>
    <col min="2" max="2" width="10.83203125" customWidth="1"/>
    <col min="3" max="4" width="10.83203125" style="35" customWidth="1"/>
    <col min="6" max="14" width="16.1640625" bestFit="1" customWidth="1"/>
    <col min="15" max="15" width="13.33203125" customWidth="1"/>
    <col min="16" max="22" width="16.1640625" bestFit="1" customWidth="1"/>
    <col min="23" max="23" width="16.1640625" style="35" customWidth="1"/>
    <col min="24" max="25" width="12.5" bestFit="1" customWidth="1"/>
    <col min="26" max="26" width="11.83203125" bestFit="1" customWidth="1"/>
    <col min="27" max="27" width="11.83203125" customWidth="1"/>
    <col min="28" max="32" width="8.83203125" customWidth="1"/>
    <col min="33" max="33" width="15.5" hidden="1" customWidth="1"/>
    <col min="34" max="34" width="10.5" hidden="1" customWidth="1"/>
    <col min="35" max="35" width="8.83203125" customWidth="1"/>
    <col min="39" max="39" width="8.6640625" style="146"/>
  </cols>
  <sheetData>
    <row r="1" spans="1:43" ht="19" customHeight="1" x14ac:dyDescent="0.25">
      <c r="A1" s="353" t="s">
        <v>360</v>
      </c>
      <c r="B1" s="353"/>
      <c r="C1" s="268"/>
      <c r="D1" s="268"/>
      <c r="E1" s="35"/>
      <c r="N1" t="s">
        <v>362</v>
      </c>
      <c r="AC1" s="359" t="s">
        <v>242</v>
      </c>
      <c r="AD1" s="359"/>
      <c r="AE1" s="357" t="s">
        <v>240</v>
      </c>
      <c r="AF1" s="358"/>
      <c r="AG1" t="s">
        <v>27</v>
      </c>
      <c r="AI1" s="355" t="s">
        <v>272</v>
      </c>
      <c r="AJ1" s="355"/>
      <c r="AK1" s="355"/>
      <c r="AL1" s="355"/>
      <c r="AM1" s="354" t="s">
        <v>270</v>
      </c>
      <c r="AN1" s="354"/>
      <c r="AO1" s="354"/>
      <c r="AP1" s="354"/>
    </row>
    <row r="2" spans="1:43" ht="23" customHeight="1" x14ac:dyDescent="0.2">
      <c r="F2" s="352" t="s">
        <v>20</v>
      </c>
      <c r="G2" s="352"/>
      <c r="H2" s="352"/>
      <c r="I2" s="352"/>
      <c r="J2" s="352" t="s">
        <v>9</v>
      </c>
      <c r="K2" s="352"/>
      <c r="L2" s="352"/>
      <c r="M2" s="352"/>
      <c r="N2" s="352" t="s">
        <v>10</v>
      </c>
      <c r="O2" s="352"/>
      <c r="P2" s="352"/>
      <c r="Q2" s="352"/>
      <c r="R2" s="352" t="s">
        <v>11</v>
      </c>
      <c r="S2" s="352"/>
      <c r="T2" s="352"/>
      <c r="U2" s="352"/>
      <c r="V2" s="352" t="s">
        <v>260</v>
      </c>
      <c r="W2" s="352"/>
      <c r="X2" s="352"/>
      <c r="Y2" s="352"/>
      <c r="Z2" s="221"/>
      <c r="AA2" s="283"/>
      <c r="AB2" s="221"/>
      <c r="AC2" s="352" t="s">
        <v>101</v>
      </c>
      <c r="AD2" s="352"/>
      <c r="AE2" s="352"/>
      <c r="AF2" s="352"/>
      <c r="AG2" s="352"/>
      <c r="AH2" s="352"/>
      <c r="AI2" s="352"/>
      <c r="AJ2" s="352"/>
      <c r="AK2" s="352"/>
      <c r="AL2" s="356"/>
    </row>
    <row r="3" spans="1:43" x14ac:dyDescent="0.2">
      <c r="F3" s="197" t="s">
        <v>5</v>
      </c>
      <c r="G3" s="197" t="s">
        <v>6</v>
      </c>
      <c r="H3" s="197" t="s">
        <v>7</v>
      </c>
      <c r="I3" s="197" t="s">
        <v>8</v>
      </c>
      <c r="J3" s="197" t="s">
        <v>5</v>
      </c>
      <c r="K3" s="197" t="s">
        <v>6</v>
      </c>
      <c r="L3" s="197" t="s">
        <v>7</v>
      </c>
      <c r="M3" s="301" t="s">
        <v>8</v>
      </c>
      <c r="N3" s="301" t="s">
        <v>5</v>
      </c>
      <c r="O3" s="339" t="s">
        <v>6</v>
      </c>
      <c r="P3" t="s">
        <v>7</v>
      </c>
      <c r="Q3" t="s">
        <v>8</v>
      </c>
      <c r="R3" t="s">
        <v>5</v>
      </c>
      <c r="S3" t="s">
        <v>6</v>
      </c>
      <c r="T3" t="s">
        <v>7</v>
      </c>
      <c r="U3" t="s">
        <v>8</v>
      </c>
      <c r="V3" t="s">
        <v>5</v>
      </c>
      <c r="W3" t="s">
        <v>6</v>
      </c>
      <c r="X3" t="s">
        <v>7</v>
      </c>
      <c r="Y3" t="s">
        <v>8</v>
      </c>
      <c r="Z3" t="s">
        <v>5</v>
      </c>
      <c r="AC3" s="156" t="s">
        <v>20</v>
      </c>
      <c r="AD3" s="317" t="s">
        <v>9</v>
      </c>
      <c r="AE3" s="178" t="s">
        <v>12</v>
      </c>
      <c r="AF3" s="132" t="s">
        <v>11</v>
      </c>
      <c r="AG3" s="2" t="s">
        <v>241</v>
      </c>
      <c r="AH3" s="2" t="s">
        <v>158</v>
      </c>
      <c r="AI3" s="181" t="s">
        <v>9</v>
      </c>
      <c r="AJ3" s="181" t="s">
        <v>12</v>
      </c>
      <c r="AK3" s="97" t="s">
        <v>11</v>
      </c>
      <c r="AL3" s="97" t="s">
        <v>260</v>
      </c>
      <c r="AN3" s="97" t="s">
        <v>12</v>
      </c>
      <c r="AO3" s="97" t="s">
        <v>11</v>
      </c>
      <c r="AP3" s="97" t="s">
        <v>260</v>
      </c>
    </row>
    <row r="4" spans="1:43" ht="19" x14ac:dyDescent="0.25">
      <c r="A4" s="351" t="s">
        <v>256</v>
      </c>
      <c r="B4" s="351"/>
      <c r="C4" s="268"/>
      <c r="D4" s="268"/>
      <c r="F4" s="197"/>
      <c r="G4" s="197"/>
      <c r="H4" s="197"/>
      <c r="I4" s="197"/>
      <c r="J4" s="197"/>
      <c r="K4" s="197"/>
      <c r="L4" s="197"/>
      <c r="M4" s="301"/>
      <c r="N4" s="301"/>
      <c r="O4" s="339"/>
      <c r="AC4" s="190"/>
      <c r="AD4" s="317"/>
      <c r="AE4" s="178"/>
      <c r="AF4" s="190"/>
      <c r="AG4" s="189"/>
      <c r="AH4" s="189"/>
      <c r="AI4" s="181"/>
      <c r="AJ4" s="181"/>
      <c r="AK4" s="97"/>
      <c r="AL4" s="97"/>
    </row>
    <row r="5" spans="1:43" x14ac:dyDescent="0.2">
      <c r="A5" t="s">
        <v>254</v>
      </c>
      <c r="B5" t="s">
        <v>274</v>
      </c>
      <c r="C5" s="35" t="s">
        <v>282</v>
      </c>
      <c r="F5" s="198">
        <v>20909.900000000001</v>
      </c>
      <c r="G5" s="198">
        <v>21115.3</v>
      </c>
      <c r="H5" s="198">
        <v>21329.9</v>
      </c>
      <c r="I5" s="198">
        <v>21540.3</v>
      </c>
      <c r="J5" s="198">
        <v>21747.4</v>
      </c>
      <c r="K5" s="198">
        <v>21561.1</v>
      </c>
      <c r="L5" s="198">
        <v>19520.099999999999</v>
      </c>
      <c r="M5" s="301">
        <v>21170.3</v>
      </c>
      <c r="N5" s="301" t="str">
        <f>VLOOKUP($C$5,'Haver NA'!$A$1:$J$34,10,0)</f>
        <v>21494.7</v>
      </c>
      <c r="O5" s="301" t="str">
        <f>VLOOKUP($C$5,'Haver NA'!$A$1:$K$34,11,0)</f>
        <v>22061.0</v>
      </c>
      <c r="P5">
        <f t="shared" ref="P5:Z5" si="0">O5*(1+P6)</f>
        <v>22287.153796868781</v>
      </c>
      <c r="Q5">
        <f t="shared" si="0"/>
        <v>22609.826803472628</v>
      </c>
      <c r="R5">
        <f t="shared" si="0"/>
        <v>22910.389237971893</v>
      </c>
      <c r="S5">
        <f t="shared" si="0"/>
        <v>23194.797829837673</v>
      </c>
      <c r="T5">
        <f t="shared" si="0"/>
        <v>23429.634317121945</v>
      </c>
      <c r="U5">
        <f t="shared" si="0"/>
        <v>23681.73522372076</v>
      </c>
      <c r="V5">
        <f t="shared" si="0"/>
        <v>23930.504400276415</v>
      </c>
      <c r="W5">
        <f t="shared" si="0"/>
        <v>24159.485119606059</v>
      </c>
      <c r="X5">
        <f t="shared" si="0"/>
        <v>24415.725448379704</v>
      </c>
      <c r="Y5">
        <f t="shared" si="0"/>
        <v>24685.191735809509</v>
      </c>
      <c r="Z5">
        <f t="shared" si="0"/>
        <v>24962.936867588978</v>
      </c>
      <c r="AC5" s="190"/>
      <c r="AD5" s="317"/>
      <c r="AE5" s="178"/>
      <c r="AF5" s="190"/>
      <c r="AG5" s="189"/>
      <c r="AH5" s="189"/>
      <c r="AI5" s="181"/>
      <c r="AJ5" s="181"/>
      <c r="AK5" s="97"/>
      <c r="AL5" s="97"/>
    </row>
    <row r="6" spans="1:43" s="170" customFormat="1" ht="12" x14ac:dyDescent="0.15">
      <c r="A6" s="169" t="s">
        <v>210</v>
      </c>
      <c r="C6" s="269"/>
      <c r="D6" s="269"/>
      <c r="F6" s="199"/>
      <c r="G6" s="200">
        <f>G5/F5-1</f>
        <v>9.8230981496802983E-3</v>
      </c>
      <c r="H6" s="200">
        <f t="shared" ref="H6:O6" si="1">H5/G5-1</f>
        <v>1.016324655581502E-2</v>
      </c>
      <c r="I6" s="200">
        <f t="shared" si="1"/>
        <v>9.864087501582075E-3</v>
      </c>
      <c r="J6" s="200">
        <f t="shared" si="1"/>
        <v>9.6145364734938621E-3</v>
      </c>
      <c r="K6" s="200">
        <f t="shared" si="1"/>
        <v>-8.5665412876942959E-3</v>
      </c>
      <c r="L6" s="200">
        <f t="shared" si="1"/>
        <v>-9.4661218583467432E-2</v>
      </c>
      <c r="M6" s="302">
        <v>8.4538501339644911E-2</v>
      </c>
      <c r="N6" s="302">
        <f t="shared" si="1"/>
        <v>1.5323353943968776E-2</v>
      </c>
      <c r="O6" s="302">
        <f t="shared" si="1"/>
        <v>2.6346029486338463E-2</v>
      </c>
      <c r="P6" s="175">
        <v>1.0251293997043609E-2</v>
      </c>
      <c r="Q6" s="175">
        <v>1.4477981780211868E-2</v>
      </c>
      <c r="R6" s="175">
        <v>1.3293442586349347E-2</v>
      </c>
      <c r="S6" s="175">
        <v>1.2413957218780025E-2</v>
      </c>
      <c r="T6" s="175">
        <v>1.012453262180113E-2</v>
      </c>
      <c r="U6" s="175">
        <v>1.0759916402732106E-2</v>
      </c>
      <c r="V6" s="175">
        <v>1.050468532839921E-2</v>
      </c>
      <c r="W6" s="175">
        <v>9.5685705365657903E-3</v>
      </c>
      <c r="X6" s="175">
        <v>1.0606199904719782E-2</v>
      </c>
      <c r="Y6" s="175">
        <v>1.1036587382976526E-2</v>
      </c>
      <c r="Z6" s="175">
        <v>1.1251487723976661E-2</v>
      </c>
      <c r="AA6" s="172"/>
      <c r="AB6" s="172"/>
      <c r="AC6" s="172"/>
      <c r="AD6" s="320"/>
      <c r="AE6" s="180"/>
      <c r="AF6" s="173"/>
      <c r="AG6" s="174"/>
      <c r="AI6" s="174"/>
      <c r="AJ6" s="183"/>
      <c r="AK6" s="174"/>
      <c r="AL6" s="174"/>
      <c r="AM6" s="232"/>
    </row>
    <row r="7" spans="1:43" x14ac:dyDescent="0.2">
      <c r="A7" t="s">
        <v>255</v>
      </c>
      <c r="B7" t="s">
        <v>274</v>
      </c>
      <c r="C7" s="35" t="s">
        <v>283</v>
      </c>
      <c r="F7" s="198">
        <v>18813.900000000001</v>
      </c>
      <c r="G7" s="198">
        <v>18950.3</v>
      </c>
      <c r="H7" s="198">
        <v>19020.599999999999</v>
      </c>
      <c r="I7" s="198">
        <v>19141.7</v>
      </c>
      <c r="J7" s="198">
        <v>19254</v>
      </c>
      <c r="K7" s="198">
        <v>19010.8</v>
      </c>
      <c r="L7" s="198">
        <v>17302.5</v>
      </c>
      <c r="M7" s="301">
        <v>18596.5</v>
      </c>
      <c r="N7" s="301" t="str">
        <f>VLOOKUP($C$7,'Haver NA'!$A$1:$J$34,10,0)</f>
        <v>18794.4</v>
      </c>
      <c r="O7" s="301" t="str">
        <f>VLOOKUP($C$7,'Haver NA'!$A$1:$K$34,11,0)</f>
        <v>19088.1</v>
      </c>
      <c r="P7">
        <f t="shared" ref="P7:Z7" si="2">O7*(1+P8)</f>
        <v>19206.272106420147</v>
      </c>
      <c r="Q7">
        <f t="shared" si="2"/>
        <v>19386.534641637325</v>
      </c>
      <c r="R7">
        <f t="shared" si="2"/>
        <v>19559.286237887121</v>
      </c>
      <c r="S7">
        <f t="shared" si="2"/>
        <v>19700.692182179708</v>
      </c>
      <c r="T7">
        <f t="shared" si="2"/>
        <v>19807.147223810738</v>
      </c>
      <c r="U7">
        <f t="shared" si="2"/>
        <v>19925.419476083789</v>
      </c>
      <c r="V7">
        <f t="shared" si="2"/>
        <v>20035.980497683657</v>
      </c>
      <c r="W7">
        <f t="shared" si="2"/>
        <v>20129.316432584998</v>
      </c>
      <c r="X7">
        <f t="shared" si="2"/>
        <v>20242.180808801531</v>
      </c>
      <c r="Y7">
        <f t="shared" si="2"/>
        <v>20363.156999102837</v>
      </c>
      <c r="Z7">
        <f t="shared" si="2"/>
        <v>20486.837127432402</v>
      </c>
      <c r="AC7" s="190"/>
      <c r="AD7" s="317"/>
      <c r="AE7" s="178"/>
      <c r="AF7" s="190"/>
      <c r="AG7" s="189"/>
      <c r="AH7" s="189"/>
      <c r="AI7" s="181"/>
      <c r="AJ7" s="181"/>
      <c r="AK7" s="97"/>
      <c r="AL7" s="97"/>
    </row>
    <row r="8" spans="1:43" s="170" customFormat="1" ht="12" x14ac:dyDescent="0.15">
      <c r="A8" s="169" t="s">
        <v>210</v>
      </c>
      <c r="C8" s="269"/>
      <c r="D8" s="269"/>
      <c r="F8" s="199"/>
      <c r="G8" s="200">
        <f>G7/F7-1</f>
        <v>7.2499588070520371E-3</v>
      </c>
      <c r="H8" s="200">
        <f t="shared" ref="H8" si="3">H7/G7-1</f>
        <v>3.7097038041613573E-3</v>
      </c>
      <c r="I8" s="200">
        <f t="shared" ref="I8" si="4">I7/H7-1</f>
        <v>6.3667812792447265E-3</v>
      </c>
      <c r="J8" s="200">
        <f t="shared" ref="J8" si="5">J7/I7-1</f>
        <v>5.8667725437133722E-3</v>
      </c>
      <c r="K8" s="200">
        <f t="shared" ref="K8" si="6">K7/J7-1</f>
        <v>-1.2631141580970229E-2</v>
      </c>
      <c r="L8" s="200">
        <f t="shared" ref="L8" si="7">L7/K7-1</f>
        <v>-8.9859448313590162E-2</v>
      </c>
      <c r="M8" s="302">
        <v>8.4538501339644911E-2</v>
      </c>
      <c r="N8" s="302">
        <f t="shared" ref="N8:O8" si="8">N7/M7-1</f>
        <v>1.0641787433119276E-2</v>
      </c>
      <c r="O8" s="302">
        <f t="shared" si="8"/>
        <v>1.5626995275188182E-2</v>
      </c>
      <c r="P8" s="175">
        <v>6.1908784226900604E-3</v>
      </c>
      <c r="Q8" s="175">
        <v>9.3856076920268983E-3</v>
      </c>
      <c r="R8" s="175">
        <v>8.9109064328996013E-3</v>
      </c>
      <c r="S8" s="175">
        <v>7.2296065701353829E-3</v>
      </c>
      <c r="T8" s="175">
        <v>5.4036193574622526E-3</v>
      </c>
      <c r="U8" s="175">
        <v>5.9711906483368438E-3</v>
      </c>
      <c r="V8" s="175">
        <v>5.54874248607784E-3</v>
      </c>
      <c r="W8" s="175">
        <v>4.6584161385130329E-3</v>
      </c>
      <c r="X8" s="175">
        <v>5.6069651741292859E-3</v>
      </c>
      <c r="Y8" s="175">
        <v>5.9764405547007016E-3</v>
      </c>
      <c r="Z8" s="175">
        <v>6.0737207072072419E-3</v>
      </c>
      <c r="AA8" s="172"/>
      <c r="AB8" s="172"/>
      <c r="AC8" s="172"/>
      <c r="AD8" s="320"/>
      <c r="AE8" s="180"/>
      <c r="AF8" s="173"/>
      <c r="AG8" s="174"/>
      <c r="AI8" s="174"/>
      <c r="AJ8" s="183"/>
      <c r="AK8" s="174"/>
      <c r="AL8" s="174"/>
      <c r="AM8" s="232"/>
    </row>
    <row r="9" spans="1:43" x14ac:dyDescent="0.2">
      <c r="F9" s="197"/>
      <c r="G9" s="197"/>
      <c r="H9" s="197"/>
      <c r="I9" s="197"/>
      <c r="J9" s="197"/>
      <c r="K9" s="197"/>
      <c r="L9" s="197"/>
      <c r="M9" s="301"/>
      <c r="N9" s="301"/>
      <c r="O9" s="339"/>
      <c r="AC9" s="190"/>
      <c r="AD9" s="317"/>
      <c r="AE9" s="178"/>
      <c r="AF9" s="190"/>
      <c r="AG9" s="189"/>
      <c r="AH9" s="189"/>
      <c r="AI9" s="181"/>
      <c r="AJ9" s="181"/>
      <c r="AK9" s="97"/>
      <c r="AL9" s="97"/>
    </row>
    <row r="10" spans="1:43" x14ac:dyDescent="0.2">
      <c r="A10" t="s">
        <v>1</v>
      </c>
      <c r="F10" s="197"/>
      <c r="G10" s="197"/>
      <c r="H10" s="197"/>
      <c r="I10" s="197"/>
      <c r="J10" s="197"/>
      <c r="K10" s="197"/>
      <c r="L10" s="197"/>
      <c r="M10" s="301"/>
      <c r="N10" s="301"/>
      <c r="O10" s="339"/>
      <c r="AD10" s="95"/>
      <c r="AE10" s="146"/>
      <c r="AI10" s="146"/>
      <c r="AJ10" s="146"/>
    </row>
    <row r="11" spans="1:43" x14ac:dyDescent="0.2">
      <c r="A11" s="176" t="s">
        <v>251</v>
      </c>
      <c r="F11" s="198">
        <f>F12+F15+F18</f>
        <v>3178</v>
      </c>
      <c r="G11" s="198">
        <f t="shared" ref="G11:V11" si="9">G12+G15+G18</f>
        <v>3259.5</v>
      </c>
      <c r="H11" s="198">
        <f t="shared" si="9"/>
        <v>3269.2</v>
      </c>
      <c r="I11" s="198">
        <f t="shared" si="9"/>
        <v>3290.6</v>
      </c>
      <c r="J11" s="198">
        <f t="shared" si="9"/>
        <v>3336.3</v>
      </c>
      <c r="K11" s="198">
        <f t="shared" si="9"/>
        <v>3376.8</v>
      </c>
      <c r="L11" s="198">
        <f t="shared" si="9"/>
        <v>3091.4840000000004</v>
      </c>
      <c r="M11" s="301">
        <v>3262.3</v>
      </c>
      <c r="N11" s="319">
        <f t="shared" ref="N11" si="10">N12+N15+N18</f>
        <v>3395</v>
      </c>
      <c r="O11" s="340">
        <f t="shared" si="9"/>
        <v>3378.8999999999996</v>
      </c>
      <c r="P11" s="167">
        <f t="shared" si="9"/>
        <v>3411.0447999999997</v>
      </c>
      <c r="Q11" s="167">
        <f t="shared" si="9"/>
        <v>3443.6513024000001</v>
      </c>
      <c r="R11" s="167">
        <f t="shared" si="9"/>
        <v>3505.5446206719998</v>
      </c>
      <c r="S11" s="167">
        <f t="shared" si="9"/>
        <v>3545.9926648947198</v>
      </c>
      <c r="T11" s="167">
        <f t="shared" si="9"/>
        <v>3587.0608934803072</v>
      </c>
      <c r="U11" s="167">
        <f t="shared" si="9"/>
        <v>3628.7641364292158</v>
      </c>
      <c r="V11" s="167">
        <f t="shared" si="9"/>
        <v>3701.3394191578009</v>
      </c>
      <c r="W11" s="168"/>
      <c r="AD11" s="95"/>
      <c r="AE11" s="146"/>
      <c r="AI11" s="146"/>
      <c r="AJ11" s="146"/>
    </row>
    <row r="12" spans="1:43" x14ac:dyDescent="0.2">
      <c r="A12" s="211" t="s">
        <v>24</v>
      </c>
      <c r="B12" t="s">
        <v>274</v>
      </c>
      <c r="C12" t="s">
        <v>284</v>
      </c>
      <c r="D12"/>
      <c r="F12" s="198">
        <v>1634.2</v>
      </c>
      <c r="G12" s="198">
        <v>1695.5</v>
      </c>
      <c r="H12" s="198">
        <v>1703.1</v>
      </c>
      <c r="I12" s="198">
        <v>1713.2</v>
      </c>
      <c r="J12" s="198">
        <v>1740.2</v>
      </c>
      <c r="K12" s="198">
        <v>1756.6</v>
      </c>
      <c r="L12" s="198">
        <v>1599.3</v>
      </c>
      <c r="M12" s="301">
        <v>1687.4</v>
      </c>
      <c r="N12" s="319" t="str">
        <f>VLOOKUP($C$12,'Haver NA'!$A$1:$K$34,10,0)</f>
        <v>1745.6</v>
      </c>
      <c r="O12" s="319" t="str">
        <f>VLOOKUP($C$12,'Haver NA'!$A$1:$K$34,11,0)</f>
        <v>1757.8</v>
      </c>
      <c r="P12" s="168">
        <f t="shared" ref="P12:U12" si="11">O12*(1+P14)</f>
        <v>1771.8624</v>
      </c>
      <c r="Q12" s="168">
        <f t="shared" si="11"/>
        <v>1786.0372992</v>
      </c>
      <c r="R12" s="168">
        <f t="shared" si="11"/>
        <v>1803.8976721920001</v>
      </c>
      <c r="S12" s="168">
        <f t="shared" si="11"/>
        <v>1821.9366489139202</v>
      </c>
      <c r="T12" s="168">
        <f t="shared" si="11"/>
        <v>1840.1560154030594</v>
      </c>
      <c r="U12" s="168">
        <f t="shared" si="11"/>
        <v>1858.5575755570901</v>
      </c>
      <c r="V12" s="168">
        <f>U12*(1+V14)</f>
        <v>1895.728727068232</v>
      </c>
      <c r="W12" s="168"/>
      <c r="X12" s="44"/>
      <c r="Y12" s="44"/>
      <c r="Z12" s="44"/>
      <c r="AA12" s="44"/>
      <c r="AB12" s="44"/>
      <c r="AC12" s="44">
        <f>AVERAGE(F12:I12)</f>
        <v>1686.4999999999998</v>
      </c>
      <c r="AD12" s="321">
        <f>AVERAGE(J12,K12,L12,M12)</f>
        <v>1695.875</v>
      </c>
      <c r="AE12" s="179">
        <f>AVERAGE(N12:Q12)</f>
        <v>1778.9498496000001</v>
      </c>
      <c r="AF12" s="45">
        <f>AVERAGE(R12:U12)</f>
        <v>1831.1369780165173</v>
      </c>
      <c r="AG12" s="3">
        <f>AVERAGE(F12:I12)</f>
        <v>1686.4999999999998</v>
      </c>
      <c r="AH12">
        <v>1653</v>
      </c>
      <c r="AI12" s="182">
        <f>$AC12/'figuring NIPA tax changes'!$E19*'figuring NIPA tax changes'!F19</f>
        <v>1649.4616519302829</v>
      </c>
      <c r="AJ12" s="182">
        <f>$AC12/'figuring NIPA tax changes'!$E19*'figuring NIPA tax changes'!G19</f>
        <v>1678.1639909491882</v>
      </c>
      <c r="AK12" s="3">
        <f>$AC12/'figuring NIPA tax changes'!$E19*'figuring NIPA tax changes'!H19</f>
        <v>1762.3300952873258</v>
      </c>
      <c r="AL12" s="3"/>
    </row>
    <row r="13" spans="1:43" x14ac:dyDescent="0.2">
      <c r="A13" s="212" t="s">
        <v>365</v>
      </c>
      <c r="C13"/>
      <c r="D13"/>
      <c r="F13" s="198"/>
      <c r="G13" s="198"/>
      <c r="H13" s="198"/>
      <c r="I13" s="198"/>
      <c r="J13" s="198"/>
      <c r="K13" s="198"/>
      <c r="L13" s="198"/>
      <c r="M13" s="301"/>
      <c r="N13" s="319"/>
      <c r="O13" s="323">
        <v>4.3314158288976197E-3</v>
      </c>
      <c r="P13" s="175">
        <v>4.3127355777503604E-3</v>
      </c>
      <c r="Q13" s="175">
        <v>4.2942157606606903E-3</v>
      </c>
      <c r="R13" s="175">
        <v>1.2538420626855101E-2</v>
      </c>
      <c r="S13" s="175">
        <v>1.23831554155671E-2</v>
      </c>
      <c r="T13" s="175">
        <v>1.22316885156828E-2</v>
      </c>
      <c r="U13" s="175">
        <v>1.20838822321585E-2</v>
      </c>
      <c r="V13" s="175">
        <v>1.2600908344585699E-2</v>
      </c>
      <c r="W13" s="175">
        <v>1.24441013638688E-2</v>
      </c>
      <c r="X13" s="175">
        <v>1.2291149059098901E-2</v>
      </c>
      <c r="Y13" s="175">
        <v>1.2141911020879101E-2</v>
      </c>
      <c r="Z13" s="175">
        <v>9.0474778965847803E-3</v>
      </c>
      <c r="AA13" s="44"/>
      <c r="AB13" s="44"/>
      <c r="AC13" s="44"/>
      <c r="AD13" s="321"/>
      <c r="AE13" s="179"/>
      <c r="AF13" s="45"/>
      <c r="AG13" s="3"/>
      <c r="AI13" s="182"/>
      <c r="AJ13" s="182"/>
      <c r="AK13" s="3"/>
      <c r="AL13" s="3"/>
    </row>
    <row r="14" spans="1:43" s="170" customFormat="1" x14ac:dyDescent="0.2">
      <c r="A14" s="212" t="s">
        <v>361</v>
      </c>
      <c r="C14" s="269"/>
      <c r="D14" s="269"/>
      <c r="F14" s="199"/>
      <c r="G14" s="199"/>
      <c r="H14" s="199"/>
      <c r="I14" s="199"/>
      <c r="J14" s="199"/>
      <c r="K14" s="199"/>
      <c r="L14" s="199"/>
      <c r="M14" s="301"/>
      <c r="N14" s="302"/>
      <c r="O14" s="323">
        <v>6.2E-2</v>
      </c>
      <c r="P14" s="175">
        <v>8.0000000000000002E-3</v>
      </c>
      <c r="Q14" s="175">
        <v>8.0000000000000002E-3</v>
      </c>
      <c r="R14" s="175">
        <v>0.01</v>
      </c>
      <c r="S14" s="175">
        <v>0.01</v>
      </c>
      <c r="T14" s="175">
        <v>0.01</v>
      </c>
      <c r="U14" s="175">
        <v>0.01</v>
      </c>
      <c r="V14" s="175">
        <v>0.02</v>
      </c>
      <c r="W14" s="175"/>
      <c r="X14" s="172"/>
      <c r="Y14" s="172"/>
      <c r="Z14" s="172"/>
      <c r="AA14" s="172"/>
      <c r="AB14" s="172"/>
      <c r="AC14" s="172"/>
      <c r="AD14" s="320"/>
      <c r="AE14" s="180"/>
      <c r="AF14" s="173"/>
      <c r="AG14" s="174"/>
      <c r="AI14" s="183"/>
      <c r="AJ14" s="183"/>
      <c r="AK14" s="174"/>
      <c r="AL14" s="174"/>
      <c r="AM14" s="232"/>
    </row>
    <row r="15" spans="1:43" x14ac:dyDescent="0.2">
      <c r="A15" s="211" t="s">
        <v>25</v>
      </c>
      <c r="B15" t="s">
        <v>274</v>
      </c>
      <c r="C15" t="s">
        <v>285</v>
      </c>
      <c r="D15"/>
      <c r="F15" s="198">
        <v>183.5</v>
      </c>
      <c r="G15" s="198">
        <v>172.1</v>
      </c>
      <c r="H15" s="198">
        <v>168.3</v>
      </c>
      <c r="I15" s="198">
        <v>175.1</v>
      </c>
      <c r="J15" s="198">
        <v>179.2</v>
      </c>
      <c r="K15" s="198">
        <v>183.8</v>
      </c>
      <c r="L15" s="198">
        <v>131.4</v>
      </c>
      <c r="M15" s="301">
        <v>144.69999999999999</v>
      </c>
      <c r="N15" s="319" t="str">
        <f>VLOOKUP($C$15,'Haver NA'!$A$1:$J$34,10,0)</f>
        <v>150.8</v>
      </c>
      <c r="O15" s="319" t="str">
        <f>VLOOKUP($C$15,'Haver NA'!$A$1:$K$34,11,0)</f>
        <v>159.8</v>
      </c>
      <c r="P15" s="168">
        <f t="shared" ref="P15:V15" si="12">O15*(1+P17)</f>
        <v>166.19200000000001</v>
      </c>
      <c r="Q15" s="168">
        <f t="shared" si="12"/>
        <v>172.83968000000002</v>
      </c>
      <c r="R15" s="168">
        <f t="shared" si="12"/>
        <v>179.75326720000001</v>
      </c>
      <c r="S15" s="168">
        <f t="shared" si="12"/>
        <v>186.94339788800002</v>
      </c>
      <c r="T15" s="168">
        <f t="shared" si="12"/>
        <v>194.42113380352004</v>
      </c>
      <c r="U15" s="168">
        <f t="shared" si="12"/>
        <v>202.19797915566085</v>
      </c>
      <c r="V15" s="168">
        <f t="shared" si="12"/>
        <v>206.24193873877405</v>
      </c>
      <c r="W15" s="168"/>
      <c r="X15" s="44"/>
      <c r="Y15" s="44"/>
      <c r="Z15" s="44"/>
      <c r="AA15" s="44"/>
      <c r="AB15" s="44"/>
      <c r="AC15" s="44">
        <f>AVERAGE(F15:I15)</f>
        <v>174.75000000000003</v>
      </c>
      <c r="AD15" s="321">
        <f>AVERAGE(J15,K15,L15,M15)</f>
        <v>159.77499999999998</v>
      </c>
      <c r="AE15" s="179">
        <f>AVERAGE(N15:Q15)</f>
        <v>169.51584000000003</v>
      </c>
      <c r="AF15" s="45">
        <f>AVERAGE(R15:U15)</f>
        <v>190.82894451179524</v>
      </c>
      <c r="AG15" s="3">
        <f>AVERAGE(F15:I15)</f>
        <v>174.75000000000003</v>
      </c>
      <c r="AH15">
        <v>173</v>
      </c>
      <c r="AI15" s="182"/>
      <c r="AJ15" s="182"/>
      <c r="AK15" s="3"/>
      <c r="AL15" s="3"/>
      <c r="AM15" s="233"/>
      <c r="AN15" s="35"/>
      <c r="AO15" s="35"/>
      <c r="AP15" s="35"/>
      <c r="AQ15" s="35"/>
    </row>
    <row r="16" spans="1:43" x14ac:dyDescent="0.2">
      <c r="A16" s="212" t="s">
        <v>365</v>
      </c>
      <c r="C16"/>
      <c r="D16"/>
      <c r="F16" s="198"/>
      <c r="G16" s="198"/>
      <c r="H16" s="198"/>
      <c r="I16" s="198"/>
      <c r="J16" s="198"/>
      <c r="K16" s="198"/>
      <c r="L16" s="198"/>
      <c r="M16" s="301"/>
      <c r="N16" s="319"/>
      <c r="O16" s="339">
        <v>1.4305288079133199E-2</v>
      </c>
      <c r="P16">
        <v>1.4103532976963901E-2</v>
      </c>
      <c r="Q16">
        <v>1.3907389648433899E-2</v>
      </c>
      <c r="R16">
        <v>2.4549945053089901E-2</v>
      </c>
      <c r="S16">
        <v>2.3961686954966099E-2</v>
      </c>
      <c r="T16">
        <v>2.34009604658383E-2</v>
      </c>
      <c r="U16">
        <v>2.28658769825529E-2</v>
      </c>
      <c r="V16">
        <v>5.9917976752863504E-3</v>
      </c>
      <c r="W16">
        <v>5.9561098700133801E-3</v>
      </c>
      <c r="X16">
        <v>5.9208446686436203E-3</v>
      </c>
      <c r="Y16">
        <v>5.8859946088443103E-3</v>
      </c>
      <c r="Z16">
        <v>1.79173480907555E-2</v>
      </c>
      <c r="AA16" s="44"/>
      <c r="AB16" s="44"/>
      <c r="AC16" s="44"/>
      <c r="AD16" s="321"/>
      <c r="AE16" s="179"/>
      <c r="AF16" s="45"/>
      <c r="AG16" s="3"/>
      <c r="AI16" s="182"/>
      <c r="AJ16" s="182"/>
      <c r="AK16" s="3"/>
      <c r="AL16" s="3"/>
      <c r="AM16" s="233"/>
      <c r="AN16" s="35"/>
      <c r="AO16" s="35"/>
      <c r="AP16" s="35"/>
      <c r="AQ16" s="35"/>
    </row>
    <row r="17" spans="1:39" s="170" customFormat="1" x14ac:dyDescent="0.2">
      <c r="A17" s="212" t="s">
        <v>210</v>
      </c>
      <c r="C17" s="269"/>
      <c r="D17" s="269"/>
      <c r="F17" s="199"/>
      <c r="G17" s="199"/>
      <c r="H17" s="199"/>
      <c r="I17" s="199"/>
      <c r="J17" s="199"/>
      <c r="K17" s="199"/>
      <c r="L17" s="199"/>
      <c r="M17" s="301"/>
      <c r="N17" s="302"/>
      <c r="O17" s="323">
        <v>7.9500000000000001E-2</v>
      </c>
      <c r="P17" s="175">
        <v>0.04</v>
      </c>
      <c r="Q17" s="175">
        <v>0.04</v>
      </c>
      <c r="R17" s="175">
        <v>0.04</v>
      </c>
      <c r="S17" s="175">
        <v>0.04</v>
      </c>
      <c r="T17" s="175">
        <v>0.04</v>
      </c>
      <c r="U17" s="175">
        <v>0.04</v>
      </c>
      <c r="V17" s="175">
        <v>0.02</v>
      </c>
      <c r="W17" s="175"/>
      <c r="X17" s="172"/>
      <c r="Y17" s="172"/>
      <c r="Z17" s="172"/>
      <c r="AA17" s="172"/>
      <c r="AB17" s="172"/>
      <c r="AC17" s="172"/>
      <c r="AD17" s="320"/>
      <c r="AE17" s="322"/>
      <c r="AF17" s="184"/>
      <c r="AG17" s="174"/>
      <c r="AI17" s="182"/>
      <c r="AJ17" s="322"/>
      <c r="AK17" s="184"/>
      <c r="AL17" s="184"/>
      <c r="AM17" s="232"/>
    </row>
    <row r="18" spans="1:39" x14ac:dyDescent="0.2">
      <c r="A18" s="211" t="s">
        <v>26</v>
      </c>
      <c r="B18" t="s">
        <v>274</v>
      </c>
      <c r="C18" t="s">
        <v>286</v>
      </c>
      <c r="D18"/>
      <c r="F18" s="198">
        <v>1360.3</v>
      </c>
      <c r="G18" s="198">
        <v>1391.9</v>
      </c>
      <c r="H18" s="198">
        <v>1397.8</v>
      </c>
      <c r="I18" s="198">
        <v>1402.3</v>
      </c>
      <c r="J18" s="198">
        <v>1416.9</v>
      </c>
      <c r="K18" s="198">
        <v>1436.4</v>
      </c>
      <c r="L18" s="198">
        <v>1360.7840000000001</v>
      </c>
      <c r="M18" s="301">
        <v>1430.2</v>
      </c>
      <c r="N18" s="319" t="str">
        <f>VLOOKUP($C$18,'Haver NA'!$A$1:$K$34,11,0)</f>
        <v>1498.6</v>
      </c>
      <c r="O18" s="319" t="str">
        <f>VLOOKUP($C$18,'Haver NA'!$A$1:$J$34,10,0)</f>
        <v>1461.3</v>
      </c>
      <c r="P18" s="168">
        <f t="shared" ref="P18:V18" si="13">O18*(1+P20)</f>
        <v>1472.9903999999999</v>
      </c>
      <c r="Q18" s="168">
        <f t="shared" si="13"/>
        <v>1484.7743232</v>
      </c>
      <c r="R18" s="168">
        <f t="shared" si="13"/>
        <v>1521.8936812799998</v>
      </c>
      <c r="S18" s="168">
        <f t="shared" si="13"/>
        <v>1537.1126180927997</v>
      </c>
      <c r="T18" s="168">
        <f t="shared" si="13"/>
        <v>1552.4837442737278</v>
      </c>
      <c r="U18" s="168">
        <f t="shared" si="13"/>
        <v>1568.008581716465</v>
      </c>
      <c r="V18" s="168">
        <f t="shared" si="13"/>
        <v>1599.3687533507943</v>
      </c>
      <c r="W18" s="168"/>
      <c r="X18" s="44"/>
      <c r="Y18" s="44"/>
      <c r="Z18" s="44"/>
      <c r="AA18" s="44"/>
      <c r="AB18" s="44"/>
      <c r="AC18" s="44">
        <f>AVERAGE(F18:I18)</f>
        <v>1388.075</v>
      </c>
      <c r="AD18" s="321">
        <f>AVERAGE(J18,K18,L18,M18)</f>
        <v>1411.0710000000001</v>
      </c>
      <c r="AE18" s="179">
        <f>AVERAGE(N18:Q18)</f>
        <v>1478.8823616</v>
      </c>
      <c r="AF18" s="45">
        <f>AVERAGE(R18:U18)</f>
        <v>1544.8746563407481</v>
      </c>
      <c r="AG18" s="3">
        <f>AVERAGE(F18:I18)</f>
        <v>1388.075</v>
      </c>
      <c r="AH18">
        <v>1395</v>
      </c>
      <c r="AI18" s="182">
        <f>$AC18/'figuring NIPA tax changes'!$E20*'figuring NIPA tax changes'!F20</f>
        <v>1354.69413685124</v>
      </c>
      <c r="AJ18" s="182">
        <f>$AC18/'figuring NIPA tax changes'!$E20*'figuring NIPA tax changes'!G20</f>
        <v>1429.6567868867883</v>
      </c>
      <c r="AK18" s="3">
        <f>$AC18/'figuring NIPA tax changes'!$E20*'figuring NIPA tax changes'!H20</f>
        <v>1517.5549260800469</v>
      </c>
      <c r="AL18" s="3"/>
    </row>
    <row r="19" spans="1:39" x14ac:dyDescent="0.2">
      <c r="A19" s="212" t="s">
        <v>365</v>
      </c>
      <c r="C19"/>
      <c r="D19"/>
      <c r="F19" s="198"/>
      <c r="G19" s="198"/>
      <c r="H19" s="198"/>
      <c r="I19" s="198"/>
      <c r="J19" s="198"/>
      <c r="K19" s="198"/>
      <c r="L19" s="198"/>
      <c r="M19" s="301"/>
      <c r="N19" s="319"/>
      <c r="O19" s="323">
        <v>1.36451053277684E-2</v>
      </c>
      <c r="P19" s="175">
        <v>1.34614227958574E-2</v>
      </c>
      <c r="Q19" s="175">
        <v>1.32826198344294E-2</v>
      </c>
      <c r="R19" s="175">
        <v>1.5370496576392599E-2</v>
      </c>
      <c r="S19" s="175">
        <v>1.5137820754314499E-2</v>
      </c>
      <c r="T19" s="175">
        <v>1.49120842951809E-2</v>
      </c>
      <c r="U19" s="175">
        <v>1.4692981319201199E-2</v>
      </c>
      <c r="V19" s="175">
        <v>1.4482478771249399E-2</v>
      </c>
      <c r="W19" s="175">
        <v>1.4275730802951501E-2</v>
      </c>
      <c r="X19" s="175">
        <v>1.40748027083821E-2</v>
      </c>
      <c r="Y19" s="175">
        <v>1.3879452157564E-2</v>
      </c>
      <c r="Z19" s="175">
        <v>9.0059051138720002E-3</v>
      </c>
      <c r="AA19" s="44"/>
      <c r="AB19" s="44"/>
      <c r="AC19" s="44"/>
      <c r="AD19" s="321"/>
      <c r="AE19" s="179"/>
      <c r="AF19" s="45"/>
      <c r="AG19" s="3"/>
      <c r="AI19" s="182"/>
      <c r="AJ19" s="182"/>
      <c r="AK19" s="3"/>
      <c r="AL19" s="3"/>
    </row>
    <row r="20" spans="1:39" s="170" customFormat="1" x14ac:dyDescent="0.2">
      <c r="A20" s="212" t="s">
        <v>210</v>
      </c>
      <c r="C20" s="269"/>
      <c r="D20" s="269"/>
      <c r="F20" s="199"/>
      <c r="G20" s="199"/>
      <c r="H20" s="199"/>
      <c r="I20" s="199"/>
      <c r="J20" s="199"/>
      <c r="K20" s="199"/>
      <c r="L20" s="199"/>
      <c r="M20" s="301"/>
      <c r="N20" s="302"/>
      <c r="O20" s="323">
        <v>8.0000000000000002E-3</v>
      </c>
      <c r="P20" s="175">
        <v>8.0000000000000002E-3</v>
      </c>
      <c r="Q20" s="175">
        <v>8.0000000000000002E-3</v>
      </c>
      <c r="R20" s="175">
        <v>2.5000000000000001E-2</v>
      </c>
      <c r="S20" s="175">
        <v>0.01</v>
      </c>
      <c r="T20" s="175">
        <v>0.01</v>
      </c>
      <c r="U20" s="175">
        <v>0.01</v>
      </c>
      <c r="V20" s="175">
        <v>0.02</v>
      </c>
      <c r="W20" s="175"/>
      <c r="X20" s="172"/>
      <c r="Y20" s="172"/>
      <c r="Z20" s="172"/>
      <c r="AA20" s="172"/>
      <c r="AB20" s="172"/>
      <c r="AC20" s="172"/>
      <c r="AD20" s="320"/>
      <c r="AE20" s="180"/>
      <c r="AF20" s="173"/>
      <c r="AG20" s="174"/>
      <c r="AI20" s="183"/>
      <c r="AJ20" s="183"/>
      <c r="AK20" s="174"/>
      <c r="AL20" s="174"/>
      <c r="AM20" s="232"/>
    </row>
    <row r="21" spans="1:39" x14ac:dyDescent="0.2">
      <c r="A21" s="176" t="s">
        <v>0</v>
      </c>
      <c r="B21" t="s">
        <v>274</v>
      </c>
      <c r="C21" t="s">
        <v>287</v>
      </c>
      <c r="D21"/>
      <c r="F21" s="198">
        <v>234.7</v>
      </c>
      <c r="G21" s="198">
        <v>213.8</v>
      </c>
      <c r="H21" s="198">
        <v>224.2</v>
      </c>
      <c r="I21" s="198">
        <v>201.6</v>
      </c>
      <c r="J21" s="198">
        <v>229.7</v>
      </c>
      <c r="K21" s="198">
        <v>180.5</v>
      </c>
      <c r="L21" s="198">
        <v>171.5</v>
      </c>
      <c r="M21" s="301">
        <v>207</v>
      </c>
      <c r="N21" s="313">
        <f>M21*(1+N23)</f>
        <v>212.17499999999998</v>
      </c>
      <c r="O21" t="str">
        <f>VLOOKUP($C$21,'Haver NA'!$A$1:$K$34,11,0)</f>
        <v>250.9</v>
      </c>
      <c r="P21" s="168">
        <f t="shared" ref="P21" si="14">O21*(1+P23)</f>
        <v>254.66349999999997</v>
      </c>
      <c r="Q21" s="168">
        <f t="shared" ref="Q21" si="15">P21*(1+Q23)</f>
        <v>258.48345249999994</v>
      </c>
      <c r="R21" s="168">
        <f t="shared" ref="R21" si="16">Q21*(1+R23)</f>
        <v>273.99245964999994</v>
      </c>
      <c r="S21" s="168">
        <f t="shared" ref="S21" si="17">R21*(1+S23)</f>
        <v>290.43200722899996</v>
      </c>
      <c r="T21" s="168">
        <f t="shared" ref="T21" si="18">S21*(1+T23)</f>
        <v>307.85792766274</v>
      </c>
      <c r="U21" s="168">
        <f t="shared" ref="U21:V21" si="19">T21*(1+U23)</f>
        <v>326.32940332250439</v>
      </c>
      <c r="V21" s="168">
        <f t="shared" si="19"/>
        <v>345.90916752185467</v>
      </c>
      <c r="W21" s="168"/>
      <c r="X21" s="44"/>
      <c r="Y21" s="44"/>
      <c r="Z21" s="44"/>
      <c r="AA21" s="44"/>
      <c r="AB21" s="44"/>
      <c r="AC21" s="44">
        <f>AVERAGE(F21:I21)</f>
        <v>218.57500000000002</v>
      </c>
      <c r="AD21" s="321">
        <f>AVERAGE(J21,K21,L21,M21)</f>
        <v>197.17500000000001</v>
      </c>
      <c r="AE21" s="179">
        <f>AVERAGE(N21:Q21)</f>
        <v>241.77398416666665</v>
      </c>
      <c r="AF21" s="45">
        <f>AVERAGE(R21:U21)</f>
        <v>299.65294946606105</v>
      </c>
      <c r="AG21" s="33">
        <f>AVERAGE(F21:I21)</f>
        <v>218.57500000000002</v>
      </c>
      <c r="AH21" s="34">
        <v>166</v>
      </c>
      <c r="AI21" s="146">
        <f>AC21/'figuring NIPA tax changes'!E10*'figuring NIPA tax changes'!F21</f>
        <v>193.42290277747617</v>
      </c>
      <c r="AJ21" s="146">
        <f>AC21/'figuring NIPA tax changes'!E21*'figuring NIPA tax changes'!G21</f>
        <v>200.10987665313039</v>
      </c>
      <c r="AK21">
        <f>AC21/'figuring NIPA tax changes'!E21*'figuring NIPA tax changes'!H21</f>
        <v>237.052464440053</v>
      </c>
    </row>
    <row r="22" spans="1:39" x14ac:dyDescent="0.2">
      <c r="A22" s="177" t="s">
        <v>365</v>
      </c>
      <c r="C22"/>
      <c r="D22"/>
      <c r="F22" s="198"/>
      <c r="G22" s="198"/>
      <c r="H22" s="198"/>
      <c r="I22" s="198"/>
      <c r="J22" s="198"/>
      <c r="K22" s="198"/>
      <c r="L22" s="198"/>
      <c r="M22" s="301"/>
      <c r="N22" s="313"/>
      <c r="O22" s="323">
        <v>4.7029556586929401E-2</v>
      </c>
      <c r="P22" s="175">
        <v>4.4917124154770303E-2</v>
      </c>
      <c r="Q22" s="175">
        <v>4.2986303043989003E-2</v>
      </c>
      <c r="R22" s="175">
        <v>0.174715967926274</v>
      </c>
      <c r="S22" s="175">
        <v>0.14873039330068899</v>
      </c>
      <c r="T22" s="175">
        <v>0.129473716520494</v>
      </c>
      <c r="U22" s="175">
        <v>0.11463189857959399</v>
      </c>
      <c r="V22" s="175">
        <v>5.8955211121975999E-2</v>
      </c>
      <c r="W22" s="175">
        <v>5.5672997783836803E-2</v>
      </c>
      <c r="X22" s="175">
        <v>5.2736972434371802E-2</v>
      </c>
      <c r="Y22" s="175">
        <v>5.0095108099434703E-2</v>
      </c>
      <c r="Z22" s="175">
        <v>2.5600983120088301E-2</v>
      </c>
      <c r="AA22" s="44"/>
      <c r="AB22" s="44"/>
      <c r="AC22" s="44"/>
      <c r="AD22" s="321"/>
      <c r="AE22" s="321"/>
      <c r="AF22" s="45"/>
      <c r="AG22" s="33"/>
      <c r="AH22" s="34"/>
      <c r="AI22" s="95"/>
      <c r="AJ22" s="95"/>
    </row>
    <row r="23" spans="1:39" s="170" customFormat="1" x14ac:dyDescent="0.2">
      <c r="A23" s="177" t="s">
        <v>210</v>
      </c>
      <c r="C23" s="269"/>
      <c r="D23" s="269"/>
      <c r="F23" s="199"/>
      <c r="G23" s="199"/>
      <c r="H23" s="199"/>
      <c r="I23" s="199"/>
      <c r="J23" s="199"/>
      <c r="K23" s="199"/>
      <c r="L23" s="199"/>
      <c r="M23" s="301"/>
      <c r="N23" s="314">
        <v>2.5000000000000001E-2</v>
      </c>
      <c r="O23" s="323">
        <v>1.4999999999999999E-2</v>
      </c>
      <c r="P23" s="175">
        <v>1.4999999999999999E-2</v>
      </c>
      <c r="Q23" s="175">
        <v>1.4999999999999999E-2</v>
      </c>
      <c r="R23" s="175">
        <v>0.06</v>
      </c>
      <c r="S23" s="175">
        <v>0.06</v>
      </c>
      <c r="T23" s="175">
        <v>0.06</v>
      </c>
      <c r="U23" s="175">
        <v>0.06</v>
      </c>
      <c r="V23" s="175">
        <v>0.06</v>
      </c>
      <c r="W23" s="171"/>
      <c r="X23" s="172"/>
      <c r="Y23" s="172"/>
      <c r="Z23" s="172"/>
      <c r="AA23" s="172"/>
      <c r="AB23" s="172"/>
      <c r="AC23" s="172"/>
      <c r="AD23" s="173"/>
      <c r="AE23" s="173"/>
      <c r="AF23" s="173"/>
      <c r="AG23" s="174"/>
      <c r="AI23" s="174"/>
      <c r="AJ23" s="174"/>
      <c r="AK23" s="174"/>
      <c r="AL23" s="174"/>
      <c r="AM23" s="232"/>
    </row>
    <row r="24" spans="1:39" s="170" customFormat="1" x14ac:dyDescent="0.2">
      <c r="A24" s="169"/>
      <c r="C24" s="269"/>
      <c r="D24" s="269"/>
      <c r="F24" s="199"/>
      <c r="G24" s="199"/>
      <c r="H24" s="199"/>
      <c r="I24" s="199"/>
      <c r="J24" s="199"/>
      <c r="K24" s="199"/>
      <c r="L24" s="199"/>
      <c r="M24" s="301"/>
      <c r="N24" s="302"/>
      <c r="O24" s="323"/>
      <c r="P24" s="175"/>
      <c r="Q24" s="175"/>
      <c r="R24" s="175"/>
      <c r="S24" s="175"/>
      <c r="T24" s="175"/>
      <c r="U24" s="175"/>
      <c r="V24" s="171"/>
      <c r="W24" s="171"/>
      <c r="X24" s="172"/>
      <c r="Y24" s="172"/>
      <c r="Z24" s="172"/>
      <c r="AA24" s="172"/>
      <c r="AB24" s="172"/>
      <c r="AC24" s="172"/>
      <c r="AD24" s="173"/>
      <c r="AE24" s="173"/>
      <c r="AF24" s="173"/>
      <c r="AG24" s="174"/>
      <c r="AI24" s="174"/>
      <c r="AJ24" s="174"/>
      <c r="AK24" s="174"/>
      <c r="AL24" s="174"/>
      <c r="AM24" s="232"/>
    </row>
    <row r="25" spans="1:39" s="170" customFormat="1" x14ac:dyDescent="0.2">
      <c r="A25" t="s">
        <v>257</v>
      </c>
      <c r="C25" s="269"/>
      <c r="D25" s="269"/>
      <c r="F25" s="199"/>
      <c r="G25" s="199"/>
      <c r="H25" s="199"/>
      <c r="I25" s="199"/>
      <c r="J25" s="199"/>
      <c r="K25" s="199"/>
      <c r="L25" s="199"/>
      <c r="M25" s="301"/>
      <c r="N25" s="302"/>
      <c r="O25" s="323"/>
      <c r="P25" s="175"/>
      <c r="Q25" s="175"/>
      <c r="R25" s="175"/>
      <c r="S25" s="175"/>
      <c r="T25" s="175"/>
      <c r="U25" s="175"/>
      <c r="V25" s="171"/>
      <c r="W25" s="171"/>
      <c r="X25" s="172"/>
      <c r="Y25" s="172"/>
      <c r="Z25" s="172"/>
      <c r="AA25" s="172"/>
      <c r="AB25" s="172"/>
      <c r="AC25" s="172"/>
      <c r="AD25" s="173"/>
      <c r="AE25" s="173"/>
      <c r="AF25" s="173"/>
      <c r="AG25" s="174"/>
      <c r="AI25" s="174"/>
      <c r="AJ25" s="174"/>
      <c r="AK25" s="174"/>
      <c r="AL25" s="174"/>
      <c r="AM25" s="232"/>
    </row>
    <row r="26" spans="1:39" x14ac:dyDescent="0.2">
      <c r="A26" s="176" t="s">
        <v>258</v>
      </c>
      <c r="F26" s="203">
        <f>SUM(F27:F29)</f>
        <v>1773.6</v>
      </c>
      <c r="G26" s="203">
        <f t="shared" ref="G26:U26" si="20">SUM(G27:G29)</f>
        <v>1798.8</v>
      </c>
      <c r="H26" s="203">
        <f t="shared" si="20"/>
        <v>1853.9</v>
      </c>
      <c r="I26" s="203">
        <f t="shared" si="20"/>
        <v>1832.2</v>
      </c>
      <c r="J26" s="203">
        <f t="shared" si="20"/>
        <v>1832.4</v>
      </c>
      <c r="K26" s="203">
        <f t="shared" si="20"/>
        <v>1862.4</v>
      </c>
      <c r="L26" s="203">
        <f t="shared" si="20"/>
        <v>1779.8019999999999</v>
      </c>
      <c r="M26" s="301">
        <v>1871.3489999999999</v>
      </c>
      <c r="N26" s="318">
        <f t="shared" ref="N26" si="21">SUM(N27:N29)</f>
        <v>0</v>
      </c>
      <c r="O26" s="341">
        <f t="shared" si="20"/>
        <v>0</v>
      </c>
      <c r="P26" s="102">
        <f t="shared" si="20"/>
        <v>1957.5073583056076</v>
      </c>
      <c r="Q26" s="102">
        <f t="shared" si="20"/>
        <v>1985.8481141737871</v>
      </c>
      <c r="R26" s="102">
        <f t="shared" si="20"/>
        <v>2012.2468720647662</v>
      </c>
      <c r="S26" s="102">
        <f t="shared" si="20"/>
        <v>2037.2268186482022</v>
      </c>
      <c r="T26" s="102">
        <f t="shared" si="20"/>
        <v>2057.8527880316142</v>
      </c>
      <c r="U26" s="102">
        <f t="shared" si="20"/>
        <v>2079.9951119999637</v>
      </c>
      <c r="V26" s="102">
        <f t="shared" ref="V26" si="22">SUM(V27:V29)</f>
        <v>2101.8448061361319</v>
      </c>
    </row>
    <row r="27" spans="1:39" x14ac:dyDescent="0.2">
      <c r="A27" s="211" t="s">
        <v>21</v>
      </c>
      <c r="C27" t="s">
        <v>288</v>
      </c>
      <c r="D27"/>
      <c r="F27" s="197">
        <v>456.5</v>
      </c>
      <c r="G27" s="197">
        <v>475.2</v>
      </c>
      <c r="H27" s="197">
        <v>519.4</v>
      </c>
      <c r="I27" s="197">
        <v>483.9</v>
      </c>
      <c r="J27" s="197">
        <v>480.9</v>
      </c>
      <c r="K27" s="197">
        <v>495.8</v>
      </c>
      <c r="L27" s="198">
        <v>496.37400000000002</v>
      </c>
      <c r="M27" s="301">
        <v>506.6</v>
      </c>
      <c r="N27" s="318" t="str">
        <f>VLOOKUP($C$27,'Haver NA'!$A$1:$I$34,9,0)</f>
        <v>506.6</v>
      </c>
      <c r="O27" s="318" t="str">
        <f>VLOOKUP($C$27,'Haver NA'!$A$1:$K$34,11,0)</f>
        <v>555.0</v>
      </c>
      <c r="P27" s="102">
        <f t="shared" ref="P27:V29" si="23">O27*(1+P$6)</f>
        <v>560.68946816835921</v>
      </c>
      <c r="Q27" s="102">
        <f t="shared" si="23"/>
        <v>568.8071200728574</v>
      </c>
      <c r="R27" s="102">
        <f t="shared" si="23"/>
        <v>576.36852486625264</v>
      </c>
      <c r="S27" s="102">
        <f t="shared" si="23"/>
        <v>583.52353907619363</v>
      </c>
      <c r="T27" s="102">
        <f t="shared" si="23"/>
        <v>589.43144218315945</v>
      </c>
      <c r="U27" s="102">
        <f t="shared" si="23"/>
        <v>595.77367522619204</v>
      </c>
      <c r="V27" s="102">
        <f t="shared" si="23"/>
        <v>602.03209021138707</v>
      </c>
    </row>
    <row r="28" spans="1:39" x14ac:dyDescent="0.2">
      <c r="A28" s="211" t="s">
        <v>22</v>
      </c>
      <c r="C28" t="s">
        <v>289</v>
      </c>
      <c r="D28"/>
      <c r="F28" s="197">
        <v>1295.5</v>
      </c>
      <c r="G28" s="197">
        <v>1301.5999999999999</v>
      </c>
      <c r="H28" s="197">
        <v>1312.4</v>
      </c>
      <c r="I28" s="197">
        <v>1326.5</v>
      </c>
      <c r="J28" s="197">
        <v>1330.4</v>
      </c>
      <c r="K28" s="197">
        <v>1346.2</v>
      </c>
      <c r="L28" s="198">
        <v>1264.3219999999999</v>
      </c>
      <c r="M28" s="301">
        <v>1344.5</v>
      </c>
      <c r="N28" s="318" t="str">
        <f>VLOOKUP($C$28,'Haver NA'!$A$1:$I$34,9,0)</f>
        <v>1344.5</v>
      </c>
      <c r="O28" s="318" t="str">
        <f>VLOOKUP($C$28,'Haver NA'!$A$1:$K$34,10,0)</f>
        <v>1360.8</v>
      </c>
      <c r="P28" s="102">
        <f t="shared" si="23"/>
        <v>1374.7499608711769</v>
      </c>
      <c r="Q28" s="102">
        <f t="shared" si="23"/>
        <v>1394.6535657570168</v>
      </c>
      <c r="R28" s="102">
        <f t="shared" si="23"/>
        <v>1413.1933128612552</v>
      </c>
      <c r="S28" s="102">
        <f t="shared" si="23"/>
        <v>1430.7366341889808</v>
      </c>
      <c r="T28" s="102">
        <f t="shared" si="23"/>
        <v>1445.2221739150332</v>
      </c>
      <c r="U28" s="102">
        <f t="shared" si="23"/>
        <v>1460.7726436897337</v>
      </c>
      <c r="V28" s="102">
        <f t="shared" si="23"/>
        <v>1476.1176006480282</v>
      </c>
    </row>
    <row r="29" spans="1:39" x14ac:dyDescent="0.2">
      <c r="A29" s="211" t="s">
        <v>23</v>
      </c>
      <c r="C29" t="s">
        <v>290</v>
      </c>
      <c r="D29"/>
      <c r="F29" s="197">
        <v>21.6</v>
      </c>
      <c r="G29" s="197">
        <v>22</v>
      </c>
      <c r="H29" s="197">
        <v>22.1</v>
      </c>
      <c r="I29" s="197">
        <v>21.8</v>
      </c>
      <c r="J29" s="197">
        <v>21.1</v>
      </c>
      <c r="K29" s="197">
        <v>20.399999999999999</v>
      </c>
      <c r="L29" s="198">
        <v>19.106000000000002</v>
      </c>
      <c r="M29" s="301">
        <v>20.248999999999999</v>
      </c>
      <c r="N29" s="318" t="str">
        <f>VLOOKUP($C$29,'Haver NA'!$A$1:$J$34,10,0)</f>
        <v>21.844</v>
      </c>
      <c r="O29" s="318" t="str">
        <f>VLOOKUP($C$29,'Haver NA'!$A$1:$K$34,10,0)</f>
        <v>21.844</v>
      </c>
      <c r="P29" s="102">
        <f t="shared" si="23"/>
        <v>22.06792926607142</v>
      </c>
      <c r="Q29" s="102">
        <f t="shared" si="23"/>
        <v>22.387428343912607</v>
      </c>
      <c r="R29" s="102">
        <f t="shared" si="23"/>
        <v>22.685034337258418</v>
      </c>
      <c r="S29" s="102">
        <f t="shared" si="23"/>
        <v>22.9666453830277</v>
      </c>
      <c r="T29" s="102">
        <f t="shared" si="23"/>
        <v>23.199171933421503</v>
      </c>
      <c r="U29" s="102">
        <f t="shared" si="23"/>
        <v>23.448793084037728</v>
      </c>
      <c r="V29" s="102">
        <f t="shared" si="23"/>
        <v>23.695115276716287</v>
      </c>
    </row>
    <row r="30" spans="1:39" x14ac:dyDescent="0.2">
      <c r="A30" s="176" t="s">
        <v>0</v>
      </c>
      <c r="C30" t="s">
        <v>291</v>
      </c>
      <c r="D30"/>
      <c r="F30" s="197">
        <v>63.5</v>
      </c>
      <c r="G30" s="197">
        <v>68.5</v>
      </c>
      <c r="H30" s="197">
        <v>68.7</v>
      </c>
      <c r="I30" s="197">
        <v>69.8</v>
      </c>
      <c r="J30" s="197">
        <v>71</v>
      </c>
      <c r="K30" s="197">
        <v>62.7</v>
      </c>
      <c r="L30" s="197">
        <v>54.2</v>
      </c>
      <c r="M30" s="301">
        <v>90.2</v>
      </c>
      <c r="N30" s="318">
        <f t="shared" ref="N30:V30" si="24">M30*(1+N6)</f>
        <v>91.58216652574599</v>
      </c>
      <c r="O30" s="341">
        <f t="shared" si="24"/>
        <v>93.994992985456051</v>
      </c>
      <c r="P30" s="102">
        <f t="shared" si="24"/>
        <v>94.958563292800008</v>
      </c>
      <c r="Q30" s="102">
        <f t="shared" si="24"/>
        <v>96.333371642028268</v>
      </c>
      <c r="R30" s="102">
        <f t="shared" si="24"/>
        <v>97.613973787101031</v>
      </c>
      <c r="S30" s="102">
        <f t="shared" si="24"/>
        <v>98.825749481649211</v>
      </c>
      <c r="T30" s="102">
        <f t="shared" si="24"/>
        <v>99.826314006150113</v>
      </c>
      <c r="U30" s="102">
        <f t="shared" si="24"/>
        <v>100.90043679964917</v>
      </c>
      <c r="V30" s="102">
        <f t="shared" si="24"/>
        <v>101.96036413772752</v>
      </c>
    </row>
    <row r="31" spans="1:39" s="185" customFormat="1" ht="12" x14ac:dyDescent="0.15">
      <c r="A31" s="177" t="s">
        <v>259</v>
      </c>
      <c r="F31" s="209">
        <f t="shared" ref="F31:L31" si="25">F30/F21</f>
        <v>0.27055815935236471</v>
      </c>
      <c r="G31" s="209">
        <f t="shared" si="25"/>
        <v>0.32039289055191766</v>
      </c>
      <c r="H31" s="209">
        <f t="shared" si="25"/>
        <v>0.30642283675289922</v>
      </c>
      <c r="I31" s="209">
        <f t="shared" si="25"/>
        <v>0.34623015873015872</v>
      </c>
      <c r="J31" s="209">
        <f t="shared" si="25"/>
        <v>0.30909882455376581</v>
      </c>
      <c r="K31" s="209">
        <f t="shared" si="25"/>
        <v>0.3473684210526316</v>
      </c>
      <c r="L31" s="209">
        <f t="shared" si="25"/>
        <v>0.31603498542274056</v>
      </c>
      <c r="M31" s="209">
        <v>0.43574879227053143</v>
      </c>
      <c r="N31" s="209">
        <f>N30/N21</f>
        <v>0.43163504901965827</v>
      </c>
      <c r="O31" s="342"/>
      <c r="P31" s="193"/>
      <c r="Q31" s="193"/>
      <c r="R31" s="193"/>
      <c r="S31" s="193"/>
      <c r="T31" s="193"/>
      <c r="U31" s="193"/>
      <c r="AM31" s="234"/>
    </row>
    <row r="32" spans="1:39" s="170" customFormat="1" x14ac:dyDescent="0.2">
      <c r="A32" s="194"/>
      <c r="B32" s="195"/>
      <c r="C32" s="269"/>
      <c r="D32" s="269"/>
      <c r="F32" s="199"/>
      <c r="G32" s="199"/>
      <c r="H32" s="199"/>
      <c r="I32" s="199"/>
      <c r="J32" s="199"/>
      <c r="K32" s="199"/>
      <c r="L32" s="199"/>
      <c r="M32" s="301"/>
      <c r="N32" s="302"/>
      <c r="O32" s="323"/>
      <c r="P32" s="175"/>
      <c r="Q32" s="175"/>
      <c r="R32" s="175"/>
      <c r="S32" s="175"/>
      <c r="T32" s="175"/>
      <c r="U32" s="175"/>
      <c r="V32" s="171"/>
      <c r="W32" s="171"/>
      <c r="X32" s="172"/>
      <c r="Y32" s="172"/>
      <c r="Z32" s="172"/>
      <c r="AA32" s="172"/>
      <c r="AB32" s="172"/>
      <c r="AC32" s="172"/>
      <c r="AD32" s="173"/>
      <c r="AE32" s="173"/>
      <c r="AF32" s="173"/>
      <c r="AG32" s="174"/>
      <c r="AI32" s="174">
        <f>$AC$34*('figuring out social benefits'!G47/'figuring out social benefits'!$F$47)</f>
        <v>3428.146799249083</v>
      </c>
      <c r="AJ32" s="174">
        <f>$AC$34*('figuring out social benefits'!H47/'figuring out social benefits'!$F$47)</f>
        <v>2649.6527204036238</v>
      </c>
      <c r="AK32" s="174">
        <f>$AC$34*('figuring out social benefits'!I47/'figuring out social benefits'!$F$47)</f>
        <v>2766.2949511126526</v>
      </c>
      <c r="AL32" s="174"/>
      <c r="AM32" s="232"/>
    </row>
    <row r="33" spans="1:39" x14ac:dyDescent="0.2">
      <c r="A33" t="s">
        <v>393</v>
      </c>
      <c r="F33" s="197"/>
      <c r="G33" s="197"/>
      <c r="H33" s="197"/>
      <c r="I33" s="197"/>
      <c r="J33" s="197"/>
      <c r="K33" s="197"/>
      <c r="L33" s="201"/>
      <c r="M33" s="301"/>
      <c r="N33" s="306"/>
      <c r="O33" s="298"/>
      <c r="P33" s="88"/>
      <c r="Q33" s="88"/>
      <c r="AG33" s="3"/>
      <c r="AI33" s="3">
        <f>AI32-47</f>
        <v>3381.146799249083</v>
      </c>
      <c r="AJ33" s="3">
        <f>AJ32+47</f>
        <v>2696.6527204036238</v>
      </c>
    </row>
    <row r="34" spans="1:39" ht="16" x14ac:dyDescent="0.2">
      <c r="A34" s="86" t="s">
        <v>14</v>
      </c>
      <c r="B34" t="s">
        <v>274</v>
      </c>
      <c r="C34" t="s">
        <v>292</v>
      </c>
      <c r="D34"/>
      <c r="F34" s="202">
        <v>2220523</v>
      </c>
      <c r="G34" s="202">
        <v>2298792</v>
      </c>
      <c r="H34" s="202">
        <v>2315842</v>
      </c>
      <c r="I34" s="202">
        <v>2331428</v>
      </c>
      <c r="J34" s="202">
        <v>2347737</v>
      </c>
      <c r="K34" s="202">
        <v>2422546</v>
      </c>
      <c r="L34" s="202">
        <v>4815254</v>
      </c>
      <c r="M34" s="303">
        <v>3494888</v>
      </c>
      <c r="N34" s="303" t="str">
        <f>VLOOKUP($C$34,'Haver NA'!$A$1:$J$34,10,0)</f>
        <v>2918239</v>
      </c>
      <c r="O34" s="303" t="str">
        <f>VLOOKUP($C$34,'Haver NA'!$A$1:$K$34,11,0)</f>
        <v>5163185</v>
      </c>
      <c r="P34" s="133">
        <f t="shared" ref="P34:U34" si="26">P35+P40+P50</f>
        <v>2749476.0727414312</v>
      </c>
      <c r="Q34" s="133">
        <f t="shared" si="26"/>
        <v>2651823.3912212253</v>
      </c>
      <c r="R34" s="133">
        <f t="shared" si="26"/>
        <v>2719329.4377647843</v>
      </c>
      <c r="S34" s="133">
        <f t="shared" si="26"/>
        <v>2776596.3725474421</v>
      </c>
      <c r="T34" s="133">
        <f t="shared" si="26"/>
        <v>2835282.6832986092</v>
      </c>
      <c r="U34" s="133">
        <f t="shared" si="26"/>
        <v>2895427.984567659</v>
      </c>
      <c r="V34" s="87"/>
      <c r="W34" s="44"/>
      <c r="X34" s="3"/>
      <c r="Y34" s="3"/>
      <c r="Z34" s="3"/>
      <c r="AA34" s="3"/>
      <c r="AB34" s="3"/>
      <c r="AC34" s="3">
        <f>AVERAGE(F34:I34)/1000</f>
        <v>2291.6462499999998</v>
      </c>
      <c r="AD34" s="45"/>
      <c r="AE34" s="45"/>
      <c r="AF34" s="45"/>
      <c r="AH34">
        <v>2286.6999999999998</v>
      </c>
      <c r="AI34" s="32">
        <f>$AC34/'figuring out social benefits'!$F47*'figuring out social benefits'!G49+'figuring out social benefits'!G50-47</f>
        <v>3320.7721322167745</v>
      </c>
      <c r="AJ34" s="32">
        <f>$AC34/'figuring out social benefits'!$F47*'figuring out social benefits'!H49+'figuring out social benefits'!H50+46</f>
        <v>2675.6800557811207</v>
      </c>
      <c r="AK34" s="32">
        <f>$AC34/'figuring out social benefits'!$F47*'figuring out social benefits'!I49+'figuring out social benefits'!I50*0.9</f>
        <v>2725.1688956203648</v>
      </c>
      <c r="AL34" s="32"/>
      <c r="AM34" s="146" t="s">
        <v>28</v>
      </c>
    </row>
    <row r="35" spans="1:39" ht="16" x14ac:dyDescent="0.2">
      <c r="A35" s="86" t="s">
        <v>3</v>
      </c>
      <c r="B35" t="s">
        <v>274</v>
      </c>
      <c r="C35" t="s">
        <v>293</v>
      </c>
      <c r="D35"/>
      <c r="F35" s="202">
        <v>753311</v>
      </c>
      <c r="G35" s="202">
        <v>767353</v>
      </c>
      <c r="H35" s="202">
        <v>779707</v>
      </c>
      <c r="I35" s="202">
        <v>789893</v>
      </c>
      <c r="J35" s="202">
        <v>797912</v>
      </c>
      <c r="K35" s="202">
        <v>804655</v>
      </c>
      <c r="L35" s="202">
        <v>824058</v>
      </c>
      <c r="M35" s="301">
        <v>842733</v>
      </c>
      <c r="N35" s="303" t="str">
        <f>VLOOKUP($C$35,'Haver NA'!$A$1:$J$34,10,0)</f>
        <v>860594</v>
      </c>
      <c r="O35" s="303" t="str">
        <f>VLOOKUP($C$35,'Haver NA'!$A$1:$K$34,11,0)</f>
        <v>880104</v>
      </c>
      <c r="P35" s="87">
        <f>O35*((($AJ$35/$AI$35)^0.25))+12000</f>
        <v>902881.83575393062</v>
      </c>
      <c r="Q35" s="87">
        <f>P35*((($AJ$35/$AI$35)^0.25))+12000</f>
        <v>925938.6110111312</v>
      </c>
      <c r="R35" s="87">
        <f>Q35*((($AK$35/$AJ$35)^0.25))+12000</f>
        <v>968216.38585153921</v>
      </c>
      <c r="S35" s="87">
        <f>R35*((($AK$35/$AJ$35)^0.25))</f>
        <v>999876.62485549843</v>
      </c>
      <c r="T35" s="87">
        <f>S35*((($AK$35/$AJ$35)^0.25))</f>
        <v>1032572.1393912865</v>
      </c>
      <c r="U35" s="87">
        <f>T35*((($AK$35/$AJ$35)^0.25))</f>
        <v>1066336.7825017269</v>
      </c>
      <c r="V35" s="87">
        <f>U35*((($AL$35/$AK$35)^0.25))</f>
        <v>1077082.3559680069</v>
      </c>
      <c r="W35" s="87">
        <f>V35*((($AL$35/$AK$35)^0.25))</f>
        <v>1087936.2135627293</v>
      </c>
      <c r="X35" s="87">
        <f>W35*((($AL$35/$AK$35)^0.25))</f>
        <v>1098899.4464749785</v>
      </c>
      <c r="Y35" s="87">
        <f>X35*((($AL$35/$AK$35)^0.25))</f>
        <v>1109973.1568898512</v>
      </c>
      <c r="Z35" s="3"/>
      <c r="AA35" s="3"/>
      <c r="AB35" s="3"/>
      <c r="AC35" s="3">
        <f>AVERAGE(F35:I35)/1000</f>
        <v>772.56600000000003</v>
      </c>
      <c r="AD35" s="45">
        <f>AVERAGE(J35:M35)/1000</f>
        <v>817.33950000000004</v>
      </c>
      <c r="AE35" s="45">
        <f>AVERAGE(N35:Q35)/1000</f>
        <v>914.41022338253094</v>
      </c>
      <c r="AF35" s="45">
        <f>AVERAGE(R35:U35)/1000</f>
        <v>1016.7504831500127</v>
      </c>
      <c r="AH35">
        <v>775.4</v>
      </c>
      <c r="AI35" s="3">
        <f>'figuring out social benefits'!G18-47</f>
        <v>815.06799999999998</v>
      </c>
      <c r="AJ35" s="3">
        <f>'figuring out social benefits'!H18+46</f>
        <v>855.73299999999995</v>
      </c>
      <c r="AK35" s="3">
        <f>'figuring out social benefits'!I18</f>
        <v>973.27200000000005</v>
      </c>
      <c r="AL35" s="3">
        <f>'figuring out social benefits'!J18</f>
        <v>1013.1</v>
      </c>
      <c r="AM35" s="146" t="s">
        <v>18</v>
      </c>
    </row>
    <row r="36" spans="1:39" ht="16" x14ac:dyDescent="0.2">
      <c r="A36" s="93" t="s">
        <v>329</v>
      </c>
      <c r="B36" t="s">
        <v>274</v>
      </c>
      <c r="C36" t="s">
        <v>294</v>
      </c>
      <c r="D36"/>
      <c r="F36" s="202"/>
      <c r="G36" s="202"/>
      <c r="H36" s="202"/>
      <c r="I36" s="202"/>
      <c r="J36" s="202">
        <v>0</v>
      </c>
      <c r="K36" s="202">
        <v>0</v>
      </c>
      <c r="L36" s="202">
        <v>1078000</v>
      </c>
      <c r="M36" s="301">
        <v>15600</v>
      </c>
      <c r="N36" s="315"/>
      <c r="O36" s="343">
        <f>16*1000</f>
        <v>16000</v>
      </c>
      <c r="P36" s="87">
        <f>16*1000</f>
        <v>16000</v>
      </c>
      <c r="Q36" s="87">
        <v>0</v>
      </c>
      <c r="R36" s="87">
        <v>0</v>
      </c>
      <c r="S36" s="87"/>
      <c r="T36" s="87"/>
      <c r="U36" s="87"/>
      <c r="AD36" s="45">
        <f>AVERAGE(J36:M36)/1000</f>
        <v>273.39999999999998</v>
      </c>
      <c r="AE36" s="45">
        <v>0</v>
      </c>
      <c r="AF36" s="45">
        <v>0</v>
      </c>
      <c r="AG36" s="3"/>
      <c r="AI36" s="3">
        <v>272</v>
      </c>
      <c r="AJ36" s="3">
        <v>9</v>
      </c>
      <c r="AK36" s="3">
        <v>0</v>
      </c>
      <c r="AL36" s="3"/>
      <c r="AM36" s="182"/>
    </row>
    <row r="37" spans="1:39" s="274" customFormat="1" ht="16" x14ac:dyDescent="0.2">
      <c r="A37" s="281" t="s">
        <v>330</v>
      </c>
      <c r="F37" s="202"/>
      <c r="G37" s="202"/>
      <c r="H37" s="202"/>
      <c r="I37" s="202"/>
      <c r="J37" s="202"/>
      <c r="K37" s="202"/>
      <c r="L37" s="202"/>
      <c r="M37" s="301"/>
      <c r="N37" s="315" t="str">
        <f>VLOOKUP($C$36,'Haver NA'!$A$1:$J$34,10,0)</f>
        <v xml:space="preserve">   5000</v>
      </c>
      <c r="O37" s="343">
        <f>'Stimulus Round 2'!C4*4</f>
        <v>664000</v>
      </c>
      <c r="P37" s="275"/>
      <c r="Q37" s="275"/>
      <c r="R37" s="275"/>
      <c r="S37" s="275"/>
      <c r="T37" s="275"/>
      <c r="U37" s="275"/>
      <c r="AD37" s="277"/>
      <c r="AE37" s="277"/>
      <c r="AF37" s="277"/>
      <c r="AG37" s="276"/>
      <c r="AI37" s="276"/>
      <c r="AJ37" s="276"/>
      <c r="AK37" s="276"/>
      <c r="AL37" s="276"/>
      <c r="AM37" s="278"/>
    </row>
    <row r="38" spans="1:39" s="274" customFormat="1" ht="16" x14ac:dyDescent="0.2">
      <c r="A38" s="281" t="s">
        <v>337</v>
      </c>
      <c r="F38" s="202"/>
      <c r="G38" s="202"/>
      <c r="H38" s="202"/>
      <c r="I38" s="202"/>
      <c r="J38" s="202"/>
      <c r="K38" s="202"/>
      <c r="L38" s="202"/>
      <c r="M38" s="301"/>
      <c r="N38" s="303"/>
      <c r="O38" s="343">
        <f>'Stimulus Round 2'!$C$15*4/2</f>
        <v>52000</v>
      </c>
      <c r="P38" s="275">
        <f>'Stimulus Round 2'!$C$15*4/2</f>
        <v>52000</v>
      </c>
      <c r="Q38" s="275"/>
      <c r="R38" s="275"/>
      <c r="S38" s="275"/>
      <c r="T38" s="275"/>
      <c r="U38" s="275"/>
      <c r="AD38" s="277"/>
      <c r="AE38" s="277"/>
      <c r="AF38" s="277"/>
      <c r="AG38" s="276"/>
      <c r="AI38" s="276"/>
      <c r="AJ38" s="276"/>
      <c r="AK38" s="276"/>
      <c r="AL38" s="276"/>
      <c r="AM38" s="278"/>
    </row>
    <row r="39" spans="1:39" s="274" customFormat="1" ht="16" x14ac:dyDescent="0.2">
      <c r="A39" s="281" t="s">
        <v>340</v>
      </c>
      <c r="F39" s="202"/>
      <c r="G39" s="202"/>
      <c r="H39" s="202"/>
      <c r="I39" s="202"/>
      <c r="J39" s="202"/>
      <c r="K39" s="202"/>
      <c r="L39" s="202"/>
      <c r="M39" s="301"/>
      <c r="N39" s="303"/>
      <c r="O39" s="343">
        <f>'Stimulus Round 2'!$C$19*4/4</f>
        <v>5000</v>
      </c>
      <c r="P39" s="275">
        <f>'Stimulus Round 2'!$C$19*4/4</f>
        <v>5000</v>
      </c>
      <c r="Q39" s="275">
        <f>'Stimulus Round 2'!$C$19*4/4</f>
        <v>5000</v>
      </c>
      <c r="R39" s="275">
        <f>'Stimulus Round 2'!$C$19*4/4</f>
        <v>5000</v>
      </c>
      <c r="S39" s="275"/>
      <c r="T39" s="275"/>
      <c r="U39" s="275"/>
      <c r="AD39" s="277"/>
      <c r="AE39" s="277"/>
      <c r="AF39" s="277"/>
      <c r="AG39" s="276"/>
      <c r="AI39" s="276"/>
      <c r="AJ39" s="276"/>
      <c r="AK39" s="276"/>
      <c r="AL39" s="276"/>
      <c r="AM39" s="278"/>
    </row>
    <row r="40" spans="1:39" ht="16" x14ac:dyDescent="0.2">
      <c r="A40" s="86" t="s">
        <v>140</v>
      </c>
      <c r="F40" s="202">
        <v>27025</v>
      </c>
      <c r="G40" s="202">
        <v>28029</v>
      </c>
      <c r="H40" s="202">
        <v>27483</v>
      </c>
      <c r="I40" s="202">
        <v>27578</v>
      </c>
      <c r="J40" s="202">
        <v>27884</v>
      </c>
      <c r="K40" s="202">
        <v>43429</v>
      </c>
      <c r="L40" s="298">
        <f>L42+L46</f>
        <v>1084000</v>
      </c>
      <c r="M40" s="301">
        <v>881354</v>
      </c>
      <c r="N40" s="303">
        <f>N41+N44</f>
        <v>332343</v>
      </c>
      <c r="O40" s="343">
        <f t="shared" ref="O40:V40" si="27">O42+O46</f>
        <v>724000</v>
      </c>
      <c r="P40" s="87">
        <f t="shared" si="27"/>
        <v>152000</v>
      </c>
      <c r="Q40" s="87">
        <f t="shared" si="27"/>
        <v>44000</v>
      </c>
      <c r="R40" s="87">
        <f t="shared" si="27"/>
        <v>44000</v>
      </c>
      <c r="S40" s="87">
        <f t="shared" si="27"/>
        <v>44000</v>
      </c>
      <c r="T40" s="87">
        <f t="shared" si="27"/>
        <v>44000</v>
      </c>
      <c r="U40" s="87">
        <f t="shared" si="27"/>
        <v>44000</v>
      </c>
      <c r="V40" s="87">
        <f t="shared" si="27"/>
        <v>44000</v>
      </c>
      <c r="W40" s="44"/>
      <c r="X40" s="3"/>
      <c r="Y40" s="3"/>
      <c r="Z40" s="3"/>
      <c r="AA40" s="3"/>
      <c r="AB40" s="3"/>
      <c r="AC40" s="3">
        <f>AVERAGE(F40:I40)/1000</f>
        <v>27.528749999999999</v>
      </c>
      <c r="AD40" s="45">
        <f>AVERAGE(J40:M40)/1000</f>
        <v>509.16674999999998</v>
      </c>
      <c r="AE40" s="45">
        <f>AVERAGE(N40:Q40)/1000</f>
        <v>313.08575000000002</v>
      </c>
      <c r="AF40" s="45">
        <f t="shared" ref="AF40:AF50" si="28">AVERAGE(R40:U40)/1000</f>
        <v>44</v>
      </c>
      <c r="AH40">
        <v>27.6</v>
      </c>
      <c r="AI40" s="3">
        <v>557</v>
      </c>
      <c r="AJ40" s="3">
        <v>166</v>
      </c>
      <c r="AK40" s="3">
        <v>67</v>
      </c>
      <c r="AL40" s="3"/>
      <c r="AM40" s="182"/>
    </row>
    <row r="41" spans="1:39" ht="16" x14ac:dyDescent="0.2">
      <c r="A41" s="115" t="s">
        <v>323</v>
      </c>
      <c r="B41" t="s">
        <v>274</v>
      </c>
      <c r="C41" t="s">
        <v>295</v>
      </c>
      <c r="D41"/>
      <c r="F41" s="202"/>
      <c r="G41" s="202"/>
      <c r="H41" s="202"/>
      <c r="I41" s="202"/>
      <c r="J41" s="202"/>
      <c r="K41" s="202"/>
      <c r="L41" s="202">
        <v>1084572</v>
      </c>
      <c r="M41" s="301">
        <v>775154</v>
      </c>
      <c r="N41" s="303" t="str">
        <f>VLOOKUP($C$41,'Haver NA'!$A$1:$J$34,10,0)</f>
        <v xml:space="preserve"> 296443</v>
      </c>
      <c r="O41" s="303" t="str">
        <f>VLOOKUP($C$41,'Haver NA'!$A$1:$K$34,11,0)</f>
        <v xml:space="preserve"> 544313</v>
      </c>
      <c r="P41" s="87"/>
      <c r="Q41" s="87"/>
      <c r="R41" s="87"/>
      <c r="S41" s="87"/>
      <c r="T41" s="87"/>
      <c r="U41" s="87"/>
      <c r="V41" s="87"/>
      <c r="W41" s="44"/>
      <c r="X41" s="3"/>
      <c r="Y41" s="3"/>
      <c r="Z41" s="3"/>
      <c r="AA41" s="3"/>
      <c r="AB41" s="3"/>
      <c r="AC41" s="3"/>
      <c r="AD41" s="45"/>
      <c r="AE41" s="45"/>
      <c r="AF41" s="45"/>
      <c r="AI41" s="3"/>
      <c r="AJ41" s="3"/>
      <c r="AK41" s="3"/>
      <c r="AL41" s="3"/>
      <c r="AM41" s="182"/>
    </row>
    <row r="42" spans="1:39" ht="16" x14ac:dyDescent="0.2">
      <c r="A42" s="117" t="s">
        <v>207</v>
      </c>
      <c r="F42" s="202"/>
      <c r="G42" s="202"/>
      <c r="H42" s="202"/>
      <c r="I42" s="202"/>
      <c r="J42" s="202"/>
      <c r="K42" s="202"/>
      <c r="L42" s="202">
        <f>L43+L44</f>
        <v>822933.33333333326</v>
      </c>
      <c r="M42" s="301">
        <v>695200</v>
      </c>
      <c r="N42" s="303">
        <f>N43+N44</f>
        <v>301600</v>
      </c>
      <c r="O42" s="343">
        <f>SUM(O43:O45)</f>
        <v>664000</v>
      </c>
      <c r="P42" s="87">
        <f>SUM(P43:P45)</f>
        <v>108000</v>
      </c>
      <c r="Q42" s="87">
        <f t="shared" ref="Q42" si="29">Q43+Q44+Q45</f>
        <v>0</v>
      </c>
      <c r="R42" s="87">
        <f t="shared" ref="R42" si="30">R43+R44</f>
        <v>0</v>
      </c>
      <c r="S42" s="87"/>
      <c r="T42" s="87"/>
      <c r="U42" s="87"/>
      <c r="V42" s="3"/>
      <c r="W42" s="44"/>
      <c r="X42" s="3"/>
      <c r="Y42" s="3"/>
      <c r="Z42" s="3"/>
      <c r="AA42" s="3"/>
      <c r="AB42" s="3"/>
      <c r="AC42" s="3"/>
      <c r="AD42" s="45"/>
      <c r="AE42" s="45"/>
      <c r="AF42" s="45"/>
      <c r="AG42" s="3"/>
      <c r="AI42" s="3"/>
      <c r="AJ42" s="3"/>
      <c r="AK42" s="3"/>
      <c r="AL42" s="3"/>
      <c r="AM42" s="182"/>
    </row>
    <row r="43" spans="1:39" ht="16" x14ac:dyDescent="0.2">
      <c r="A43" s="270" t="s">
        <v>137</v>
      </c>
      <c r="F43" s="202"/>
      <c r="G43" s="202"/>
      <c r="H43" s="202"/>
      <c r="I43" s="202"/>
      <c r="J43" s="202">
        <v>0</v>
      </c>
      <c r="K43" s="202">
        <v>0</v>
      </c>
      <c r="L43" s="202">
        <f>'figuring out UI'!M17*1000</f>
        <v>822933.33333333326</v>
      </c>
      <c r="M43" s="301">
        <v>589000</v>
      </c>
      <c r="N43" s="303">
        <f>1000*'figuring out UI'!O17</f>
        <v>265700</v>
      </c>
      <c r="O43" s="343">
        <f>1000*'figuring out UI'!P17</f>
        <v>184000</v>
      </c>
      <c r="P43" s="87">
        <f>1000*'figuring out UI'!Q17</f>
        <v>108000</v>
      </c>
      <c r="Q43" s="87">
        <f>1000*'figuring out UI'!R17</f>
        <v>0</v>
      </c>
      <c r="R43" s="87">
        <f>1000*'figuring out UI'!S17</f>
        <v>0</v>
      </c>
      <c r="S43" s="87">
        <f>1000*'figuring out UI'!T17</f>
        <v>0</v>
      </c>
      <c r="T43" s="87">
        <f>1000*'figuring out UI'!U17</f>
        <v>0</v>
      </c>
      <c r="U43" s="87">
        <f>1000*'figuring out UI'!V17</f>
        <v>0</v>
      </c>
      <c r="V43" s="3"/>
      <c r="W43" s="44"/>
      <c r="X43" s="3"/>
      <c r="Y43" s="3"/>
      <c r="Z43" s="3"/>
      <c r="AA43" s="3"/>
      <c r="AB43" s="3"/>
      <c r="AC43" s="3"/>
      <c r="AD43" s="45">
        <f>AVERAGE(J43:M43)/1000</f>
        <v>352.98333333333329</v>
      </c>
      <c r="AE43" s="45">
        <f>AVERAGE(N43:Q43)/1000</f>
        <v>139.42500000000001</v>
      </c>
      <c r="AF43" s="45">
        <f t="shared" si="28"/>
        <v>0</v>
      </c>
      <c r="AG43" s="3"/>
      <c r="AI43" s="3"/>
      <c r="AJ43" s="3"/>
      <c r="AK43" s="3"/>
      <c r="AL43" s="3"/>
      <c r="AM43" s="182"/>
    </row>
    <row r="44" spans="1:39" ht="16" x14ac:dyDescent="0.2">
      <c r="A44" s="270" t="s">
        <v>161</v>
      </c>
      <c r="F44" s="202"/>
      <c r="G44" s="202"/>
      <c r="H44" s="202"/>
      <c r="I44" s="202"/>
      <c r="J44" s="202"/>
      <c r="K44" s="202"/>
      <c r="L44" s="202"/>
      <c r="M44" s="301">
        <v>106200</v>
      </c>
      <c r="N44" s="303">
        <v>35900</v>
      </c>
      <c r="O44" s="343"/>
      <c r="P44" s="87"/>
      <c r="Q44" s="87"/>
      <c r="R44" s="87"/>
      <c r="S44" s="87"/>
      <c r="T44" s="87"/>
      <c r="U44" s="87"/>
      <c r="V44" s="3"/>
      <c r="W44" s="44"/>
      <c r="X44" s="3"/>
      <c r="Y44" s="3"/>
      <c r="Z44" s="3"/>
      <c r="AA44" s="3"/>
      <c r="AB44" s="3"/>
      <c r="AC44" s="3"/>
      <c r="AD44" s="45"/>
      <c r="AE44" s="45"/>
      <c r="AF44" s="45"/>
      <c r="AG44" s="3"/>
      <c r="AI44" s="3"/>
      <c r="AJ44" s="3"/>
      <c r="AK44" s="3"/>
      <c r="AL44" s="3"/>
      <c r="AM44" s="182"/>
    </row>
    <row r="45" spans="1:39" s="274" customFormat="1" ht="14.5" customHeight="1" x14ac:dyDescent="0.2">
      <c r="A45" s="273" t="s">
        <v>335</v>
      </c>
      <c r="F45" s="202"/>
      <c r="G45" s="202"/>
      <c r="H45" s="202"/>
      <c r="I45" s="202"/>
      <c r="J45" s="202"/>
      <c r="K45" s="202"/>
      <c r="L45" s="202"/>
      <c r="M45" s="301"/>
      <c r="N45" s="303"/>
      <c r="O45" s="343">
        <f>'Stimulus Round 2'!$C$3*4</f>
        <v>480000</v>
      </c>
      <c r="P45" s="275"/>
      <c r="Q45" s="275"/>
      <c r="R45" s="275"/>
      <c r="S45" s="275"/>
      <c r="T45" s="275"/>
      <c r="U45" s="275"/>
      <c r="V45" s="276"/>
      <c r="W45" s="276"/>
      <c r="X45" s="276"/>
      <c r="Y45" s="276"/>
      <c r="Z45" s="276"/>
      <c r="AA45" s="276"/>
      <c r="AB45" s="276"/>
      <c r="AC45" s="276"/>
      <c r="AD45" s="277"/>
      <c r="AE45" s="277"/>
      <c r="AF45" s="277"/>
      <c r="AG45" s="276"/>
      <c r="AI45" s="276"/>
      <c r="AJ45" s="276"/>
      <c r="AK45" s="276"/>
      <c r="AL45" s="276"/>
      <c r="AM45" s="278"/>
    </row>
    <row r="46" spans="1:39" ht="16" x14ac:dyDescent="0.2">
      <c r="A46" s="117" t="s">
        <v>138</v>
      </c>
      <c r="F46" s="202"/>
      <c r="G46" s="202"/>
      <c r="H46" s="202"/>
      <c r="I46" s="202"/>
      <c r="J46" s="202">
        <v>0</v>
      </c>
      <c r="K46" s="202">
        <v>0</v>
      </c>
      <c r="L46" s="202">
        <f>'figuring out UI'!M18*1000</f>
        <v>261066.66666666672</v>
      </c>
      <c r="M46" s="301">
        <v>186000</v>
      </c>
      <c r="N46" s="303">
        <f>1000*'figuring out UI'!O18</f>
        <v>36699.999999999985</v>
      </c>
      <c r="O46" s="343">
        <f>1000*'figuring out UI'!P18</f>
        <v>60000</v>
      </c>
      <c r="P46" s="87">
        <f>1000*'figuring out UI'!Q18</f>
        <v>44000</v>
      </c>
      <c r="Q46" s="87">
        <f>1000*'figuring out UI'!R18</f>
        <v>44000</v>
      </c>
      <c r="R46" s="87">
        <f>1000*'figuring out UI'!S18</f>
        <v>44000</v>
      </c>
      <c r="S46" s="87">
        <f>1000*'figuring out UI'!T18</f>
        <v>44000</v>
      </c>
      <c r="T46" s="87">
        <f>1000*'figuring out UI'!U18</f>
        <v>44000</v>
      </c>
      <c r="U46" s="87">
        <f>1000*'figuring out UI'!V18</f>
        <v>44000</v>
      </c>
      <c r="V46" s="87">
        <f>1000*'figuring out UI'!W18</f>
        <v>44000</v>
      </c>
      <c r="W46" s="44"/>
      <c r="X46" s="3"/>
      <c r="Y46" s="3"/>
      <c r="Z46" s="3"/>
      <c r="AA46" s="3"/>
      <c r="AB46" s="3"/>
      <c r="AC46" s="3"/>
      <c r="AD46" s="45">
        <f>AVERAGE(J46:M46)/1000</f>
        <v>111.76666666666668</v>
      </c>
      <c r="AE46" s="45">
        <f>AVERAGE(N46:Q46)/1000</f>
        <v>46.174999999999997</v>
      </c>
      <c r="AF46" s="45">
        <f t="shared" si="28"/>
        <v>44</v>
      </c>
      <c r="AG46" s="3"/>
      <c r="AI46" s="3"/>
      <c r="AJ46" s="3"/>
      <c r="AK46" s="3"/>
      <c r="AL46" s="3"/>
      <c r="AM46" s="182"/>
    </row>
    <row r="47" spans="1:39" s="107" customFormat="1" ht="32" x14ac:dyDescent="0.2">
      <c r="A47" s="325" t="s">
        <v>146</v>
      </c>
      <c r="F47" s="326"/>
      <c r="G47" s="326"/>
      <c r="H47" s="326"/>
      <c r="I47" s="326"/>
      <c r="J47" s="326">
        <v>0</v>
      </c>
      <c r="K47" s="326">
        <v>0</v>
      </c>
      <c r="L47" s="326">
        <f>SUM(L48:L49)</f>
        <v>179900</v>
      </c>
      <c r="M47" s="327">
        <v>85400</v>
      </c>
      <c r="N47" s="328">
        <f>SUM(N48:N49)</f>
        <v>0</v>
      </c>
      <c r="O47" s="329">
        <f>SUM(O48:O49)</f>
        <v>53800</v>
      </c>
      <c r="P47" s="329">
        <f>SUM(P48:P49)</f>
        <v>43000</v>
      </c>
      <c r="Q47" s="329">
        <f>SUM(Q48:Q49)</f>
        <v>43000</v>
      </c>
      <c r="R47" s="329">
        <f>SUM(R48:R49)</f>
        <v>15000</v>
      </c>
      <c r="S47" s="329"/>
      <c r="T47" s="329"/>
      <c r="U47" s="329"/>
      <c r="V47" s="330"/>
      <c r="W47" s="330"/>
      <c r="X47" s="330"/>
      <c r="Y47" s="330"/>
      <c r="Z47" s="330"/>
      <c r="AA47" s="330"/>
      <c r="AB47" s="330"/>
      <c r="AC47" s="330"/>
      <c r="AD47" s="331">
        <f>AVERAGE(J47:M47)/1000</f>
        <v>66.325000000000003</v>
      </c>
      <c r="AE47" s="331">
        <f>AVERAGE(N47:Q47)/1000</f>
        <v>34.950000000000003</v>
      </c>
      <c r="AF47" s="331">
        <f t="shared" ref="AF47" si="31">AVERAGE(R47:U47)/1000</f>
        <v>15</v>
      </c>
      <c r="AG47" s="330"/>
      <c r="AI47" s="330">
        <f>'figuring out social benefits'!G48</f>
        <v>105</v>
      </c>
      <c r="AJ47" s="330"/>
      <c r="AK47" s="330"/>
      <c r="AL47" s="330"/>
      <c r="AM47" s="332"/>
    </row>
    <row r="48" spans="1:39" s="107" customFormat="1" ht="16" x14ac:dyDescent="0.2">
      <c r="A48" s="333" t="s">
        <v>202</v>
      </c>
      <c r="B48" s="107" t="s">
        <v>274</v>
      </c>
      <c r="C48" s="107" t="s">
        <v>296</v>
      </c>
      <c r="F48" s="326"/>
      <c r="G48" s="326"/>
      <c r="H48" s="326"/>
      <c r="I48" s="326"/>
      <c r="J48" s="326"/>
      <c r="K48" s="326"/>
      <c r="L48" s="326">
        <v>19000</v>
      </c>
      <c r="M48" s="327">
        <v>27000</v>
      </c>
      <c r="N48" s="328" t="str">
        <f>VLOOKUP($C$48,'Haver NA'!$A$1:$J$34,10,0)</f>
        <v>10800</v>
      </c>
      <c r="O48" s="329">
        <v>10800</v>
      </c>
      <c r="P48" s="329">
        <v>0</v>
      </c>
      <c r="Q48" s="329">
        <v>0</v>
      </c>
      <c r="R48" s="329">
        <v>0</v>
      </c>
      <c r="S48" s="329"/>
      <c r="T48" s="329"/>
      <c r="U48" s="329"/>
      <c r="V48" s="329"/>
      <c r="W48" s="329"/>
      <c r="X48" s="329"/>
      <c r="Y48" s="329"/>
      <c r="Z48" s="329"/>
      <c r="AA48" s="329"/>
      <c r="AB48" s="329"/>
      <c r="AC48" s="329"/>
      <c r="AD48" s="329"/>
      <c r="AE48" s="329"/>
      <c r="AF48" s="329"/>
      <c r="AG48" s="329"/>
      <c r="AI48" s="330"/>
      <c r="AJ48" s="330"/>
      <c r="AK48" s="330"/>
      <c r="AL48" s="330"/>
      <c r="AM48" s="332"/>
    </row>
    <row r="49" spans="1:41" s="107" customFormat="1" ht="16" x14ac:dyDescent="0.2">
      <c r="A49" s="333" t="s">
        <v>371</v>
      </c>
      <c r="B49" s="107" t="s">
        <v>274</v>
      </c>
      <c r="C49" s="107" t="s">
        <v>297</v>
      </c>
      <c r="F49" s="326"/>
      <c r="G49" s="326"/>
      <c r="H49" s="326"/>
      <c r="I49" s="326"/>
      <c r="J49" s="326"/>
      <c r="K49" s="326"/>
      <c r="L49" s="326">
        <v>160900</v>
      </c>
      <c r="M49" s="327">
        <v>58400</v>
      </c>
      <c r="N49" s="328" t="str">
        <f>VLOOKUP($C$49,'Haver NA'!$A$1:$J$34,10,0)</f>
        <v xml:space="preserve"> 34500</v>
      </c>
      <c r="O49" s="329">
        <v>43000</v>
      </c>
      <c r="P49" s="329">
        <v>43000</v>
      </c>
      <c r="Q49" s="329">
        <v>43000</v>
      </c>
      <c r="R49" s="329">
        <v>15000</v>
      </c>
      <c r="S49" s="329"/>
      <c r="T49" s="329"/>
      <c r="U49" s="329"/>
      <c r="V49" s="329"/>
      <c r="W49" s="329"/>
      <c r="X49" s="329"/>
      <c r="Y49" s="329"/>
      <c r="Z49" s="329"/>
      <c r="AA49" s="329"/>
      <c r="AB49" s="329"/>
      <c r="AC49" s="329"/>
      <c r="AD49" s="329"/>
      <c r="AE49" s="329"/>
      <c r="AF49" s="329"/>
      <c r="AG49" s="329"/>
      <c r="AI49" s="330"/>
      <c r="AJ49" s="330"/>
      <c r="AK49" s="330"/>
      <c r="AL49" s="330"/>
      <c r="AM49" s="332"/>
    </row>
    <row r="50" spans="1:41" ht="32" x14ac:dyDescent="0.2">
      <c r="A50" s="86" t="s">
        <v>148</v>
      </c>
      <c r="F50" s="197">
        <f>F34-F36-F40-F35</f>
        <v>1440187</v>
      </c>
      <c r="G50" s="197">
        <f>G34-G36-G40-G35</f>
        <v>1503410</v>
      </c>
      <c r="H50" s="201">
        <f>H34-H36-H40-H35</f>
        <v>1508652</v>
      </c>
      <c r="I50" s="197">
        <f>I34-I36-I40-I35</f>
        <v>1513957</v>
      </c>
      <c r="J50" s="201">
        <f>J34-J36-J40-J35-J47</f>
        <v>1521941</v>
      </c>
      <c r="K50" s="201">
        <f>K34-K36-K40-K35-K47</f>
        <v>1574462</v>
      </c>
      <c r="L50" s="201">
        <f>L34-L36-L41-L35-L47</f>
        <v>1648724</v>
      </c>
      <c r="M50" s="303">
        <v>1669801</v>
      </c>
      <c r="N50" s="306">
        <f>N34-N36-N40-N35-N47-N37</f>
        <v>1720302</v>
      </c>
      <c r="O50" s="298">
        <f>N50*(1+O52)</f>
        <v>1707399.7350000001</v>
      </c>
      <c r="P50" s="88">
        <f t="shared" ref="P50:Q50" si="32">O50*(1+P52)</f>
        <v>1694594.2369875002</v>
      </c>
      <c r="Q50" s="88">
        <f t="shared" si="32"/>
        <v>1681884.7802100941</v>
      </c>
      <c r="R50" s="88">
        <f>Q50*(1+R52)</f>
        <v>1707113.0519132453</v>
      </c>
      <c r="S50" s="88">
        <f t="shared" ref="S50:U50" si="33">R50*(1+S52)</f>
        <v>1732719.7476919438</v>
      </c>
      <c r="T50" s="88">
        <f t="shared" si="33"/>
        <v>1758710.5439073227</v>
      </c>
      <c r="U50" s="88">
        <f t="shared" si="33"/>
        <v>1785091.2020659323</v>
      </c>
      <c r="V50" s="88">
        <f>U50*(1+V52)</f>
        <v>1802942.1140865916</v>
      </c>
      <c r="W50" s="44"/>
      <c r="X50" s="3"/>
      <c r="Y50" s="3"/>
      <c r="Z50" s="3"/>
      <c r="AA50" s="3"/>
      <c r="AB50" s="3"/>
      <c r="AC50" s="3">
        <f>AD34-AD36-AD40-AD35-AD47</f>
        <v>-1666.23125</v>
      </c>
      <c r="AD50" s="45">
        <f>AVERAGE(J50:M50)/1000</f>
        <v>1603.732</v>
      </c>
      <c r="AE50" s="45">
        <f>AVERAGE(N50:Q50)/1000</f>
        <v>1701.0451880493988</v>
      </c>
      <c r="AF50" s="45">
        <f t="shared" si="28"/>
        <v>1745.908636394611</v>
      </c>
      <c r="AG50" s="3"/>
      <c r="AI50" s="3">
        <f>AI34-AI36-AI40-AI35-AI47</f>
        <v>1571.7041322167745</v>
      </c>
      <c r="AJ50" s="3">
        <f>AJ34-AJ36-AJ40-AJ35</f>
        <v>1644.9470557811208</v>
      </c>
      <c r="AK50" s="3">
        <f>AK34-AK36-AK40-AK35</f>
        <v>1684.8968956203648</v>
      </c>
      <c r="AL50" s="3"/>
      <c r="AM50" s="182"/>
      <c r="AN50">
        <f>AJ50/AI50*AD50</f>
        <v>1678.467452993958</v>
      </c>
      <c r="AO50">
        <f>AK50/AI50*AD50</f>
        <v>1719.2313825604638</v>
      </c>
    </row>
    <row r="51" spans="1:41" s="170" customFormat="1" ht="12" x14ac:dyDescent="0.15">
      <c r="A51" s="169" t="s">
        <v>210</v>
      </c>
      <c r="C51" s="269"/>
      <c r="D51" s="269"/>
      <c r="F51" s="225"/>
      <c r="G51" s="227">
        <f>G50/F50-1</f>
        <v>4.3899160317375507E-2</v>
      </c>
      <c r="H51" s="227">
        <f t="shared" ref="H51:L51" si="34">H50/G50-1</f>
        <v>3.4867401440725754E-3</v>
      </c>
      <c r="I51" s="227">
        <f t="shared" si="34"/>
        <v>3.5163841628156334E-3</v>
      </c>
      <c r="J51" s="227">
        <f t="shared" si="34"/>
        <v>5.2735975988749129E-3</v>
      </c>
      <c r="K51" s="227">
        <f t="shared" si="34"/>
        <v>3.4509222105193249E-2</v>
      </c>
      <c r="L51" s="227">
        <f t="shared" si="34"/>
        <v>4.7166587697893059E-2</v>
      </c>
      <c r="M51" s="227">
        <v>1.2783825552366457E-2</v>
      </c>
      <c r="N51" s="227">
        <f t="shared" ref="N51" si="35">N50/M50-1</f>
        <v>3.0243723653297527E-2</v>
      </c>
      <c r="O51" s="344"/>
      <c r="P51" s="226"/>
      <c r="Q51" s="226"/>
      <c r="R51" s="226"/>
      <c r="S51" s="226"/>
      <c r="T51" s="226"/>
      <c r="U51" s="226"/>
      <c r="V51" s="226"/>
      <c r="W51" s="172"/>
      <c r="X51" s="174"/>
      <c r="Y51" s="174"/>
      <c r="Z51" s="174"/>
      <c r="AA51" s="174"/>
      <c r="AB51" s="174"/>
      <c r="AC51" s="174"/>
      <c r="AD51" s="173"/>
      <c r="AE51" s="173"/>
      <c r="AF51" s="173"/>
      <c r="AG51" s="174"/>
      <c r="AI51" s="174"/>
      <c r="AJ51" s="174"/>
      <c r="AK51" s="174"/>
      <c r="AL51" s="174"/>
      <c r="AM51" s="183"/>
    </row>
    <row r="52" spans="1:41" s="185" customFormat="1" x14ac:dyDescent="0.2">
      <c r="A52" s="169" t="s">
        <v>263</v>
      </c>
      <c r="F52" s="207"/>
      <c r="G52" s="207"/>
      <c r="H52" s="207"/>
      <c r="I52" s="207"/>
      <c r="J52" s="200"/>
      <c r="K52" s="200"/>
      <c r="L52" s="200"/>
      <c r="M52" s="301"/>
      <c r="N52" s="302"/>
      <c r="O52" s="323">
        <v>-7.4999999999999997E-3</v>
      </c>
      <c r="P52" s="175">
        <v>-7.4999999999999997E-3</v>
      </c>
      <c r="Q52" s="175">
        <v>-7.4999999999999997E-3</v>
      </c>
      <c r="R52" s="175">
        <v>1.4999999999999999E-2</v>
      </c>
      <c r="S52" s="175">
        <v>1.4999999999999999E-2</v>
      </c>
      <c r="T52" s="175">
        <v>1.4999999999999999E-2</v>
      </c>
      <c r="U52" s="175">
        <v>1.4999999999999999E-2</v>
      </c>
      <c r="V52" s="175">
        <v>0.01</v>
      </c>
      <c r="W52" s="175"/>
      <c r="AD52" s="187">
        <f>AD35+AD36+AD40+AD47</f>
        <v>1666.23125</v>
      </c>
      <c r="AI52" s="187">
        <f>AI35+AI36+AI40+AI47</f>
        <v>1749.068</v>
      </c>
      <c r="AM52" s="234"/>
      <c r="AN52" s="224">
        <v>-7.4999999999999997E-3</v>
      </c>
      <c r="AO52" s="224">
        <v>1.4999999999999999E-2</v>
      </c>
    </row>
    <row r="53" spans="1:41" s="35" customFormat="1" ht="14" customHeight="1" x14ac:dyDescent="0.2">
      <c r="A53"/>
      <c r="B53"/>
      <c r="E53"/>
      <c r="F53" s="197"/>
      <c r="G53" s="197"/>
      <c r="H53" s="197"/>
      <c r="I53" s="197"/>
      <c r="J53" s="197"/>
      <c r="K53" s="197"/>
      <c r="L53" s="197"/>
      <c r="M53" s="301"/>
      <c r="N53" s="307"/>
      <c r="O53" s="345"/>
      <c r="P53" s="3"/>
      <c r="Q53" s="3"/>
      <c r="R53" s="3"/>
      <c r="S53" s="3"/>
      <c r="T53" s="3"/>
      <c r="U53" s="3"/>
      <c r="V53" s="3"/>
      <c r="W53" s="44"/>
      <c r="X53" s="44"/>
      <c r="Y53" s="44"/>
      <c r="Z53" s="44"/>
      <c r="AA53" s="44"/>
      <c r="AB53" s="44"/>
      <c r="AC53" s="44"/>
      <c r="AD53" s="45"/>
      <c r="AE53" s="45"/>
      <c r="AF53" s="45"/>
      <c r="AG53" s="44"/>
      <c r="AI53" s="44"/>
      <c r="AJ53" s="44"/>
      <c r="AK53" s="44"/>
      <c r="AL53" s="44"/>
      <c r="AM53" s="235"/>
    </row>
    <row r="54" spans="1:41" s="35" customFormat="1" x14ac:dyDescent="0.2">
      <c r="A54" s="141" t="s">
        <v>4</v>
      </c>
      <c r="B54" s="141" t="s">
        <v>274</v>
      </c>
      <c r="C54" t="s">
        <v>298</v>
      </c>
      <c r="D54"/>
      <c r="E54" s="141"/>
      <c r="F54" s="197">
        <v>79458</v>
      </c>
      <c r="G54" s="197">
        <v>71318</v>
      </c>
      <c r="H54" s="197">
        <v>61083</v>
      </c>
      <c r="I54" s="202">
        <v>81998</v>
      </c>
      <c r="J54" s="202">
        <v>81147</v>
      </c>
      <c r="K54" s="202">
        <v>75093</v>
      </c>
      <c r="L54" s="202">
        <v>1086548</v>
      </c>
      <c r="M54" s="303">
        <v>1213480</v>
      </c>
      <c r="N54" s="308" t="str">
        <f>VLOOKUP($C$54,'Haver NA'!$A$1:$J$34,10,0)</f>
        <v xml:space="preserve"> 610407</v>
      </c>
      <c r="O54" s="308" t="str">
        <f>VLOOKUP($C$54,'Haver NA'!$A$1:$K$34,11,0)</f>
        <v xml:space="preserve"> 405269</v>
      </c>
      <c r="P54" s="144">
        <f t="shared" ref="P54:Z54" si="36">P55+AVERAGE($H$54:$K$54)</f>
        <v>847383.58333333337</v>
      </c>
      <c r="Q54" s="144">
        <f t="shared" si="36"/>
        <v>107416.91666666667</v>
      </c>
      <c r="R54" s="144">
        <f t="shared" si="36"/>
        <v>102750.25</v>
      </c>
      <c r="S54" s="144">
        <f t="shared" si="36"/>
        <v>77330.25</v>
      </c>
      <c r="T54" s="144">
        <f t="shared" si="36"/>
        <v>77330.25</v>
      </c>
      <c r="U54" s="144">
        <f t="shared" si="36"/>
        <v>77330.25</v>
      </c>
      <c r="V54" s="144">
        <f t="shared" si="36"/>
        <v>77330.25</v>
      </c>
      <c r="W54" s="144">
        <f t="shared" si="36"/>
        <v>74830.25</v>
      </c>
      <c r="X54" s="144">
        <f t="shared" si="36"/>
        <v>74830.25</v>
      </c>
      <c r="Y54" s="144">
        <f t="shared" si="36"/>
        <v>74830.25</v>
      </c>
      <c r="Z54" s="144">
        <f t="shared" si="36"/>
        <v>74830.25</v>
      </c>
      <c r="AA54" s="44"/>
      <c r="AB54" s="44"/>
      <c r="AC54" s="44">
        <f>AVERAGE(F54:I54)/1000</f>
        <v>73.464250000000007</v>
      </c>
      <c r="AD54" s="44"/>
      <c r="AE54" s="44"/>
      <c r="AF54" s="44"/>
      <c r="AM54" s="233"/>
    </row>
    <row r="55" spans="1:41" s="35" customFormat="1" ht="16" x14ac:dyDescent="0.2">
      <c r="A55" s="134" t="s">
        <v>198</v>
      </c>
      <c r="F55" s="197"/>
      <c r="G55" s="197"/>
      <c r="H55" s="197"/>
      <c r="I55" s="202"/>
      <c r="J55" s="202"/>
      <c r="K55" s="202"/>
      <c r="L55" s="202"/>
      <c r="M55" s="299">
        <v>1093900</v>
      </c>
      <c r="N55" s="308">
        <f t="shared" ref="N55" si="37">N57+N58+N63</f>
        <v>260300</v>
      </c>
      <c r="O55" s="299">
        <f>O57+O58+SUM(O63:O66)</f>
        <v>963020</v>
      </c>
      <c r="P55" s="116">
        <f t="shared" ref="P55:V55" si="38">P57+P58+SUM(P63:P66)</f>
        <v>772553.33333333337</v>
      </c>
      <c r="Q55" s="116">
        <f t="shared" si="38"/>
        <v>32586.666666666672</v>
      </c>
      <c r="R55" s="116">
        <f t="shared" si="38"/>
        <v>27920</v>
      </c>
      <c r="S55" s="116">
        <f t="shared" si="38"/>
        <v>2500</v>
      </c>
      <c r="T55" s="116">
        <f t="shared" si="38"/>
        <v>2500</v>
      </c>
      <c r="U55" s="116">
        <f t="shared" si="38"/>
        <v>2500</v>
      </c>
      <c r="V55" s="116">
        <f t="shared" si="38"/>
        <v>2500</v>
      </c>
      <c r="W55" s="44"/>
      <c r="X55" s="44"/>
      <c r="Y55" s="44"/>
      <c r="Z55" s="44"/>
      <c r="AA55" s="44"/>
      <c r="AB55" s="44"/>
      <c r="AC55" s="44"/>
      <c r="AD55" s="44"/>
      <c r="AE55" s="44"/>
      <c r="AF55" s="44"/>
      <c r="AG55" s="44"/>
      <c r="AM55" s="233"/>
    </row>
    <row r="56" spans="1:41" s="35" customFormat="1" ht="16" x14ac:dyDescent="0.2">
      <c r="A56" s="219" t="s">
        <v>327</v>
      </c>
      <c r="F56" s="197"/>
      <c r="G56" s="197"/>
      <c r="H56" s="197"/>
      <c r="I56" s="202"/>
      <c r="J56" s="202"/>
      <c r="K56" s="202"/>
      <c r="L56" s="202"/>
      <c r="M56" s="303"/>
      <c r="N56" s="308"/>
      <c r="O56" s="299"/>
      <c r="P56" s="116"/>
      <c r="Q56" s="116"/>
      <c r="R56" s="116"/>
      <c r="S56" s="116"/>
      <c r="T56" s="116"/>
      <c r="U56" s="116"/>
      <c r="V56" s="116"/>
      <c r="W56" s="44"/>
      <c r="X56" s="44"/>
      <c r="Y56" s="44"/>
      <c r="Z56" s="44"/>
      <c r="AA56" s="44"/>
      <c r="AB56" s="44"/>
      <c r="AC56" s="44"/>
      <c r="AD56" s="44"/>
      <c r="AE56" s="44"/>
      <c r="AF56" s="44"/>
      <c r="AG56" s="44"/>
      <c r="AM56" s="233"/>
    </row>
    <row r="57" spans="1:41" s="35" customFormat="1" ht="16" x14ac:dyDescent="0.2">
      <c r="A57" s="271" t="s">
        <v>325</v>
      </c>
      <c r="C57" t="s">
        <v>299</v>
      </c>
      <c r="D57"/>
      <c r="F57" s="197"/>
      <c r="G57" s="197"/>
      <c r="H57" s="197"/>
      <c r="I57" s="202"/>
      <c r="J57" s="202"/>
      <c r="K57" s="202"/>
      <c r="L57" s="202">
        <v>609300</v>
      </c>
      <c r="M57" s="301">
        <v>865600</v>
      </c>
      <c r="N57" s="308" t="str">
        <f>VLOOKUP($C$57,'Haver NA'!$A$1:$J$34,10,0)</f>
        <v>260300</v>
      </c>
      <c r="O57" s="308" t="str">
        <f>VLOOKUP($C$57,'Haver NA'!$A$1:$K$34,11,0)</f>
        <v>184600</v>
      </c>
      <c r="P57" s="116">
        <f>'[1]Revised Add Factors'!F$13*1000</f>
        <v>0</v>
      </c>
      <c r="Q57" s="116">
        <f>'[1]Revised Add Factors'!G$13*1000</f>
        <v>0</v>
      </c>
      <c r="R57" s="116">
        <f>'[1]Revised Add Factors'!H$13*1000</f>
        <v>0</v>
      </c>
      <c r="S57" s="116"/>
      <c r="T57" s="116">
        <f>'[1]Revised Add Factors'!J$13*1000</f>
        <v>0</v>
      </c>
      <c r="U57" s="116">
        <f>'[1]Revised Add Factors'!K$13*1000</f>
        <v>0</v>
      </c>
      <c r="V57" s="116">
        <f>'[1]Revised Add Factors'!L$13*1000</f>
        <v>0</v>
      </c>
      <c r="W57" s="44"/>
      <c r="X57" s="44"/>
      <c r="Y57" s="44"/>
      <c r="Z57" s="44"/>
      <c r="AA57" s="44"/>
      <c r="AB57" s="44"/>
      <c r="AC57" s="44"/>
      <c r="AD57" s="44"/>
      <c r="AE57" s="44"/>
      <c r="AF57" s="44"/>
      <c r="AG57" s="44"/>
      <c r="AM57" s="233"/>
    </row>
    <row r="58" spans="1:41" s="35" customFormat="1" ht="27.5" customHeight="1" x14ac:dyDescent="0.2">
      <c r="A58" s="113" t="s">
        <v>266</v>
      </c>
      <c r="C58" t="s">
        <v>324</v>
      </c>
      <c r="D58"/>
      <c r="F58" s="197"/>
      <c r="G58" s="197"/>
      <c r="H58" s="197"/>
      <c r="I58" s="202"/>
      <c r="J58" s="202"/>
      <c r="K58" s="202"/>
      <c r="L58" s="202">
        <f>SUM(L59:L61)</f>
        <v>277100</v>
      </c>
      <c r="M58" s="301">
        <v>228300</v>
      </c>
      <c r="N58" s="308">
        <f>SUM(N59:N61)</f>
        <v>0</v>
      </c>
      <c r="O58" s="299">
        <v>25420</v>
      </c>
      <c r="P58" s="116">
        <v>25420</v>
      </c>
      <c r="Q58" s="116">
        <v>25420</v>
      </c>
      <c r="R58" s="116">
        <v>25420</v>
      </c>
      <c r="S58" s="116"/>
      <c r="T58" s="116">
        <f>'[1]Revised Add Factors'!J$14*1000</f>
        <v>0</v>
      </c>
      <c r="U58" s="116">
        <f>'[1]Revised Add Factors'!K$14*1000</f>
        <v>0</v>
      </c>
      <c r="V58" s="116">
        <f>'[1]Revised Add Factors'!L$14*1000</f>
        <v>0</v>
      </c>
      <c r="W58" s="44"/>
      <c r="X58" s="44"/>
      <c r="Y58" s="44"/>
      <c r="Z58" s="44"/>
      <c r="AA58" s="44"/>
      <c r="AB58" s="44"/>
      <c r="AC58" s="44"/>
      <c r="AD58" s="44"/>
      <c r="AE58" s="44"/>
      <c r="AF58" s="44"/>
      <c r="AG58" s="44"/>
      <c r="AM58" s="233"/>
    </row>
    <row r="59" spans="1:41" s="185" customFormat="1" x14ac:dyDescent="0.2">
      <c r="A59" s="272" t="s">
        <v>275</v>
      </c>
      <c r="B59" s="185" t="s">
        <v>274</v>
      </c>
      <c r="C59" t="s">
        <v>300</v>
      </c>
      <c r="D59"/>
      <c r="F59" s="207"/>
      <c r="G59" s="207"/>
      <c r="H59" s="207"/>
      <c r="I59" s="253"/>
      <c r="J59" s="253"/>
      <c r="K59" s="253"/>
      <c r="L59" s="253">
        <v>63800</v>
      </c>
      <c r="M59" s="304">
        <v>15000</v>
      </c>
      <c r="N59" s="309" t="str">
        <f>VLOOKUP($C$59,'Haver NA'!$A$1:$J$34,10,0)</f>
        <v xml:space="preserve">  100</v>
      </c>
      <c r="O59" s="309" t="str">
        <f>VLOOKUP($C$59,'Haver NA'!$A$1:$K$34,11,0)</f>
        <v>38000</v>
      </c>
      <c r="P59" s="254"/>
      <c r="Q59" s="254"/>
      <c r="R59" s="254"/>
      <c r="S59" s="254"/>
      <c r="T59" s="254"/>
      <c r="U59" s="254"/>
      <c r="V59" s="254"/>
      <c r="W59" s="187"/>
      <c r="X59" s="187"/>
      <c r="Y59" s="187"/>
      <c r="Z59" s="187"/>
      <c r="AA59" s="187"/>
      <c r="AB59" s="187"/>
      <c r="AC59" s="187"/>
      <c r="AD59" s="187"/>
      <c r="AE59" s="187"/>
      <c r="AF59" s="187"/>
      <c r="AG59" s="187"/>
      <c r="AM59" s="234"/>
    </row>
    <row r="60" spans="1:41" s="185" customFormat="1" x14ac:dyDescent="0.2">
      <c r="A60" s="272" t="s">
        <v>276</v>
      </c>
      <c r="B60" s="185" t="s">
        <v>274</v>
      </c>
      <c r="C60" t="s">
        <v>301</v>
      </c>
      <c r="D60"/>
      <c r="F60" s="207"/>
      <c r="G60" s="207"/>
      <c r="H60" s="207"/>
      <c r="I60" s="253"/>
      <c r="J60" s="253"/>
      <c r="K60" s="253"/>
      <c r="L60" s="253">
        <v>73300</v>
      </c>
      <c r="M60" s="304">
        <v>73300</v>
      </c>
      <c r="N60" s="309" t="str">
        <f>VLOOKUP($C$60,'Haver NA'!$A$1:$J$34,10,0)</f>
        <v>73300</v>
      </c>
      <c r="O60" s="309" t="str">
        <f>VLOOKUP($C$60,'Haver NA'!$A$1:$K$34,11,0)</f>
        <v>73300</v>
      </c>
      <c r="P60" s="254"/>
      <c r="Q60" s="254"/>
      <c r="R60" s="254"/>
      <c r="S60" s="254"/>
      <c r="T60" s="254"/>
      <c r="U60" s="254"/>
      <c r="V60" s="254"/>
      <c r="W60" s="187"/>
      <c r="X60" s="187"/>
      <c r="Y60" s="187"/>
      <c r="Z60" s="187"/>
      <c r="AA60" s="187"/>
      <c r="AB60" s="187"/>
      <c r="AC60" s="187"/>
      <c r="AD60" s="187"/>
      <c r="AE60" s="187"/>
      <c r="AF60" s="187"/>
      <c r="AG60" s="187"/>
      <c r="AM60" s="234"/>
    </row>
    <row r="61" spans="1:41" s="185" customFormat="1" x14ac:dyDescent="0.2">
      <c r="A61" s="272" t="s">
        <v>277</v>
      </c>
      <c r="B61" s="185" t="s">
        <v>274</v>
      </c>
      <c r="C61" t="s">
        <v>302</v>
      </c>
      <c r="D61"/>
      <c r="F61" s="207"/>
      <c r="G61" s="207"/>
      <c r="H61" s="207"/>
      <c r="I61" s="253"/>
      <c r="J61" s="253"/>
      <c r="K61" s="253"/>
      <c r="L61" s="253">
        <v>140000</v>
      </c>
      <c r="M61" s="304">
        <v>140000</v>
      </c>
      <c r="N61" s="309" t="str">
        <f>VLOOKUP($C$61,'Haver NA'!$A$1:$J$34,10,0)</f>
        <v>140000</v>
      </c>
      <c r="O61" s="309" t="str">
        <f>VLOOKUP($C$61,'Haver NA'!$A$1:$K$34,11,0)</f>
        <v xml:space="preserve">  8000</v>
      </c>
      <c r="P61" s="254"/>
      <c r="Q61" s="254"/>
      <c r="R61" s="254"/>
      <c r="S61" s="254"/>
      <c r="T61" s="254"/>
      <c r="U61" s="254"/>
      <c r="V61" s="254"/>
      <c r="W61" s="187"/>
      <c r="X61" s="187"/>
      <c r="Y61" s="187"/>
      <c r="Z61" s="187"/>
      <c r="AA61" s="187"/>
      <c r="AB61" s="187"/>
      <c r="AC61" s="187"/>
      <c r="AD61" s="187"/>
      <c r="AE61" s="187"/>
      <c r="AF61" s="187"/>
      <c r="AG61" s="187"/>
      <c r="AM61" s="234"/>
    </row>
    <row r="62" spans="1:41" s="185" customFormat="1" ht="16" x14ac:dyDescent="0.2">
      <c r="A62" s="219" t="s">
        <v>328</v>
      </c>
      <c r="C62"/>
      <c r="D62"/>
      <c r="F62" s="207"/>
      <c r="G62" s="207"/>
      <c r="H62" s="207"/>
      <c r="I62" s="253"/>
      <c r="J62" s="253"/>
      <c r="K62" s="253"/>
      <c r="L62" s="253"/>
      <c r="M62" s="301"/>
      <c r="N62" s="309"/>
      <c r="O62" s="346"/>
      <c r="P62" s="254"/>
      <c r="Q62" s="254"/>
      <c r="R62" s="254"/>
      <c r="S62" s="254"/>
      <c r="T62" s="254"/>
      <c r="U62" s="254"/>
      <c r="V62" s="254"/>
      <c r="W62" s="187"/>
      <c r="X62" s="187"/>
      <c r="Y62" s="187"/>
      <c r="Z62" s="187"/>
      <c r="AA62" s="187"/>
      <c r="AB62" s="187"/>
      <c r="AC62" s="187"/>
      <c r="AD62" s="187"/>
      <c r="AE62" s="187"/>
      <c r="AF62" s="187"/>
      <c r="AG62" s="187"/>
      <c r="AM62" s="234"/>
    </row>
    <row r="63" spans="1:41" s="274" customFormat="1" ht="16" x14ac:dyDescent="0.2">
      <c r="A63" s="273" t="s">
        <v>326</v>
      </c>
      <c r="F63" s="197"/>
      <c r="G63" s="197"/>
      <c r="H63" s="197"/>
      <c r="I63" s="202"/>
      <c r="J63" s="202"/>
      <c r="K63" s="202"/>
      <c r="L63" s="202"/>
      <c r="M63" s="301"/>
      <c r="N63" s="308"/>
      <c r="O63" s="299">
        <f>'Stimulus Round 2'!$C$2*4/2 -O48</f>
        <v>639200</v>
      </c>
      <c r="P63" s="279">
        <f>'Stimulus Round 2'!$C$2*4/2</f>
        <v>650000</v>
      </c>
      <c r="Q63" s="279"/>
      <c r="R63" s="279"/>
      <c r="S63" s="279"/>
      <c r="T63" s="279"/>
      <c r="U63" s="279"/>
      <c r="V63" s="279"/>
      <c r="W63" s="276"/>
      <c r="X63" s="276"/>
      <c r="Y63" s="276"/>
      <c r="Z63" s="276"/>
      <c r="AA63" s="276"/>
      <c r="AB63" s="276"/>
      <c r="AC63" s="276"/>
      <c r="AD63" s="276"/>
      <c r="AE63" s="276"/>
      <c r="AF63" s="276"/>
      <c r="AG63" s="276"/>
      <c r="AM63" s="280"/>
    </row>
    <row r="64" spans="1:41" s="274" customFormat="1" ht="16" x14ac:dyDescent="0.2">
      <c r="A64" s="273" t="s">
        <v>387</v>
      </c>
      <c r="F64" s="197"/>
      <c r="G64" s="197"/>
      <c r="H64" s="197"/>
      <c r="I64" s="202"/>
      <c r="J64" s="202"/>
      <c r="K64" s="202"/>
      <c r="L64" s="202"/>
      <c r="M64" s="301"/>
      <c r="N64" s="308"/>
      <c r="O64" s="299">
        <v>38000</v>
      </c>
      <c r="P64" s="279">
        <f>'Stimulus Round 2'!$C$12*4/3</f>
        <v>21333.333333333332</v>
      </c>
      <c r="Q64" s="279">
        <f>('Stimulus Round 2'!$C$12*4-SUM(O64:P64))</f>
        <v>4666.6666666666715</v>
      </c>
      <c r="R64" s="279"/>
      <c r="S64" s="279"/>
      <c r="T64" s="279"/>
      <c r="U64" s="279"/>
      <c r="V64" s="279"/>
      <c r="W64" s="276"/>
      <c r="X64" s="276"/>
      <c r="Y64" s="276"/>
      <c r="Z64" s="276"/>
      <c r="AA64" s="276"/>
      <c r="AB64" s="276"/>
      <c r="AC64" s="276"/>
      <c r="AD64" s="276"/>
      <c r="AE64" s="276"/>
      <c r="AF64" s="276"/>
      <c r="AG64" s="276"/>
      <c r="AM64" s="280"/>
    </row>
    <row r="65" spans="1:39" s="274" customFormat="1" ht="16" x14ac:dyDescent="0.2">
      <c r="A65" s="273" t="s">
        <v>276</v>
      </c>
      <c r="F65" s="197"/>
      <c r="G65" s="197"/>
      <c r="H65" s="197"/>
      <c r="I65" s="202"/>
      <c r="J65" s="202"/>
      <c r="K65" s="202"/>
      <c r="L65" s="202"/>
      <c r="M65" s="301"/>
      <c r="N65" s="308"/>
      <c r="O65" s="299">
        <v>73300</v>
      </c>
      <c r="P65" s="279">
        <v>73300</v>
      </c>
      <c r="Q65" s="279"/>
      <c r="R65" s="279"/>
      <c r="S65" s="279"/>
      <c r="T65" s="279"/>
      <c r="U65" s="279"/>
      <c r="V65" s="279"/>
      <c r="W65" s="276"/>
      <c r="X65" s="276"/>
      <c r="Y65" s="276"/>
      <c r="Z65" s="276"/>
      <c r="AA65" s="276"/>
      <c r="AB65" s="276"/>
      <c r="AC65" s="276"/>
      <c r="AD65" s="276"/>
      <c r="AE65" s="276"/>
      <c r="AF65" s="276"/>
      <c r="AG65" s="276"/>
      <c r="AM65" s="280"/>
    </row>
    <row r="66" spans="1:39" s="274" customFormat="1" ht="16" x14ac:dyDescent="0.2">
      <c r="A66" s="273" t="s">
        <v>341</v>
      </c>
      <c r="F66" s="197"/>
      <c r="G66" s="197"/>
      <c r="H66" s="197"/>
      <c r="I66" s="202"/>
      <c r="J66" s="202"/>
      <c r="K66" s="202"/>
      <c r="L66" s="202"/>
      <c r="M66" s="301"/>
      <c r="N66" s="308"/>
      <c r="O66" s="299">
        <f>'Stimulus Round 2'!$C$20*4/8</f>
        <v>2500</v>
      </c>
      <c r="P66" s="279">
        <f>'Stimulus Round 2'!$C$20*4/8</f>
        <v>2500</v>
      </c>
      <c r="Q66" s="279">
        <f>'Stimulus Round 2'!$C$20*4/8</f>
        <v>2500</v>
      </c>
      <c r="R66" s="279">
        <f>'Stimulus Round 2'!$C$20*4/8</f>
        <v>2500</v>
      </c>
      <c r="S66" s="279">
        <f>'Stimulus Round 2'!$C$20*4/8</f>
        <v>2500</v>
      </c>
      <c r="T66" s="279">
        <f>'Stimulus Round 2'!$C$20*4/8</f>
        <v>2500</v>
      </c>
      <c r="U66" s="279">
        <f>'Stimulus Round 2'!$C$20*4/8</f>
        <v>2500</v>
      </c>
      <c r="V66" s="279">
        <f>'Stimulus Round 2'!$C$20*4/8</f>
        <v>2500</v>
      </c>
      <c r="W66" s="276"/>
      <c r="X66" s="276"/>
      <c r="Y66" s="276"/>
      <c r="Z66" s="276"/>
      <c r="AA66" s="276"/>
      <c r="AB66" s="276"/>
      <c r="AC66" s="276"/>
      <c r="AD66" s="276"/>
      <c r="AE66" s="276"/>
      <c r="AF66" s="276"/>
      <c r="AG66" s="276"/>
      <c r="AM66" s="280"/>
    </row>
    <row r="67" spans="1:39" s="35" customFormat="1" x14ac:dyDescent="0.2">
      <c r="A67" s="134"/>
      <c r="F67" s="197"/>
      <c r="G67" s="197"/>
      <c r="H67" s="197"/>
      <c r="I67" s="202"/>
      <c r="J67" s="202"/>
      <c r="K67" s="202"/>
      <c r="L67" s="202"/>
      <c r="M67" s="301"/>
      <c r="N67" s="308"/>
      <c r="O67" s="299"/>
      <c r="P67" s="116"/>
      <c r="Q67" s="116"/>
      <c r="R67" s="116"/>
      <c r="S67" s="44"/>
      <c r="T67" s="44"/>
      <c r="U67" s="44"/>
      <c r="V67" s="44"/>
      <c r="W67" s="44"/>
      <c r="X67" s="44"/>
      <c r="Y67" s="44"/>
      <c r="Z67" s="44"/>
      <c r="AA67" s="44"/>
      <c r="AB67" s="44"/>
      <c r="AC67" s="44"/>
      <c r="AD67" s="44"/>
      <c r="AE67" s="44"/>
      <c r="AF67" s="44"/>
      <c r="AG67" s="44"/>
      <c r="AM67" s="233"/>
    </row>
    <row r="68" spans="1:39" s="35" customFormat="1" x14ac:dyDescent="0.2">
      <c r="A68" s="35" t="s">
        <v>16</v>
      </c>
      <c r="B68" s="35" t="s">
        <v>274</v>
      </c>
      <c r="C68" t="s">
        <v>303</v>
      </c>
      <c r="D68"/>
      <c r="F68" s="197">
        <v>586475</v>
      </c>
      <c r="G68" s="197">
        <v>594213</v>
      </c>
      <c r="H68" s="197">
        <v>612547</v>
      </c>
      <c r="I68" s="202">
        <v>610331</v>
      </c>
      <c r="J68" s="202">
        <v>615406</v>
      </c>
      <c r="K68" s="202">
        <v>627805</v>
      </c>
      <c r="L68" s="202">
        <v>1396890</v>
      </c>
      <c r="M68" s="301">
        <v>728172</v>
      </c>
      <c r="N68" s="308" t="str">
        <f>VLOOKUP($C$68,'Haver NA'!$A$1:$J$34,10,0)</f>
        <v xml:space="preserve"> 738142</v>
      </c>
      <c r="O68" s="308" t="str">
        <f>VLOOKUP($C$68,'Haver NA'!$A$1:$K$34,11,0)</f>
        <v xml:space="preserve"> 785624</v>
      </c>
      <c r="P68" s="116"/>
      <c r="Q68" s="116"/>
      <c r="R68" s="116"/>
      <c r="S68" s="44"/>
      <c r="T68" s="44"/>
      <c r="U68" s="44"/>
      <c r="V68" s="44"/>
      <c r="W68" s="44"/>
      <c r="X68" s="44"/>
      <c r="Y68" s="44"/>
      <c r="Z68" s="44"/>
      <c r="AA68" s="44"/>
      <c r="AB68" s="44"/>
      <c r="AC68" s="44">
        <f>AVERAGE(F68:I68)/1000</f>
        <v>600.89149999999995</v>
      </c>
      <c r="AD68" s="44"/>
      <c r="AE68" s="44"/>
      <c r="AF68" s="44"/>
      <c r="AM68" s="233"/>
    </row>
    <row r="69" spans="1:39" s="35" customFormat="1" x14ac:dyDescent="0.2">
      <c r="C69"/>
      <c r="D69"/>
      <c r="F69" s="197"/>
      <c r="G69" s="197"/>
      <c r="H69" s="197"/>
      <c r="I69" s="202"/>
      <c r="J69" s="202"/>
      <c r="K69" s="202"/>
      <c r="L69" s="202">
        <f>L72-L75-L76-L77</f>
        <v>600300</v>
      </c>
      <c r="M69" s="301"/>
      <c r="N69" s="308"/>
      <c r="O69" s="299"/>
      <c r="P69" s="116"/>
      <c r="Q69" s="116"/>
      <c r="R69" s="116"/>
      <c r="S69" s="44"/>
      <c r="T69" s="44"/>
      <c r="U69" s="44"/>
      <c r="V69" s="44"/>
      <c r="W69" s="44"/>
      <c r="X69" s="44"/>
      <c r="Y69" s="44"/>
      <c r="Z69" s="44"/>
      <c r="AA69" s="44"/>
      <c r="AB69" s="44"/>
      <c r="AC69" s="44"/>
      <c r="AD69" s="44"/>
      <c r="AE69" s="44"/>
      <c r="AF69" s="44"/>
      <c r="AM69" s="233"/>
    </row>
    <row r="70" spans="1:39" s="35" customFormat="1" x14ac:dyDescent="0.2">
      <c r="A70" s="35" t="s">
        <v>222</v>
      </c>
      <c r="F70" s="203">
        <f t="shared" ref="F70:L70" si="39">F68-F93</f>
        <v>196851</v>
      </c>
      <c r="G70" s="203">
        <f t="shared" si="39"/>
        <v>189684</v>
      </c>
      <c r="H70" s="203">
        <f t="shared" si="39"/>
        <v>192875</v>
      </c>
      <c r="I70" s="203">
        <f t="shared" si="39"/>
        <v>191507</v>
      </c>
      <c r="J70" s="203">
        <f t="shared" si="39"/>
        <v>203997</v>
      </c>
      <c r="K70" s="203">
        <f t="shared" si="39"/>
        <v>204376</v>
      </c>
      <c r="L70" s="203">
        <f t="shared" si="39"/>
        <v>884250</v>
      </c>
      <c r="M70" s="301">
        <v>242100</v>
      </c>
      <c r="N70" s="308">
        <f>N68-N93</f>
        <v>225949</v>
      </c>
      <c r="O70" s="308">
        <f>O68-O93</f>
        <v>262461</v>
      </c>
      <c r="P70" s="116"/>
      <c r="Q70" s="116"/>
      <c r="R70" s="116"/>
      <c r="S70" s="44"/>
      <c r="T70" s="44"/>
      <c r="U70" s="44"/>
      <c r="V70" s="44"/>
      <c r="W70" s="44"/>
      <c r="X70" s="44"/>
      <c r="Y70" s="44"/>
      <c r="Z70" s="44"/>
      <c r="AA70" s="44"/>
      <c r="AB70" s="44"/>
      <c r="AC70" s="44"/>
      <c r="AD70" s="44"/>
      <c r="AE70" s="44"/>
      <c r="AF70" s="44"/>
      <c r="AG70" s="44"/>
      <c r="AM70" s="233"/>
    </row>
    <row r="71" spans="1:39" s="35" customFormat="1" x14ac:dyDescent="0.2">
      <c r="A71" s="136" t="s">
        <v>223</v>
      </c>
      <c r="F71" s="197"/>
      <c r="G71" s="197"/>
      <c r="H71" s="197"/>
      <c r="I71" s="202"/>
      <c r="J71" s="202"/>
      <c r="K71" s="202"/>
      <c r="L71" s="202">
        <f>L70-L72</f>
        <v>193550</v>
      </c>
      <c r="M71" s="303">
        <v>203600</v>
      </c>
      <c r="N71" s="308">
        <f>N70-N72</f>
        <v>196949</v>
      </c>
      <c r="O71" s="299">
        <f t="shared" ref="O71:Z71" si="40">N71*(1+O87)</f>
        <v>197736.796</v>
      </c>
      <c r="P71" s="116">
        <f t="shared" si="40"/>
        <v>198527.74318399999</v>
      </c>
      <c r="Q71" s="116">
        <f t="shared" si="40"/>
        <v>199321.85415673599</v>
      </c>
      <c r="R71" s="116">
        <f t="shared" si="40"/>
        <v>200119.14157336293</v>
      </c>
      <c r="S71" s="116">
        <f t="shared" si="40"/>
        <v>200919.61813965638</v>
      </c>
      <c r="T71" s="116">
        <f t="shared" si="40"/>
        <v>201723.296612215</v>
      </c>
      <c r="U71" s="116">
        <f t="shared" si="40"/>
        <v>202530.18979866387</v>
      </c>
      <c r="V71" s="116">
        <f t="shared" si="40"/>
        <v>203340.31055785852</v>
      </c>
      <c r="W71" s="116">
        <f t="shared" si="40"/>
        <v>204153.67180008997</v>
      </c>
      <c r="X71" s="116">
        <f t="shared" si="40"/>
        <v>204970.28648729034</v>
      </c>
      <c r="Y71" s="116">
        <f t="shared" si="40"/>
        <v>205790.1676332395</v>
      </c>
      <c r="Z71" s="116">
        <f t="shared" si="40"/>
        <v>206613.32830377246</v>
      </c>
      <c r="AA71" s="44"/>
      <c r="AB71" s="44"/>
      <c r="AC71" s="44"/>
      <c r="AD71" s="44"/>
      <c r="AE71" s="44"/>
      <c r="AF71" s="44"/>
      <c r="AG71" s="44"/>
      <c r="AM71" s="233"/>
    </row>
    <row r="72" spans="1:39" s="138" customFormat="1" x14ac:dyDescent="0.2">
      <c r="A72" s="137" t="s">
        <v>205</v>
      </c>
      <c r="B72" s="138" t="s">
        <v>274</v>
      </c>
      <c r="C72" t="s">
        <v>304</v>
      </c>
      <c r="D72"/>
      <c r="F72" s="204"/>
      <c r="G72" s="204"/>
      <c r="H72" s="204"/>
      <c r="I72" s="205"/>
      <c r="J72" s="205"/>
      <c r="K72" s="205"/>
      <c r="L72" s="205" t="str">
        <f>'Haver NA'!H34</f>
        <v>690700</v>
      </c>
      <c r="M72" s="205" t="str">
        <f>'Haver NA'!I34</f>
        <v xml:space="preserve"> 39200</v>
      </c>
      <c r="N72" s="205" t="str">
        <f>VLOOKUP($C$72,'Haver NA'!$A$1:$J$34,10,0)</f>
        <v xml:space="preserve"> 29000</v>
      </c>
      <c r="O72" s="205" t="str">
        <f>VLOOKUP($C$72,'Haver NA'!$A$1:$J$34,10,0)</f>
        <v xml:space="preserve"> 29000</v>
      </c>
      <c r="P72" s="139"/>
      <c r="Q72" s="139"/>
      <c r="R72" s="139"/>
      <c r="S72" s="140"/>
      <c r="T72" s="140"/>
      <c r="U72" s="140"/>
      <c r="V72" s="140"/>
      <c r="W72" s="140"/>
      <c r="X72" s="140"/>
      <c r="Y72" s="140"/>
      <c r="Z72" s="140"/>
      <c r="AA72" s="140"/>
      <c r="AB72" s="140"/>
      <c r="AC72" s="140"/>
      <c r="AD72" s="140"/>
      <c r="AE72" s="140"/>
      <c r="AF72" s="140"/>
      <c r="AG72" s="140"/>
      <c r="AM72" s="236"/>
    </row>
    <row r="73" spans="1:39" s="35" customFormat="1" ht="16" x14ac:dyDescent="0.2">
      <c r="A73" s="134" t="s">
        <v>372</v>
      </c>
      <c r="F73" s="197"/>
      <c r="G73" s="197"/>
      <c r="H73" s="197"/>
      <c r="I73" s="202"/>
      <c r="J73" s="202"/>
      <c r="K73" s="202"/>
      <c r="L73" s="206">
        <f>SUM(L75:L77)</f>
        <v>90400</v>
      </c>
      <c r="M73" s="206">
        <f>SUM(M75:M77)</f>
        <v>87800</v>
      </c>
      <c r="N73" s="206">
        <f>SUM(N75:N77)</f>
        <v>97200</v>
      </c>
      <c r="O73" s="299">
        <f t="shared" ref="O73:Z73" si="41">O74+O78</f>
        <v>124900</v>
      </c>
      <c r="P73" s="116">
        <f t="shared" si="41"/>
        <v>126000</v>
      </c>
      <c r="Q73" s="116">
        <f t="shared" si="41"/>
        <v>120000</v>
      </c>
      <c r="R73" s="116">
        <f t="shared" si="41"/>
        <v>119000</v>
      </c>
      <c r="S73" s="116">
        <f t="shared" si="41"/>
        <v>109000</v>
      </c>
      <c r="T73" s="116">
        <f t="shared" si="41"/>
        <v>109000</v>
      </c>
      <c r="U73" s="116">
        <f t="shared" si="41"/>
        <v>109000</v>
      </c>
      <c r="V73" s="116">
        <f t="shared" si="41"/>
        <v>109000</v>
      </c>
      <c r="W73" s="116">
        <f t="shared" si="41"/>
        <v>109000</v>
      </c>
      <c r="X73" s="116">
        <f t="shared" si="41"/>
        <v>69000</v>
      </c>
      <c r="Y73" s="116">
        <f t="shared" si="41"/>
        <v>59000</v>
      </c>
      <c r="Z73" s="116">
        <f t="shared" si="41"/>
        <v>59000</v>
      </c>
      <c r="AA73" s="116"/>
      <c r="AB73" s="116"/>
      <c r="AC73" s="44"/>
      <c r="AD73" s="44"/>
      <c r="AE73" s="44"/>
      <c r="AF73" s="44"/>
      <c r="AG73" s="44"/>
      <c r="AM73" s="233"/>
    </row>
    <row r="74" spans="1:39" s="35" customFormat="1" ht="16" x14ac:dyDescent="0.2">
      <c r="A74" s="219" t="s">
        <v>331</v>
      </c>
      <c r="F74" s="197"/>
      <c r="G74" s="197"/>
      <c r="H74" s="197"/>
      <c r="I74" s="202"/>
      <c r="J74" s="202"/>
      <c r="K74" s="202"/>
      <c r="L74" s="206"/>
      <c r="M74" s="301"/>
      <c r="N74" s="308"/>
      <c r="O74" s="299">
        <f t="shared" ref="O74:Z74" si="42">SUM(O75:O77)</f>
        <v>72900</v>
      </c>
      <c r="P74" s="116">
        <f t="shared" si="42"/>
        <v>67000</v>
      </c>
      <c r="Q74" s="116">
        <f t="shared" si="42"/>
        <v>61000</v>
      </c>
      <c r="R74" s="116">
        <f t="shared" si="42"/>
        <v>60000</v>
      </c>
      <c r="S74" s="116">
        <f t="shared" si="42"/>
        <v>50000</v>
      </c>
      <c r="T74" s="116">
        <f t="shared" si="42"/>
        <v>50000</v>
      </c>
      <c r="U74" s="116">
        <f t="shared" si="42"/>
        <v>50000</v>
      </c>
      <c r="V74" s="116">
        <f t="shared" si="42"/>
        <v>50000</v>
      </c>
      <c r="W74" s="116">
        <f t="shared" si="42"/>
        <v>50000</v>
      </c>
      <c r="X74" s="116">
        <f t="shared" si="42"/>
        <v>10000</v>
      </c>
      <c r="Y74" s="116">
        <f t="shared" si="42"/>
        <v>0</v>
      </c>
      <c r="Z74" s="116">
        <f t="shared" si="42"/>
        <v>0</v>
      </c>
      <c r="AA74" s="44"/>
      <c r="AB74" s="44"/>
      <c r="AC74" s="44"/>
      <c r="AD74" s="44"/>
      <c r="AE74" s="44"/>
      <c r="AF74" s="44"/>
      <c r="AG74" s="44"/>
      <c r="AM74" s="233"/>
    </row>
    <row r="75" spans="1:39" s="35" customFormat="1" x14ac:dyDescent="0.2">
      <c r="A75" s="113" t="s">
        <v>195</v>
      </c>
      <c r="B75" s="35" t="s">
        <v>274</v>
      </c>
      <c r="C75" s="35" t="s">
        <v>366</v>
      </c>
      <c r="F75" s="197"/>
      <c r="G75" s="197"/>
      <c r="H75" s="197"/>
      <c r="I75" s="202"/>
      <c r="J75" s="202"/>
      <c r="K75" s="202"/>
      <c r="L75" s="206">
        <v>35000</v>
      </c>
      <c r="M75" s="301">
        <v>45000</v>
      </c>
      <c r="N75" s="308">
        <v>60000</v>
      </c>
      <c r="O75" s="299">
        <v>50000</v>
      </c>
      <c r="P75" s="116">
        <v>50000</v>
      </c>
      <c r="Q75" s="116">
        <v>50000</v>
      </c>
      <c r="R75" s="116">
        <v>50000</v>
      </c>
      <c r="S75" s="116">
        <v>50000</v>
      </c>
      <c r="T75" s="116">
        <v>50000</v>
      </c>
      <c r="U75" s="116">
        <v>50000</v>
      </c>
      <c r="V75" s="116">
        <v>50000</v>
      </c>
      <c r="W75" s="116">
        <v>50000</v>
      </c>
      <c r="X75" s="44">
        <v>10000</v>
      </c>
      <c r="Y75" s="44"/>
      <c r="Z75" s="44"/>
      <c r="AA75" s="44"/>
      <c r="AB75" s="44"/>
      <c r="AC75" s="44"/>
      <c r="AD75" s="44"/>
      <c r="AE75" s="44"/>
      <c r="AF75" s="44"/>
      <c r="AG75" s="44"/>
      <c r="AM75" s="233"/>
    </row>
    <row r="76" spans="1:39" s="107" customFormat="1" x14ac:dyDescent="0.2">
      <c r="A76" s="334" t="s">
        <v>370</v>
      </c>
      <c r="B76" s="107" t="s">
        <v>274</v>
      </c>
      <c r="C76" s="107" t="s">
        <v>367</v>
      </c>
      <c r="F76" s="335"/>
      <c r="G76" s="335"/>
      <c r="H76" s="335"/>
      <c r="I76" s="326"/>
      <c r="J76" s="326"/>
      <c r="K76" s="326"/>
      <c r="L76" s="326">
        <v>28400</v>
      </c>
      <c r="M76" s="327">
        <v>15800</v>
      </c>
      <c r="N76" s="336">
        <v>15200</v>
      </c>
      <c r="O76" s="299">
        <v>10900</v>
      </c>
      <c r="P76" s="337">
        <v>10000</v>
      </c>
      <c r="Q76" s="337">
        <v>4000</v>
      </c>
      <c r="R76" s="337">
        <v>4000</v>
      </c>
      <c r="S76" s="330"/>
      <c r="T76" s="330"/>
      <c r="U76" s="330"/>
      <c r="V76" s="330"/>
      <c r="W76" s="330"/>
      <c r="X76" s="330"/>
      <c r="Y76" s="330"/>
      <c r="Z76" s="330"/>
      <c r="AA76" s="330"/>
      <c r="AB76" s="330"/>
      <c r="AC76" s="330"/>
      <c r="AD76" s="330"/>
      <c r="AE76" s="330"/>
      <c r="AF76" s="330"/>
      <c r="AG76" s="330"/>
      <c r="AM76" s="338"/>
    </row>
    <row r="77" spans="1:39" s="107" customFormat="1" x14ac:dyDescent="0.2">
      <c r="A77" s="334" t="s">
        <v>199</v>
      </c>
      <c r="B77" s="107" t="s">
        <v>274</v>
      </c>
      <c r="C77" s="107" t="s">
        <v>368</v>
      </c>
      <c r="F77" s="335"/>
      <c r="G77" s="335"/>
      <c r="H77" s="335"/>
      <c r="I77" s="326"/>
      <c r="J77" s="326"/>
      <c r="K77" s="326"/>
      <c r="L77" s="326">
        <v>27000</v>
      </c>
      <c r="M77" s="327">
        <v>27000</v>
      </c>
      <c r="N77" s="336">
        <v>22000</v>
      </c>
      <c r="O77" s="299">
        <v>12000</v>
      </c>
      <c r="P77" s="337">
        <v>7000</v>
      </c>
      <c r="Q77" s="337">
        <v>7000</v>
      </c>
      <c r="R77" s="337">
        <v>6000</v>
      </c>
      <c r="S77" s="330"/>
      <c r="T77" s="330"/>
      <c r="U77" s="330"/>
      <c r="V77" s="330"/>
      <c r="W77" s="330"/>
      <c r="X77" s="330"/>
      <c r="Y77" s="330"/>
      <c r="Z77" s="330"/>
      <c r="AA77" s="330"/>
      <c r="AB77" s="330"/>
      <c r="AC77" s="330"/>
      <c r="AD77" s="330"/>
      <c r="AE77" s="330"/>
      <c r="AF77" s="330"/>
      <c r="AG77" s="330"/>
      <c r="AM77" s="338"/>
    </row>
    <row r="78" spans="1:39" s="35" customFormat="1" x14ac:dyDescent="0.2">
      <c r="A78" s="220" t="s">
        <v>332</v>
      </c>
      <c r="F78" s="197"/>
      <c r="G78" s="197"/>
      <c r="H78" s="197"/>
      <c r="I78" s="202"/>
      <c r="J78" s="202"/>
      <c r="K78" s="202"/>
      <c r="L78" s="202"/>
      <c r="M78" s="301"/>
      <c r="N78" s="308"/>
      <c r="O78" s="299">
        <f>SUM(O79:O82)</f>
        <v>52000</v>
      </c>
      <c r="P78" s="116">
        <f t="shared" ref="P78:Z78" si="43">SUM(P79:P82)</f>
        <v>59000</v>
      </c>
      <c r="Q78" s="116">
        <f t="shared" si="43"/>
        <v>59000</v>
      </c>
      <c r="R78" s="116">
        <f t="shared" si="43"/>
        <v>59000</v>
      </c>
      <c r="S78" s="116">
        <f t="shared" si="43"/>
        <v>59000</v>
      </c>
      <c r="T78" s="116">
        <f t="shared" si="43"/>
        <v>59000</v>
      </c>
      <c r="U78" s="116">
        <f t="shared" si="43"/>
        <v>59000</v>
      </c>
      <c r="V78" s="116">
        <f t="shared" si="43"/>
        <v>59000</v>
      </c>
      <c r="W78" s="116">
        <f t="shared" si="43"/>
        <v>59000</v>
      </c>
      <c r="X78" s="116">
        <f t="shared" si="43"/>
        <v>59000</v>
      </c>
      <c r="Y78" s="116">
        <f t="shared" si="43"/>
        <v>59000</v>
      </c>
      <c r="Z78" s="116">
        <f t="shared" si="43"/>
        <v>59000</v>
      </c>
      <c r="AA78" s="116"/>
      <c r="AB78" s="44"/>
      <c r="AC78" s="44"/>
      <c r="AD78" s="44"/>
      <c r="AE78" s="44"/>
      <c r="AF78" s="44"/>
      <c r="AG78" s="44"/>
      <c r="AM78" s="233"/>
    </row>
    <row r="79" spans="1:39" s="274" customFormat="1" x14ac:dyDescent="0.2">
      <c r="A79" s="282" t="s">
        <v>333</v>
      </c>
      <c r="F79" s="197"/>
      <c r="G79" s="197"/>
      <c r="H79" s="197"/>
      <c r="I79" s="202"/>
      <c r="J79" s="202"/>
      <c r="K79" s="202"/>
      <c r="L79" s="202"/>
      <c r="M79" s="301"/>
      <c r="N79" s="308"/>
      <c r="O79" s="299">
        <f>'Stimulus Round 2'!$C$13*4/12</f>
        <v>9666.6666666666661</v>
      </c>
      <c r="P79" s="279">
        <f>'Stimulus Round 2'!$C$13*4/12</f>
        <v>9666.6666666666661</v>
      </c>
      <c r="Q79" s="279">
        <f>'Stimulus Round 2'!$C$13*4/12</f>
        <v>9666.6666666666661</v>
      </c>
      <c r="R79" s="279">
        <f>'Stimulus Round 2'!$C$13*4/12</f>
        <v>9666.6666666666661</v>
      </c>
      <c r="S79" s="279">
        <f>'Stimulus Round 2'!$C$13*4/12</f>
        <v>9666.6666666666661</v>
      </c>
      <c r="T79" s="279">
        <f>'Stimulus Round 2'!$C$13*4/12</f>
        <v>9666.6666666666661</v>
      </c>
      <c r="U79" s="279">
        <f>'Stimulus Round 2'!$C$13*4/12</f>
        <v>9666.6666666666661</v>
      </c>
      <c r="V79" s="279">
        <f>'Stimulus Round 2'!$C$13*4/12</f>
        <v>9666.6666666666661</v>
      </c>
      <c r="W79" s="279">
        <f>'Stimulus Round 2'!$C$13*4/12</f>
        <v>9666.6666666666661</v>
      </c>
      <c r="X79" s="279">
        <f>'Stimulus Round 2'!$C$13*4/12</f>
        <v>9666.6666666666661</v>
      </c>
      <c r="Y79" s="279">
        <f>'Stimulus Round 2'!$C$13*4/12</f>
        <v>9666.6666666666661</v>
      </c>
      <c r="Z79" s="279">
        <f>'Stimulus Round 2'!$C$13*4/12</f>
        <v>9666.6666666666661</v>
      </c>
      <c r="AA79" s="276"/>
      <c r="AB79" s="276"/>
      <c r="AC79" s="276"/>
      <c r="AD79" s="276"/>
      <c r="AE79" s="276"/>
      <c r="AF79" s="276"/>
      <c r="AG79" s="276"/>
      <c r="AM79" s="280"/>
    </row>
    <row r="80" spans="1:39" s="274" customFormat="1" x14ac:dyDescent="0.2">
      <c r="A80" s="282" t="s">
        <v>334</v>
      </c>
      <c r="F80" s="197"/>
      <c r="G80" s="197"/>
      <c r="H80" s="197"/>
      <c r="I80" s="202"/>
      <c r="J80" s="202"/>
      <c r="K80" s="202"/>
      <c r="L80" s="202"/>
      <c r="M80" s="301"/>
      <c r="N80" s="308"/>
      <c r="O80" s="299">
        <f>'Stimulus Round 2'!$C$5*4/12 - 7000</f>
        <v>20333.333333333332</v>
      </c>
      <c r="P80" s="279">
        <f>'Stimulus Round 2'!$C$5*4/12</f>
        <v>27333.333333333332</v>
      </c>
      <c r="Q80" s="279">
        <f>'Stimulus Round 2'!$C$5*4/12</f>
        <v>27333.333333333332</v>
      </c>
      <c r="R80" s="279">
        <f>'Stimulus Round 2'!$C$5*4/12</f>
        <v>27333.333333333332</v>
      </c>
      <c r="S80" s="279">
        <f>'Stimulus Round 2'!$C$5*4/12</f>
        <v>27333.333333333332</v>
      </c>
      <c r="T80" s="279">
        <f>'Stimulus Round 2'!$C$5*4/12</f>
        <v>27333.333333333332</v>
      </c>
      <c r="U80" s="279">
        <f>'Stimulus Round 2'!$C$5*4/12</f>
        <v>27333.333333333332</v>
      </c>
      <c r="V80" s="279">
        <f>'Stimulus Round 2'!$C$5*4/12</f>
        <v>27333.333333333332</v>
      </c>
      <c r="W80" s="279">
        <f>'Stimulus Round 2'!$C$5*4/12</f>
        <v>27333.333333333332</v>
      </c>
      <c r="X80" s="279">
        <f>'Stimulus Round 2'!$C$5*4/12</f>
        <v>27333.333333333332</v>
      </c>
      <c r="Y80" s="279">
        <f>'Stimulus Round 2'!$C$5*4/12</f>
        <v>27333.333333333332</v>
      </c>
      <c r="Z80" s="279">
        <f>'Stimulus Round 2'!$C$5*4/12</f>
        <v>27333.333333333332</v>
      </c>
      <c r="AA80" s="276">
        <v>7000</v>
      </c>
      <c r="AB80" s="276"/>
      <c r="AC80" s="276"/>
      <c r="AD80" s="276"/>
      <c r="AE80" s="276"/>
      <c r="AF80" s="276"/>
      <c r="AG80" s="276"/>
      <c r="AM80" s="280"/>
    </row>
    <row r="81" spans="1:39" s="274" customFormat="1" x14ac:dyDescent="0.2">
      <c r="A81" s="282" t="s">
        <v>338</v>
      </c>
      <c r="F81" s="197"/>
      <c r="G81" s="197"/>
      <c r="H81" s="197"/>
      <c r="I81" s="202"/>
      <c r="J81" s="202"/>
      <c r="K81" s="202"/>
      <c r="L81" s="202"/>
      <c r="M81" s="301"/>
      <c r="N81" s="308"/>
      <c r="O81" s="299">
        <f>'Stimulus Round 2'!$C$10*4/12</f>
        <v>4000</v>
      </c>
      <c r="P81" s="279">
        <f>'Stimulus Round 2'!$C$10*4/12</f>
        <v>4000</v>
      </c>
      <c r="Q81" s="279">
        <f>'Stimulus Round 2'!$C$10*4/12</f>
        <v>4000</v>
      </c>
      <c r="R81" s="279">
        <f>'Stimulus Round 2'!$C$10*4/12</f>
        <v>4000</v>
      </c>
      <c r="S81" s="279">
        <f>'Stimulus Round 2'!$C$10*4/12</f>
        <v>4000</v>
      </c>
      <c r="T81" s="279">
        <f>'Stimulus Round 2'!$C$10*4/12</f>
        <v>4000</v>
      </c>
      <c r="U81" s="279">
        <f>'Stimulus Round 2'!$C$10*4/12</f>
        <v>4000</v>
      </c>
      <c r="V81" s="279">
        <f>'Stimulus Round 2'!$C$10*4/12</f>
        <v>4000</v>
      </c>
      <c r="W81" s="279">
        <f>'Stimulus Round 2'!$C$10*4/12</f>
        <v>4000</v>
      </c>
      <c r="X81" s="279">
        <f>'Stimulus Round 2'!$C$10*4/12</f>
        <v>4000</v>
      </c>
      <c r="Y81" s="279">
        <f>'Stimulus Round 2'!$C$10*4/12</f>
        <v>4000</v>
      </c>
      <c r="Z81" s="279">
        <f>'Stimulus Round 2'!$C$10*4/12</f>
        <v>4000</v>
      </c>
      <c r="AA81" s="276"/>
      <c r="AB81" s="276"/>
      <c r="AC81" s="276"/>
      <c r="AD81" s="276"/>
      <c r="AE81" s="276"/>
      <c r="AF81" s="276"/>
      <c r="AG81" s="276"/>
      <c r="AM81" s="280"/>
    </row>
    <row r="82" spans="1:39" s="274" customFormat="1" x14ac:dyDescent="0.2">
      <c r="A82" s="282" t="s">
        <v>339</v>
      </c>
      <c r="F82" s="197"/>
      <c r="G82" s="197"/>
      <c r="H82" s="197"/>
      <c r="I82" s="202"/>
      <c r="J82" s="202"/>
      <c r="K82" s="202"/>
      <c r="L82" s="202"/>
      <c r="M82" s="301"/>
      <c r="N82" s="308"/>
      <c r="O82" s="299">
        <f>'Stimulus Round 2'!$C$16*4/12</f>
        <v>18000</v>
      </c>
      <c r="P82" s="279">
        <f>'Stimulus Round 2'!$C$16*4/12</f>
        <v>18000</v>
      </c>
      <c r="Q82" s="279">
        <f>'Stimulus Round 2'!$C$16*4/12</f>
        <v>18000</v>
      </c>
      <c r="R82" s="279">
        <f>'Stimulus Round 2'!$C$16*4/12</f>
        <v>18000</v>
      </c>
      <c r="S82" s="279">
        <f>'Stimulus Round 2'!$C$16*4/12</f>
        <v>18000</v>
      </c>
      <c r="T82" s="279">
        <f>'Stimulus Round 2'!$C$16*4/12</f>
        <v>18000</v>
      </c>
      <c r="U82" s="279">
        <f>'Stimulus Round 2'!$C$16*4/12</f>
        <v>18000</v>
      </c>
      <c r="V82" s="279">
        <f>'Stimulus Round 2'!$C$16*4/12</f>
        <v>18000</v>
      </c>
      <c r="W82" s="279">
        <f>'Stimulus Round 2'!$C$16*4/12</f>
        <v>18000</v>
      </c>
      <c r="X82" s="279">
        <f>'Stimulus Round 2'!$C$16*4/12</f>
        <v>18000</v>
      </c>
      <c r="Y82" s="279">
        <f>'Stimulus Round 2'!$C$16*4/12</f>
        <v>18000</v>
      </c>
      <c r="Z82" s="279">
        <f>'Stimulus Round 2'!$C$16*4/12</f>
        <v>18000</v>
      </c>
      <c r="AA82" s="276"/>
      <c r="AB82" s="276"/>
      <c r="AC82" s="276"/>
      <c r="AD82" s="276"/>
      <c r="AE82" s="276"/>
      <c r="AF82" s="276"/>
      <c r="AG82" s="276"/>
      <c r="AM82" s="280"/>
    </row>
    <row r="83" spans="1:39" s="35" customFormat="1" x14ac:dyDescent="0.2">
      <c r="A83" s="145" t="s">
        <v>211</v>
      </c>
      <c r="B83" s="141"/>
      <c r="E83" s="141"/>
      <c r="F83" s="197"/>
      <c r="G83" s="197"/>
      <c r="H83" s="197"/>
      <c r="I83" s="202"/>
      <c r="J83" s="202"/>
      <c r="K83" s="202">
        <f>K68-K93</f>
        <v>204376</v>
      </c>
      <c r="L83" s="206">
        <f t="shared" ref="L83:Z83" si="44">L71+L73</f>
        <v>283950</v>
      </c>
      <c r="M83" s="206">
        <f t="shared" si="44"/>
        <v>291400</v>
      </c>
      <c r="N83" s="308">
        <f t="shared" si="44"/>
        <v>294149</v>
      </c>
      <c r="O83" s="299">
        <f t="shared" si="44"/>
        <v>322636.79599999997</v>
      </c>
      <c r="P83" s="144">
        <f t="shared" si="44"/>
        <v>324527.74318400002</v>
      </c>
      <c r="Q83" s="144">
        <f t="shared" si="44"/>
        <v>319321.85415673599</v>
      </c>
      <c r="R83" s="144">
        <f t="shared" si="44"/>
        <v>319119.14157336293</v>
      </c>
      <c r="S83" s="144">
        <f t="shared" si="44"/>
        <v>309919.61813965638</v>
      </c>
      <c r="T83" s="144">
        <f t="shared" si="44"/>
        <v>310723.296612215</v>
      </c>
      <c r="U83" s="144">
        <f t="shared" si="44"/>
        <v>311530.18979866384</v>
      </c>
      <c r="V83" s="144">
        <f t="shared" si="44"/>
        <v>312340.31055785855</v>
      </c>
      <c r="W83" s="144">
        <f t="shared" si="44"/>
        <v>313153.67180009</v>
      </c>
      <c r="X83" s="144">
        <f t="shared" si="44"/>
        <v>273970.28648729034</v>
      </c>
      <c r="Y83" s="144">
        <f t="shared" si="44"/>
        <v>264790.16763323953</v>
      </c>
      <c r="Z83" s="144">
        <f t="shared" si="44"/>
        <v>265613.32830377249</v>
      </c>
      <c r="AA83" s="44"/>
      <c r="AB83" s="44"/>
      <c r="AC83" s="44"/>
      <c r="AD83" s="44"/>
      <c r="AE83" s="44"/>
      <c r="AF83" s="44"/>
      <c r="AG83" s="44"/>
      <c r="AM83" s="233"/>
    </row>
    <row r="84" spans="1:39" s="35" customFormat="1" x14ac:dyDescent="0.2">
      <c r="F84" s="197"/>
      <c r="G84" s="197"/>
      <c r="H84" s="197"/>
      <c r="I84" s="197"/>
      <c r="J84" s="197"/>
      <c r="K84" s="197"/>
      <c r="L84" s="203"/>
      <c r="M84" s="301"/>
      <c r="N84" s="310"/>
      <c r="O84" s="347"/>
      <c r="P84" s="135"/>
      <c r="Q84" s="44"/>
      <c r="R84" s="44"/>
      <c r="S84" s="44"/>
      <c r="T84" s="44"/>
      <c r="U84" s="44"/>
      <c r="V84" s="44"/>
      <c r="W84" s="44"/>
      <c r="X84" s="44"/>
      <c r="Y84" s="44"/>
      <c r="Z84" s="44"/>
      <c r="AA84" s="44"/>
      <c r="AB84" s="44"/>
      <c r="AC84" s="44"/>
      <c r="AD84" s="44"/>
      <c r="AE84" s="44"/>
      <c r="AF84" s="44"/>
      <c r="AG84" s="44"/>
      <c r="AM84" s="233"/>
    </row>
    <row r="85" spans="1:39" s="35" customFormat="1" x14ac:dyDescent="0.2">
      <c r="A85" s="35" t="s">
        <v>17</v>
      </c>
      <c r="B85" s="35" t="s">
        <v>274</v>
      </c>
      <c r="C85" t="s">
        <v>305</v>
      </c>
      <c r="D85"/>
      <c r="F85" s="206">
        <v>1241.5999999999999</v>
      </c>
      <c r="G85" s="206">
        <v>1245.8</v>
      </c>
      <c r="H85" s="206">
        <v>1473.6</v>
      </c>
      <c r="I85" s="206">
        <v>1288.5</v>
      </c>
      <c r="J85" s="206">
        <v>1301.0999999999999</v>
      </c>
      <c r="K85" s="206">
        <v>1306.0999999999999</v>
      </c>
      <c r="L85" s="206">
        <v>1360.1</v>
      </c>
      <c r="M85" s="301">
        <v>1335.133</v>
      </c>
      <c r="N85" s="308">
        <f>VLOOKUP($C$85,'Haver NA'!$A$1:$J$34,10,0)/1000</f>
        <v>1332.16</v>
      </c>
      <c r="O85" s="308">
        <f>VLOOKUP($C$85,'Haver NA'!$A$1:$K$34,11,0)/1000</f>
        <v>1376.1559999999999</v>
      </c>
      <c r="P85" s="116"/>
      <c r="Q85" s="116"/>
      <c r="R85" s="116"/>
      <c r="S85" s="116"/>
      <c r="T85" s="116"/>
      <c r="U85" s="116"/>
      <c r="V85" s="44"/>
      <c r="W85" s="44"/>
      <c r="X85" s="44"/>
      <c r="Y85" s="44"/>
      <c r="Z85" s="44"/>
      <c r="AA85" s="44"/>
      <c r="AB85" s="44"/>
      <c r="AC85" s="44"/>
      <c r="AD85" s="44"/>
      <c r="AE85" s="44"/>
      <c r="AF85" s="44"/>
      <c r="AG85" s="44"/>
      <c r="AI85" s="44"/>
      <c r="AJ85" s="44"/>
      <c r="AK85" s="44"/>
      <c r="AL85" s="44"/>
      <c r="AM85" s="235"/>
    </row>
    <row r="86" spans="1:39" s="35" customFormat="1" x14ac:dyDescent="0.2">
      <c r="A86" s="114" t="s">
        <v>201</v>
      </c>
      <c r="B86" s="35" t="s">
        <v>274</v>
      </c>
      <c r="C86" t="s">
        <v>306</v>
      </c>
      <c r="D86"/>
      <c r="F86" s="197"/>
      <c r="G86" s="197"/>
      <c r="H86" s="197"/>
      <c r="I86" s="197"/>
      <c r="J86" s="197">
        <v>1447.9</v>
      </c>
      <c r="K86" s="197">
        <v>1452.6</v>
      </c>
      <c r="L86" s="197">
        <v>1504.8</v>
      </c>
      <c r="M86" s="301">
        <v>1487.0350000000001</v>
      </c>
      <c r="N86" s="301">
        <f>VLOOKUP($C$86,'Haver NA'!$A$1:$J$34,10,0)/1000</f>
        <v>1493.4359999999999</v>
      </c>
      <c r="O86" s="301">
        <f>VLOOKUP($C$86,'Haver NA'!$A$1:$K$34,11,0)/1000</f>
        <v>1557.175</v>
      </c>
      <c r="P86">
        <v>1511.252602267454</v>
      </c>
      <c r="Q86">
        <v>1519.3368030232709</v>
      </c>
      <c r="R86">
        <v>1530.997960524671</v>
      </c>
      <c r="S86">
        <v>1544.2799915439159</v>
      </c>
      <c r="T86">
        <v>1557.72908484966</v>
      </c>
      <c r="U86">
        <v>1572.6694039177321</v>
      </c>
      <c r="V86">
        <v>1586.4153149483291</v>
      </c>
      <c r="W86">
        <v>1601.682526026475</v>
      </c>
      <c r="X86">
        <v>1615.690158481731</v>
      </c>
      <c r="Y86">
        <v>1631.2333657547081</v>
      </c>
      <c r="Z86">
        <v>1646.9554971985581</v>
      </c>
      <c r="AA86"/>
      <c r="AB86"/>
      <c r="AE86" s="44"/>
      <c r="AF86" s="44"/>
      <c r="AG86" s="44"/>
      <c r="AI86" s="44"/>
      <c r="AJ86" s="44"/>
      <c r="AK86" s="44"/>
      <c r="AL86" s="44"/>
      <c r="AM86" s="235"/>
    </row>
    <row r="87" spans="1:39" s="35" customFormat="1" x14ac:dyDescent="0.2">
      <c r="A87" s="114" t="s">
        <v>369</v>
      </c>
      <c r="C87"/>
      <c r="D87"/>
      <c r="F87" s="197"/>
      <c r="G87" s="197"/>
      <c r="H87" s="197"/>
      <c r="I87" s="197"/>
      <c r="J87" s="197"/>
      <c r="K87" s="197"/>
      <c r="L87" s="197"/>
      <c r="M87" s="302">
        <v>-1.1805555555555514E-2</v>
      </c>
      <c r="N87" s="311">
        <f>N85/M85-1</f>
        <v>-2.2267444516763657E-3</v>
      </c>
      <c r="O87" s="323">
        <v>4.0000000000000001E-3</v>
      </c>
      <c r="P87" s="196">
        <v>4.0000000000000001E-3</v>
      </c>
      <c r="Q87" s="196">
        <v>4.0000000000000001E-3</v>
      </c>
      <c r="R87" s="196">
        <v>4.0000000000000001E-3</v>
      </c>
      <c r="S87" s="196">
        <v>4.0000000000000001E-3</v>
      </c>
      <c r="T87" s="196">
        <v>4.0000000000000001E-3</v>
      </c>
      <c r="U87" s="196">
        <v>4.0000000000000001E-3</v>
      </c>
      <c r="V87" s="196">
        <v>4.0000000000000001E-3</v>
      </c>
      <c r="W87" s="196">
        <v>4.0000000000000001E-3</v>
      </c>
      <c r="X87" s="196">
        <v>4.0000000000000001E-3</v>
      </c>
      <c r="Y87" s="196">
        <v>4.0000000000000001E-3</v>
      </c>
      <c r="Z87" s="196">
        <v>4.0000000000000001E-3</v>
      </c>
      <c r="AA87"/>
      <c r="AB87"/>
      <c r="AE87" s="44"/>
      <c r="AF87" s="44"/>
      <c r="AG87" s="44"/>
      <c r="AI87" s="44"/>
      <c r="AJ87" s="44"/>
      <c r="AK87" s="44"/>
      <c r="AL87" s="44"/>
      <c r="AM87" s="235"/>
    </row>
    <row r="88" spans="1:39" s="185" customFormat="1" ht="12" x14ac:dyDescent="0.15">
      <c r="A88" s="169" t="s">
        <v>200</v>
      </c>
      <c r="F88" s="207"/>
      <c r="G88" s="207"/>
      <c r="H88" s="207"/>
      <c r="I88" s="207"/>
      <c r="J88" s="207"/>
      <c r="K88" s="207"/>
      <c r="L88" s="207"/>
      <c r="M88" s="302">
        <v>-1.1805555555555514E-2</v>
      </c>
      <c r="N88" s="311">
        <f>N86/M86-1</f>
        <v>4.3045388978737442E-3</v>
      </c>
      <c r="O88" s="323">
        <v>5.3394154743755307E-2</v>
      </c>
      <c r="P88" s="196">
        <v>-1.9703807284052632E-2</v>
      </c>
      <c r="Q88" s="196">
        <v>-4.084808403034379E-3</v>
      </c>
      <c r="R88" s="196">
        <v>0</v>
      </c>
      <c r="S88" s="196">
        <v>2.4739583333333037E-3</v>
      </c>
      <c r="T88" s="196">
        <v>1.6235874788934623E-3</v>
      </c>
      <c r="U88" s="196">
        <v>3.9551319457953316E-3</v>
      </c>
      <c r="V88" s="196">
        <v>3.8749677086025169E-3</v>
      </c>
      <c r="W88" s="196">
        <v>3.9243437982501295E-3</v>
      </c>
      <c r="X88" s="196">
        <v>3.0118551746236566E-3</v>
      </c>
      <c r="Y88" s="196">
        <v>3.9611551239457921E-3</v>
      </c>
      <c r="Z88" s="196">
        <v>5.027364133893153E-3</v>
      </c>
      <c r="AA88" s="186"/>
      <c r="AB88" s="186"/>
      <c r="AE88" s="187"/>
      <c r="AF88" s="187"/>
      <c r="AG88" s="187"/>
      <c r="AI88" s="187"/>
      <c r="AJ88" s="187"/>
      <c r="AK88" s="187"/>
      <c r="AL88" s="187"/>
      <c r="AM88" s="237"/>
    </row>
    <row r="89" spans="1:39" s="185" customFormat="1" x14ac:dyDescent="0.2">
      <c r="A89" s="114" t="s">
        <v>388</v>
      </c>
      <c r="F89" s="207"/>
      <c r="G89" s="207"/>
      <c r="H89" s="207"/>
      <c r="I89" s="207"/>
      <c r="J89" s="207"/>
      <c r="K89" s="207"/>
      <c r="L89" s="207"/>
      <c r="M89" s="302"/>
      <c r="N89" s="311"/>
      <c r="O89" s="341">
        <f>SUM(O90:O92)</f>
        <v>71400</v>
      </c>
      <c r="P89" s="102">
        <f t="shared" ref="P89:R89" si="45">SUM(P90:P92)</f>
        <v>71400</v>
      </c>
      <c r="Q89" s="102">
        <f t="shared" si="45"/>
        <v>30600</v>
      </c>
      <c r="R89" s="102">
        <f t="shared" si="45"/>
        <v>30600</v>
      </c>
      <c r="S89" s="186"/>
      <c r="T89" s="186"/>
      <c r="U89" s="186"/>
      <c r="V89" s="186"/>
      <c r="W89" s="186"/>
      <c r="X89" s="186"/>
      <c r="Y89" s="186"/>
      <c r="Z89" s="186"/>
      <c r="AA89" s="186"/>
      <c r="AB89" s="186"/>
      <c r="AE89" s="187"/>
      <c r="AF89" s="187"/>
      <c r="AG89" s="187"/>
      <c r="AI89" s="187"/>
      <c r="AJ89" s="187"/>
      <c r="AK89" s="187"/>
      <c r="AL89" s="187"/>
      <c r="AM89" s="237"/>
    </row>
    <row r="90" spans="1:39" s="285" customFormat="1" x14ac:dyDescent="0.2">
      <c r="A90" s="284" t="s">
        <v>342</v>
      </c>
      <c r="F90" s="300"/>
      <c r="G90" s="300"/>
      <c r="H90" s="300"/>
      <c r="I90" s="300"/>
      <c r="J90" s="300"/>
      <c r="K90" s="300"/>
      <c r="L90" s="300"/>
      <c r="M90" s="305"/>
      <c r="N90" s="312"/>
      <c r="O90" s="299">
        <f>('Stimulus Round 2'!$C7*0.7*4)/2</f>
        <v>30799.999999999996</v>
      </c>
      <c r="P90" s="279">
        <f>('Stimulus Round 2'!$C7*0.7*4)/2</f>
        <v>30799.999999999996</v>
      </c>
      <c r="Q90" s="279">
        <f>('Stimulus Round 2'!$C7*0.3*4)/2</f>
        <v>13200</v>
      </c>
      <c r="R90" s="279">
        <f>('Stimulus Round 2'!$C7*0.3*4)/2</f>
        <v>13200</v>
      </c>
      <c r="S90" s="286"/>
      <c r="T90" s="286"/>
      <c r="U90" s="286"/>
      <c r="V90" s="286"/>
      <c r="W90" s="286"/>
      <c r="X90" s="286"/>
      <c r="Y90" s="286"/>
      <c r="Z90" s="286"/>
      <c r="AA90" s="286"/>
      <c r="AB90" s="286"/>
      <c r="AE90" s="287"/>
      <c r="AF90" s="287"/>
      <c r="AG90" s="287"/>
      <c r="AI90" s="287"/>
      <c r="AJ90" s="287"/>
      <c r="AK90" s="287"/>
      <c r="AL90" s="287"/>
      <c r="AM90" s="288"/>
    </row>
    <row r="91" spans="1:39" s="285" customFormat="1" x14ac:dyDescent="0.2">
      <c r="A91" s="284" t="s">
        <v>343</v>
      </c>
      <c r="F91" s="300"/>
      <c r="G91" s="300"/>
      <c r="H91" s="300"/>
      <c r="I91" s="300"/>
      <c r="J91" s="300"/>
      <c r="K91" s="300"/>
      <c r="L91" s="300"/>
      <c r="M91" s="305"/>
      <c r="N91" s="312"/>
      <c r="O91" s="299">
        <f>('Stimulus Round 2'!$C8*0.7*4)/2</f>
        <v>28000</v>
      </c>
      <c r="P91" s="279">
        <f>('Stimulus Round 2'!$C8*0.7*4)/2</f>
        <v>28000</v>
      </c>
      <c r="Q91" s="279">
        <f>('Stimulus Round 2'!$C8*0.3*4)/2</f>
        <v>12000</v>
      </c>
      <c r="R91" s="279">
        <f>('Stimulus Round 2'!$C8*0.3*4)/2</f>
        <v>12000</v>
      </c>
      <c r="S91" s="286"/>
      <c r="T91" s="286"/>
      <c r="U91" s="286"/>
      <c r="V91" s="286"/>
      <c r="W91" s="286"/>
      <c r="X91" s="286"/>
      <c r="Y91" s="286"/>
      <c r="Z91" s="286"/>
      <c r="AA91" s="286"/>
      <c r="AB91" s="286"/>
      <c r="AE91" s="287"/>
      <c r="AF91" s="287"/>
      <c r="AG91" s="287"/>
      <c r="AI91" s="287"/>
      <c r="AJ91" s="287"/>
      <c r="AK91" s="287"/>
      <c r="AL91" s="287"/>
      <c r="AM91" s="288"/>
    </row>
    <row r="92" spans="1:39" s="285" customFormat="1" x14ac:dyDescent="0.2">
      <c r="A92" s="284" t="s">
        <v>344</v>
      </c>
      <c r="F92" s="300"/>
      <c r="G92" s="300"/>
      <c r="H92" s="300"/>
      <c r="I92" s="300"/>
      <c r="J92" s="300"/>
      <c r="K92" s="300"/>
      <c r="L92" s="300"/>
      <c r="M92" s="305"/>
      <c r="N92" s="312"/>
      <c r="O92" s="299">
        <f>('Stimulus Round 2'!$C9*0.7*4)/2</f>
        <v>12600</v>
      </c>
      <c r="P92" s="279">
        <f>('Stimulus Round 2'!$C9*0.7*4)/2</f>
        <v>12600</v>
      </c>
      <c r="Q92" s="279">
        <f>('Stimulus Round 2'!$C9*0.3*4)/2</f>
        <v>5400</v>
      </c>
      <c r="R92" s="279">
        <f>('Stimulus Round 2'!$C9*0.3*4)/2</f>
        <v>5400</v>
      </c>
      <c r="S92" s="286"/>
      <c r="T92" s="286"/>
      <c r="U92" s="286"/>
      <c r="V92" s="286"/>
      <c r="W92" s="286"/>
      <c r="X92" s="286"/>
      <c r="Y92" s="286"/>
      <c r="Z92" s="286"/>
      <c r="AA92" s="286"/>
      <c r="AB92" s="286"/>
      <c r="AE92" s="287"/>
      <c r="AF92" s="287"/>
      <c r="AG92" s="287"/>
      <c r="AI92" s="287"/>
      <c r="AJ92" s="287"/>
      <c r="AK92" s="287"/>
      <c r="AL92" s="287"/>
      <c r="AM92" s="288"/>
    </row>
    <row r="93" spans="1:39" s="35" customFormat="1" x14ac:dyDescent="0.2">
      <c r="A93" s="35" t="s">
        <v>389</v>
      </c>
      <c r="B93" s="35" t="s">
        <v>274</v>
      </c>
      <c r="C93" t="s">
        <v>307</v>
      </c>
      <c r="D93"/>
      <c r="F93" s="206">
        <v>389624</v>
      </c>
      <c r="G93" s="206">
        <v>404529</v>
      </c>
      <c r="H93" s="206">
        <v>419672</v>
      </c>
      <c r="I93" s="206">
        <v>418824</v>
      </c>
      <c r="J93" s="206">
        <v>411409</v>
      </c>
      <c r="K93" s="206">
        <v>423429</v>
      </c>
      <c r="L93" s="206">
        <v>512640</v>
      </c>
      <c r="M93" s="301">
        <v>486072</v>
      </c>
      <c r="N93" s="308" t="str">
        <f>VLOOKUP($C$93,'Haver NA'!$A$1:$J$34,10,0)</f>
        <v>512193</v>
      </c>
      <c r="O93" s="308" t="str">
        <f>VLOOKUP($C$93,'Haver NA'!$A$1:$K$34,11,0)</f>
        <v>523163</v>
      </c>
      <c r="P93" s="116">
        <f t="shared" ref="P93:S93" si="46">P100*0.74</f>
        <v>518997.92154021468</v>
      </c>
      <c r="Q93" s="116">
        <f t="shared" si="46"/>
        <v>518997.92154021468</v>
      </c>
      <c r="R93" s="116">
        <f t="shared" si="46"/>
        <v>518997.92154021468</v>
      </c>
      <c r="S93" s="116">
        <f t="shared" si="46"/>
        <v>518997.92154021468</v>
      </c>
      <c r="T93" s="116">
        <f>T100*0.68</f>
        <v>476917.00898290001</v>
      </c>
      <c r="U93" s="116">
        <f>U100*0.68</f>
        <v>476917.00898290001</v>
      </c>
      <c r="V93" s="116">
        <f>V100*0.68</f>
        <v>476917.00898290001</v>
      </c>
      <c r="W93" s="116"/>
      <c r="X93" s="116"/>
      <c r="Y93" s="116"/>
      <c r="Z93" s="116"/>
      <c r="AA93" s="116"/>
      <c r="AB93" s="116"/>
      <c r="AC93" s="44">
        <f>AVERAGE(F93:I93)/1000</f>
        <v>408.16224999999997</v>
      </c>
      <c r="AD93" s="45">
        <f>AVERAGE(J93:M93)</f>
        <v>458387.5</v>
      </c>
      <c r="AE93" s="45">
        <f>AVERAGE(N93:Q93)</f>
        <v>518997.92154021468</v>
      </c>
      <c r="AF93" s="45">
        <f>AVERAGE(R93:U93)</f>
        <v>497957.46526155737</v>
      </c>
      <c r="AH93" s="35">
        <v>409.42</v>
      </c>
      <c r="AI93" s="84">
        <f>'figuring out Medicaid'!G11</f>
        <v>466.24400000000003</v>
      </c>
      <c r="AJ93" s="84">
        <f>'figuring out Medicaid'!H11</f>
        <v>537.41499999999996</v>
      </c>
      <c r="AK93" s="84">
        <f>'figuring out Medicaid'!I11</f>
        <v>516.01800000000003</v>
      </c>
      <c r="AL93" s="84"/>
      <c r="AM93" s="233"/>
    </row>
    <row r="94" spans="1:39" s="35" customFormat="1" x14ac:dyDescent="0.2">
      <c r="A94" s="141" t="s">
        <v>160</v>
      </c>
      <c r="B94" s="141"/>
      <c r="E94" s="141"/>
      <c r="F94" s="201">
        <f t="shared" ref="F94:L94" si="47">F50+F47+F36+F42</f>
        <v>1440187</v>
      </c>
      <c r="G94" s="201">
        <f t="shared" si="47"/>
        <v>1503410</v>
      </c>
      <c r="H94" s="201">
        <f t="shared" si="47"/>
        <v>1508652</v>
      </c>
      <c r="I94" s="201">
        <f t="shared" si="47"/>
        <v>1513957</v>
      </c>
      <c r="J94" s="201">
        <f t="shared" si="47"/>
        <v>1521941</v>
      </c>
      <c r="K94" s="201">
        <f t="shared" si="47"/>
        <v>1574462</v>
      </c>
      <c r="L94" s="201">
        <f t="shared" si="47"/>
        <v>3729557.333333333</v>
      </c>
      <c r="M94" s="301">
        <v>2466001</v>
      </c>
      <c r="N94" s="306">
        <f>N50+N47+N36+N42+N37</f>
        <v>2026902</v>
      </c>
      <c r="O94" s="298">
        <f t="shared" ref="O94:Z94" si="48">O50+O47+O36+O42+O37+O38+O39</f>
        <v>3162199.7350000003</v>
      </c>
      <c r="P94" s="142">
        <f t="shared" si="48"/>
        <v>1918594.2369875002</v>
      </c>
      <c r="Q94" s="142">
        <f t="shared" si="48"/>
        <v>1729884.7802100941</v>
      </c>
      <c r="R94" s="142">
        <f t="shared" si="48"/>
        <v>1727113.0519132453</v>
      </c>
      <c r="S94" s="142">
        <f t="shared" si="48"/>
        <v>1732719.7476919438</v>
      </c>
      <c r="T94" s="142">
        <f t="shared" si="48"/>
        <v>1758710.5439073227</v>
      </c>
      <c r="U94" s="142">
        <f t="shared" si="48"/>
        <v>1785091.2020659323</v>
      </c>
      <c r="V94" s="142">
        <f t="shared" si="48"/>
        <v>1802942.1140865916</v>
      </c>
      <c r="W94" s="142">
        <f t="shared" si="48"/>
        <v>0</v>
      </c>
      <c r="X94" s="142">
        <f t="shared" si="48"/>
        <v>0</v>
      </c>
      <c r="Y94" s="142">
        <f t="shared" si="48"/>
        <v>0</v>
      </c>
      <c r="Z94" s="142">
        <f t="shared" si="48"/>
        <v>0</v>
      </c>
      <c r="AM94" s="233"/>
    </row>
    <row r="95" spans="1:39" s="35" customFormat="1" x14ac:dyDescent="0.2">
      <c r="A95" s="141" t="s">
        <v>209</v>
      </c>
      <c r="B95" s="141"/>
      <c r="E95" s="141"/>
      <c r="F95" s="197"/>
      <c r="G95" s="197"/>
      <c r="H95" s="197"/>
      <c r="I95" s="197"/>
      <c r="J95" s="197"/>
      <c r="K95" s="197"/>
      <c r="L95" s="203">
        <f>L93+L35</f>
        <v>1336698</v>
      </c>
      <c r="M95" s="301">
        <v>1328805</v>
      </c>
      <c r="N95" s="310">
        <f t="shared" ref="N95:Z95" si="49">N93+N35</f>
        <v>1372787</v>
      </c>
      <c r="O95" s="347">
        <f t="shared" si="49"/>
        <v>1403267</v>
      </c>
      <c r="P95" s="143">
        <f>P93+P35</f>
        <v>1421879.7572941454</v>
      </c>
      <c r="Q95" s="143">
        <f t="shared" si="49"/>
        <v>1444936.5325513459</v>
      </c>
      <c r="R95" s="143">
        <f t="shared" si="49"/>
        <v>1487214.3073917539</v>
      </c>
      <c r="S95" s="143">
        <f t="shared" si="49"/>
        <v>1518874.546395713</v>
      </c>
      <c r="T95" s="143">
        <f t="shared" si="49"/>
        <v>1509489.1483741866</v>
      </c>
      <c r="U95" s="143">
        <f t="shared" si="49"/>
        <v>1543253.7914846269</v>
      </c>
      <c r="V95" s="143">
        <f t="shared" si="49"/>
        <v>1553999.364950907</v>
      </c>
      <c r="W95" s="143">
        <f t="shared" si="49"/>
        <v>1087936.2135627293</v>
      </c>
      <c r="X95" s="143">
        <f t="shared" si="49"/>
        <v>1098899.4464749785</v>
      </c>
      <c r="Y95" s="143">
        <f t="shared" si="49"/>
        <v>1109973.1568898512</v>
      </c>
      <c r="Z95" s="143">
        <f t="shared" si="49"/>
        <v>0</v>
      </c>
      <c r="AM95" s="233"/>
    </row>
    <row r="96" spans="1:39" s="35" customFormat="1" x14ac:dyDescent="0.2">
      <c r="F96" s="197"/>
      <c r="G96" s="197"/>
      <c r="H96" s="197"/>
      <c r="I96" s="197"/>
      <c r="J96" s="197"/>
      <c r="K96" s="197"/>
      <c r="L96" s="197"/>
      <c r="M96" s="301"/>
      <c r="N96" s="301"/>
      <c r="O96" s="339"/>
      <c r="AM96" s="233"/>
    </row>
    <row r="97" spans="1:39" s="35" customFormat="1" x14ac:dyDescent="0.2">
      <c r="A97" s="35" t="s">
        <v>15</v>
      </c>
      <c r="B97" s="35" t="s">
        <v>274</v>
      </c>
      <c r="C97" t="s">
        <v>308</v>
      </c>
      <c r="D97"/>
      <c r="F97" s="197">
        <v>728844</v>
      </c>
      <c r="G97" s="197">
        <v>738714</v>
      </c>
      <c r="H97" s="197">
        <v>755204</v>
      </c>
      <c r="I97" s="197">
        <v>763370</v>
      </c>
      <c r="J97" s="197">
        <v>760967</v>
      </c>
      <c r="K97" s="197">
        <v>767087</v>
      </c>
      <c r="L97" s="197">
        <v>812158</v>
      </c>
      <c r="M97" s="301">
        <v>828480</v>
      </c>
      <c r="N97" s="303" t="str">
        <f>VLOOKUP($C$97,'Haver NA'!$A$1:$J$34,10,0)</f>
        <v>827577</v>
      </c>
      <c r="O97" s="303" t="str">
        <f>VLOOKUP($C$97,'Haver NA'!$A$1:$K$34,11,0)</f>
        <v>840323</v>
      </c>
      <c r="P97" s="133">
        <f t="shared" ref="P97:U97" si="50">P98+P100</f>
        <v>847224.19480316178</v>
      </c>
      <c r="Q97" s="133">
        <f t="shared" si="50"/>
        <v>847953.57306406798</v>
      </c>
      <c r="R97" s="133">
        <f t="shared" si="50"/>
        <v>849053.11079238413</v>
      </c>
      <c r="S97" s="133">
        <f t="shared" si="50"/>
        <v>850530.1564740889</v>
      </c>
      <c r="T97" s="133">
        <f t="shared" si="50"/>
        <v>851875.63625646336</v>
      </c>
      <c r="U97" s="133">
        <f t="shared" si="50"/>
        <v>853307.52299733902</v>
      </c>
      <c r="V97" s="133">
        <f t="shared" ref="V97" si="51">V98+V100</f>
        <v>854801.12899428688</v>
      </c>
      <c r="AM97" s="233"/>
    </row>
    <row r="98" spans="1:39" s="35" customFormat="1" x14ac:dyDescent="0.2">
      <c r="A98" s="35" t="s">
        <v>224</v>
      </c>
      <c r="F98" s="203">
        <f t="shared" ref="F98:K98" si="52">F97-F100</f>
        <v>139025</v>
      </c>
      <c r="G98" s="203">
        <f t="shared" si="52"/>
        <v>139342</v>
      </c>
      <c r="H98" s="203">
        <f t="shared" si="52"/>
        <v>140228</v>
      </c>
      <c r="I98" s="203">
        <f t="shared" si="52"/>
        <v>141105</v>
      </c>
      <c r="J98" s="203">
        <f t="shared" si="52"/>
        <v>141335</v>
      </c>
      <c r="K98" s="203">
        <f t="shared" si="52"/>
        <v>142991</v>
      </c>
      <c r="L98" s="203">
        <f>L97-L100</f>
        <v>143335</v>
      </c>
      <c r="M98" s="301">
        <v>144777</v>
      </c>
      <c r="N98" s="303">
        <f>N97-N100</f>
        <v>145149</v>
      </c>
      <c r="O98" s="343">
        <f>N98*(1+O110)</f>
        <v>145511.8725</v>
      </c>
      <c r="P98" s="133">
        <f t="shared" ref="P98:S98" si="53">O98*(1+P110)</f>
        <v>145875.65218124999</v>
      </c>
      <c r="Q98" s="133">
        <f t="shared" si="53"/>
        <v>146605.03044215622</v>
      </c>
      <c r="R98" s="133">
        <f t="shared" si="53"/>
        <v>147704.5681704724</v>
      </c>
      <c r="S98" s="133">
        <f t="shared" si="53"/>
        <v>149181.61385217714</v>
      </c>
      <c r="T98" s="133">
        <f t="shared" ref="T98:V98" si="54">S98*(1+T109)</f>
        <v>150527.09363455165</v>
      </c>
      <c r="U98" s="133">
        <f t="shared" si="54"/>
        <v>151958.98037542729</v>
      </c>
      <c r="V98" s="133">
        <f t="shared" si="54"/>
        <v>153452.58637237517</v>
      </c>
      <c r="AM98" s="233"/>
    </row>
    <row r="99" spans="1:39" s="35" customFormat="1" x14ac:dyDescent="0.2">
      <c r="F99" s="203"/>
      <c r="G99" s="197"/>
      <c r="H99" s="197"/>
      <c r="I99" s="197"/>
      <c r="J99" s="197"/>
      <c r="K99" s="197"/>
      <c r="L99" s="197"/>
      <c r="M99" s="301"/>
      <c r="N99" s="301"/>
      <c r="O99" s="339"/>
      <c r="AM99" s="233"/>
    </row>
    <row r="100" spans="1:39" s="35" customFormat="1" x14ac:dyDescent="0.2">
      <c r="A100" s="35" t="s">
        <v>221</v>
      </c>
      <c r="B100" s="35" t="s">
        <v>274</v>
      </c>
      <c r="C100" t="s">
        <v>309</v>
      </c>
      <c r="D100"/>
      <c r="F100" s="197">
        <v>589819</v>
      </c>
      <c r="G100" s="197">
        <v>599372</v>
      </c>
      <c r="H100" s="197">
        <v>614976</v>
      </c>
      <c r="I100" s="197">
        <v>622265</v>
      </c>
      <c r="J100" s="197">
        <v>619632</v>
      </c>
      <c r="K100" s="197">
        <v>624096</v>
      </c>
      <c r="L100" s="197">
        <v>668823</v>
      </c>
      <c r="M100" s="301">
        <v>683703</v>
      </c>
      <c r="N100" s="310" t="str">
        <f>VLOOKUP($C$100,'Haver NA'!$A$1:$J$34,10,0)</f>
        <v>682428</v>
      </c>
      <c r="O100" s="310" t="str">
        <f>VLOOKUP($C$100,'Haver NA'!$A$1:$K$34,11,0)</f>
        <v>694419</v>
      </c>
      <c r="P100" s="135">
        <f>O100*(($AJ$100/$AI$100)^0.1)</f>
        <v>701348.54262191174</v>
      </c>
      <c r="Q100" s="135">
        <f>P100*(1+Q101)</f>
        <v>701348.54262191174</v>
      </c>
      <c r="R100" s="135">
        <f t="shared" ref="R100:V100" si="55">Q100*(1+R101)</f>
        <v>701348.54262191174</v>
      </c>
      <c r="S100" s="135">
        <f t="shared" si="55"/>
        <v>701348.54262191174</v>
      </c>
      <c r="T100" s="135">
        <f t="shared" si="55"/>
        <v>701348.54262191174</v>
      </c>
      <c r="U100" s="135">
        <f t="shared" si="55"/>
        <v>701348.54262191174</v>
      </c>
      <c r="V100" s="135">
        <f t="shared" si="55"/>
        <v>701348.54262191174</v>
      </c>
      <c r="AD100" s="45">
        <f>AVERAGE(J100:M100)/1000</f>
        <v>649.06349999999998</v>
      </c>
      <c r="AE100" s="45">
        <f>AVERAGE(N100:Q100)/1000</f>
        <v>701.34854262191175</v>
      </c>
      <c r="AF100" s="45">
        <f>AVERAGE(R100:U100)/1000</f>
        <v>701.34854262191175</v>
      </c>
      <c r="AH100" s="84"/>
      <c r="AI100" s="84">
        <f>'figuring out Medicaid'!G13</f>
        <v>657.17435271149407</v>
      </c>
      <c r="AJ100" s="84">
        <f>'figuring out Medicaid'!H13</f>
        <v>725.7777402928042</v>
      </c>
      <c r="AK100" s="84">
        <f>'figuring out Medicaid'!I13</f>
        <v>727.33117238501666</v>
      </c>
      <c r="AL100" s="84"/>
      <c r="AM100" s="233"/>
    </row>
    <row r="101" spans="1:39" s="185" customFormat="1" x14ac:dyDescent="0.2">
      <c r="A101" s="169" t="s">
        <v>263</v>
      </c>
      <c r="F101" s="207"/>
      <c r="G101" s="207"/>
      <c r="H101" s="207"/>
      <c r="I101" s="207"/>
      <c r="J101" s="200"/>
      <c r="K101" s="200"/>
      <c r="L101" s="200"/>
      <c r="M101" s="301"/>
      <c r="N101" s="302"/>
      <c r="O101" s="323"/>
      <c r="P101" s="175"/>
      <c r="Q101" s="175">
        <v>0</v>
      </c>
      <c r="R101" s="175">
        <v>0</v>
      </c>
      <c r="S101" s="175">
        <v>0</v>
      </c>
      <c r="T101" s="175">
        <v>0</v>
      </c>
      <c r="U101" s="175">
        <v>0</v>
      </c>
      <c r="V101" s="175">
        <v>0</v>
      </c>
      <c r="W101" s="175"/>
      <c r="AM101" s="234"/>
    </row>
    <row r="102" spans="1:39" s="153" customFormat="1" ht="12" x14ac:dyDescent="0.15">
      <c r="A102" s="153" t="s">
        <v>216</v>
      </c>
      <c r="F102" s="208">
        <f t="shared" ref="F102:L102" si="56">F93/F100</f>
        <v>0.66058231423538405</v>
      </c>
      <c r="G102" s="208">
        <f t="shared" si="56"/>
        <v>0.6749214177505789</v>
      </c>
      <c r="H102" s="208">
        <f t="shared" si="56"/>
        <v>0.68242012696430432</v>
      </c>
      <c r="I102" s="208">
        <f t="shared" si="56"/>
        <v>0.6730637268687778</v>
      </c>
      <c r="J102" s="208">
        <f t="shared" si="56"/>
        <v>0.66395699382859508</v>
      </c>
      <c r="K102" s="208">
        <f t="shared" si="56"/>
        <v>0.67846773573296415</v>
      </c>
      <c r="L102" s="208">
        <f t="shared" si="56"/>
        <v>0.76648081779484256</v>
      </c>
      <c r="M102" s="208">
        <v>0.71094027669909299</v>
      </c>
      <c r="N102" s="208">
        <f t="shared" ref="N102" si="57">N93/N100</f>
        <v>0.75054511245142341</v>
      </c>
      <c r="O102" s="348"/>
      <c r="AD102" s="154"/>
      <c r="AE102" s="154"/>
      <c r="AF102" s="154"/>
      <c r="AH102" s="155"/>
      <c r="AI102" s="155"/>
      <c r="AJ102" s="155"/>
      <c r="AM102" s="238"/>
    </row>
    <row r="103" spans="1:39" s="35" customFormat="1" x14ac:dyDescent="0.2">
      <c r="A103" s="35" t="s">
        <v>390</v>
      </c>
      <c r="B103" s="35" t="s">
        <v>274</v>
      </c>
      <c r="C103" t="s">
        <v>310</v>
      </c>
      <c r="D103"/>
      <c r="F103" s="197">
        <v>1997.1</v>
      </c>
      <c r="G103" s="197">
        <v>2012.7</v>
      </c>
      <c r="H103" s="197">
        <v>2025.5</v>
      </c>
      <c r="I103" s="197">
        <v>2028.3</v>
      </c>
      <c r="J103" s="197">
        <v>2035.6</v>
      </c>
      <c r="K103" s="197">
        <v>2041</v>
      </c>
      <c r="L103" s="197">
        <v>2013.1</v>
      </c>
      <c r="M103" s="301">
        <v>1993.0509999999999</v>
      </c>
      <c r="N103" s="301">
        <f>VLOOKUP($C$103,'Haver NA'!$A$1:$J$34,10,0)/1000</f>
        <v>1989.1679999999999</v>
      </c>
      <c r="O103" s="301">
        <f>VLOOKUP($C$103,'Haver NA'!$A$1:$K$34,11,0)/1000</f>
        <v>1993.271</v>
      </c>
      <c r="P103" s="35">
        <f t="shared" ref="P103:V103" si="58">O103*(1+P105)</f>
        <v>2015.0262230230642</v>
      </c>
      <c r="Q103" s="35">
        <f t="shared" si="58"/>
        <v>2029.3928797364085</v>
      </c>
      <c r="R103" s="35">
        <f t="shared" si="58"/>
        <v>2039.3469204592257</v>
      </c>
      <c r="S103" s="35">
        <f t="shared" si="58"/>
        <v>2049.1983422055191</v>
      </c>
      <c r="T103" s="35">
        <f t="shared" si="58"/>
        <v>2056.3816705621916</v>
      </c>
      <c r="U103" s="35">
        <f t="shared" si="58"/>
        <v>2060.7942865527189</v>
      </c>
      <c r="V103" s="35">
        <f t="shared" si="58"/>
        <v>2062.4361901771008</v>
      </c>
      <c r="AM103" s="233"/>
    </row>
    <row r="104" spans="1:39" s="185" customFormat="1" x14ac:dyDescent="0.2">
      <c r="A104" s="169" t="s">
        <v>278</v>
      </c>
      <c r="B104" s="35"/>
      <c r="C104" s="35"/>
      <c r="D104" s="35"/>
      <c r="F104" s="200"/>
      <c r="G104" s="200">
        <f t="shared" ref="G104:L104" si="59">(G103/F103)-1</f>
        <v>7.8113264233139468E-3</v>
      </c>
      <c r="H104" s="200">
        <f t="shared" si="59"/>
        <v>6.3596164356336526E-3</v>
      </c>
      <c r="I104" s="200">
        <f t="shared" si="59"/>
        <v>1.3823747222907468E-3</v>
      </c>
      <c r="J104" s="200">
        <f t="shared" si="59"/>
        <v>3.5990731154167399E-3</v>
      </c>
      <c r="K104" s="200">
        <f t="shared" si="59"/>
        <v>2.6527805069758159E-3</v>
      </c>
      <c r="L104" s="200">
        <f t="shared" si="59"/>
        <v>-1.36697697207252E-2</v>
      </c>
      <c r="M104" s="302">
        <v>-9.9592668024439668E-3</v>
      </c>
      <c r="N104" s="323">
        <f>(N103/M103)-1</f>
        <v>-1.9482692615492292E-3</v>
      </c>
      <c r="O104" s="349"/>
      <c r="P104" s="252"/>
      <c r="Q104" s="252"/>
      <c r="R104" s="252"/>
      <c r="S104" s="252"/>
      <c r="T104" s="252"/>
      <c r="U104" s="252"/>
      <c r="V104" s="252"/>
      <c r="W104" s="252"/>
      <c r="X104" s="252"/>
      <c r="Y104" s="252"/>
      <c r="AM104" s="234"/>
    </row>
    <row r="105" spans="1:39" s="185" customFormat="1" x14ac:dyDescent="0.2">
      <c r="A105" s="169" t="s">
        <v>279</v>
      </c>
      <c r="B105" s="35" t="s">
        <v>274</v>
      </c>
      <c r="C105" s="35"/>
      <c r="D105" s="35"/>
      <c r="F105" s="207"/>
      <c r="G105" s="207"/>
      <c r="H105" s="207"/>
      <c r="I105" s="207"/>
      <c r="J105" s="200"/>
      <c r="K105" s="200"/>
      <c r="L105" s="200"/>
      <c r="M105" s="301"/>
      <c r="N105" s="302"/>
      <c r="O105" s="323">
        <v>1.26159941611927E-2</v>
      </c>
      <c r="P105" s="196">
        <v>1.0914332784184499E-2</v>
      </c>
      <c r="Q105" s="196">
        <v>7.1297616622529904E-3</v>
      </c>
      <c r="R105" s="196">
        <v>4.9049352750809598E-3</v>
      </c>
      <c r="S105" s="196">
        <v>4.8306747848840797E-3</v>
      </c>
      <c r="T105" s="196">
        <v>3.5054334218038701E-3</v>
      </c>
      <c r="U105" s="196">
        <v>2.14581565946403E-3</v>
      </c>
      <c r="V105" s="196">
        <v>7.9673339308827796E-4</v>
      </c>
      <c r="W105" s="196">
        <v>3.9804955716982198E-4</v>
      </c>
      <c r="X105" s="196">
        <v>1.1439371331942701E-3</v>
      </c>
      <c r="Y105" s="196">
        <v>8.9423220229512001E-4</v>
      </c>
      <c r="Z105" s="185">
        <v>8.4379808408208102E-4</v>
      </c>
      <c r="AM105" s="234"/>
    </row>
    <row r="106" spans="1:39" s="35" customFormat="1" x14ac:dyDescent="0.2">
      <c r="A106" s="35" t="s">
        <v>391</v>
      </c>
      <c r="B106" s="35" t="s">
        <v>274</v>
      </c>
      <c r="C106" t="s">
        <v>311</v>
      </c>
      <c r="D106"/>
      <c r="F106" s="197"/>
      <c r="G106" s="197"/>
      <c r="H106" s="197"/>
      <c r="I106" s="197"/>
      <c r="J106" s="197">
        <v>2357.4</v>
      </c>
      <c r="K106" s="197">
        <v>2381.6</v>
      </c>
      <c r="L106" s="197">
        <v>2334.5</v>
      </c>
      <c r="M106" s="301">
        <v>2329.605</v>
      </c>
      <c r="N106" s="301">
        <f>VLOOKUP($C$106,'Haver NA'!$A$1:$J$34,10,0)/1000</f>
        <v>2341.7260000000001</v>
      </c>
      <c r="O106" s="301">
        <f>VLOOKUP($C$106,'Haver NA'!$A$1:$K$34,11,0)/1000</f>
        <v>2389.366</v>
      </c>
      <c r="P106">
        <v>2511.3882460388099</v>
      </c>
      <c r="Q106">
        <v>2543.4204311910298</v>
      </c>
      <c r="R106">
        <v>2569.93355741499</v>
      </c>
      <c r="S106">
        <v>2599.1521046822099</v>
      </c>
      <c r="T106">
        <v>2626.53096564002</v>
      </c>
      <c r="U106">
        <v>2651.2044055545698</v>
      </c>
      <c r="V106">
        <v>2672.95599074239</v>
      </c>
      <c r="W106">
        <v>2693.9500580381</v>
      </c>
      <c r="X106">
        <v>2717.3248958518798</v>
      </c>
      <c r="Y106">
        <v>2740.4832999822002</v>
      </c>
      <c r="AM106" s="233"/>
    </row>
    <row r="107" spans="1:39" s="35" customFormat="1" x14ac:dyDescent="0.2">
      <c r="F107" s="197"/>
      <c r="G107" s="197"/>
      <c r="H107" s="197"/>
      <c r="I107" s="197"/>
      <c r="J107" s="197"/>
      <c r="K107" s="197"/>
      <c r="L107" s="197"/>
      <c r="M107" s="301"/>
      <c r="N107" s="301"/>
      <c r="O107" s="339">
        <f>N107*(1+O110)</f>
        <v>0</v>
      </c>
      <c r="P107">
        <f t="shared" ref="P107:S107" si="60">O107*(1+P110)</f>
        <v>0</v>
      </c>
      <c r="Q107">
        <f t="shared" si="60"/>
        <v>0</v>
      </c>
      <c r="R107">
        <f t="shared" si="60"/>
        <v>0</v>
      </c>
      <c r="S107">
        <f t="shared" si="60"/>
        <v>0</v>
      </c>
      <c r="T107">
        <f>S107*(1+T109)</f>
        <v>0</v>
      </c>
      <c r="U107">
        <f t="shared" ref="U107:V107" si="61">T107*(1+U109)</f>
        <v>0</v>
      </c>
      <c r="V107">
        <f t="shared" si="61"/>
        <v>0</v>
      </c>
      <c r="W107"/>
      <c r="X107"/>
      <c r="Y107"/>
      <c r="AM107" s="233"/>
    </row>
    <row r="108" spans="1:39" s="185" customFormat="1" x14ac:dyDescent="0.2">
      <c r="A108" s="169" t="s">
        <v>278</v>
      </c>
      <c r="B108" s="35"/>
      <c r="C108" s="35"/>
      <c r="D108" s="35"/>
      <c r="F108" s="200"/>
      <c r="G108" s="200"/>
      <c r="H108" s="200"/>
      <c r="I108" s="200"/>
      <c r="J108" s="200"/>
      <c r="K108" s="200">
        <f t="shared" ref="K108" si="62">(K106/J106)-1</f>
        <v>1.0265546788835067E-2</v>
      </c>
      <c r="L108" s="200">
        <f t="shared" ref="L108" si="63">(L106/K106)-1</f>
        <v>-1.9776620759153429E-2</v>
      </c>
      <c r="M108" s="302">
        <v>-8.3608921686818549E-3</v>
      </c>
      <c r="N108" s="323">
        <f>(((N106/M106))^4)-1</f>
        <v>2.0975105073546052E-2</v>
      </c>
      <c r="O108" s="349"/>
      <c r="P108" s="252"/>
      <c r="Q108" s="252"/>
      <c r="R108" s="252"/>
      <c r="S108" s="252"/>
      <c r="T108" s="252"/>
      <c r="U108" s="252"/>
      <c r="V108" s="252"/>
      <c r="W108" s="252"/>
      <c r="X108" s="252"/>
      <c r="Y108" s="252"/>
      <c r="AM108" s="234"/>
    </row>
    <row r="109" spans="1:39" s="185" customFormat="1" x14ac:dyDescent="0.2">
      <c r="A109" s="169" t="s">
        <v>279</v>
      </c>
      <c r="F109" s="207"/>
      <c r="G109" s="207"/>
      <c r="H109" s="207"/>
      <c r="I109" s="207"/>
      <c r="J109" s="207"/>
      <c r="K109" s="200"/>
      <c r="L109" s="200"/>
      <c r="M109" s="301"/>
      <c r="N109" s="302"/>
      <c r="O109" s="323">
        <v>9.408690138332787E-4</v>
      </c>
      <c r="P109" s="175">
        <v>9.1903906984696082E-3</v>
      </c>
      <c r="Q109" s="175">
        <v>7.4547841924690328E-3</v>
      </c>
      <c r="R109" s="175">
        <v>7.6518814378809807E-3</v>
      </c>
      <c r="S109" s="175">
        <v>8.511703592439579E-3</v>
      </c>
      <c r="T109" s="175">
        <v>9.0190724421828072E-3</v>
      </c>
      <c r="U109" s="175">
        <v>9.512485136741855E-3</v>
      </c>
      <c r="V109" s="175">
        <v>9.8290077576053125E-3</v>
      </c>
      <c r="W109" s="175">
        <v>1.0779069299762689E-2</v>
      </c>
      <c r="X109" s="175">
        <v>1.1818073295929432E-2</v>
      </c>
      <c r="Y109" s="175">
        <v>1.2112631744533475E-2</v>
      </c>
      <c r="Z109" s="175">
        <v>1.2395088591855785E-2</v>
      </c>
      <c r="AM109" s="234"/>
    </row>
    <row r="110" spans="1:39" s="185" customFormat="1" x14ac:dyDescent="0.2">
      <c r="A110" s="169" t="s">
        <v>361</v>
      </c>
      <c r="F110" s="207"/>
      <c r="G110" s="207"/>
      <c r="H110" s="207"/>
      <c r="I110" s="207"/>
      <c r="J110" s="207"/>
      <c r="K110" s="200"/>
      <c r="L110" s="200"/>
      <c r="M110" s="301"/>
      <c r="N110" s="302"/>
      <c r="O110" s="323">
        <v>2.5000000000000001E-3</v>
      </c>
      <c r="P110" s="175">
        <v>2.5000000000000001E-3</v>
      </c>
      <c r="Q110" s="175">
        <v>5.0000000000000001E-3</v>
      </c>
      <c r="R110" s="175">
        <v>7.4999999999999997E-3</v>
      </c>
      <c r="S110" s="175">
        <v>0.01</v>
      </c>
      <c r="T110" s="175"/>
      <c r="U110" s="175"/>
      <c r="V110" s="175"/>
      <c r="AM110" s="234"/>
    </row>
    <row r="111" spans="1:39" s="35" customFormat="1" x14ac:dyDescent="0.2">
      <c r="A111" s="35" t="s">
        <v>392</v>
      </c>
      <c r="F111" s="201">
        <f t="shared" ref="F111:L111" si="64">F97+F46-F93</f>
        <v>339220</v>
      </c>
      <c r="G111" s="201">
        <f t="shared" si="64"/>
        <v>334185</v>
      </c>
      <c r="H111" s="201">
        <f t="shared" si="64"/>
        <v>335532</v>
      </c>
      <c r="I111" s="201">
        <f t="shared" si="64"/>
        <v>344546</v>
      </c>
      <c r="J111" s="201">
        <f t="shared" si="64"/>
        <v>349558</v>
      </c>
      <c r="K111" s="201">
        <f t="shared" si="64"/>
        <v>343658</v>
      </c>
      <c r="L111" s="201">
        <f t="shared" si="64"/>
        <v>560584.66666666674</v>
      </c>
      <c r="M111" s="301">
        <v>528408</v>
      </c>
      <c r="N111" s="306">
        <f t="shared" ref="N111:Y111" si="65">N97+N46-N93</f>
        <v>352084</v>
      </c>
      <c r="O111" s="298">
        <f t="shared" si="65"/>
        <v>377160</v>
      </c>
      <c r="P111" s="215">
        <f>P97-P93</f>
        <v>328226.2732629471</v>
      </c>
      <c r="Q111" s="215">
        <f t="shared" ref="Q111:V111" si="66">Q97-Q93</f>
        <v>328955.6515238533</v>
      </c>
      <c r="R111" s="215">
        <f t="shared" si="66"/>
        <v>330055.18925216945</v>
      </c>
      <c r="S111" s="215">
        <f t="shared" si="66"/>
        <v>331532.23493387422</v>
      </c>
      <c r="T111" s="215">
        <f t="shared" si="66"/>
        <v>374958.62727356335</v>
      </c>
      <c r="U111" s="215">
        <f t="shared" si="66"/>
        <v>376390.51401443902</v>
      </c>
      <c r="V111" s="215">
        <f t="shared" si="66"/>
        <v>377884.12001138687</v>
      </c>
      <c r="W111" s="215">
        <f t="shared" si="65"/>
        <v>0</v>
      </c>
      <c r="X111" s="215">
        <f t="shared" si="65"/>
        <v>0</v>
      </c>
      <c r="Y111" s="215">
        <f t="shared" si="65"/>
        <v>0</v>
      </c>
      <c r="AM111" s="233"/>
    </row>
    <row r="112" spans="1:39" s="35" customFormat="1" x14ac:dyDescent="0.2">
      <c r="A112" s="141" t="s">
        <v>208</v>
      </c>
      <c r="B112" s="141"/>
      <c r="E112" s="141"/>
      <c r="F112" s="201">
        <f t="shared" ref="F112:L112" si="67">F100-F93</f>
        <v>200195</v>
      </c>
      <c r="G112" s="201">
        <f t="shared" si="67"/>
        <v>194843</v>
      </c>
      <c r="H112" s="201">
        <f t="shared" si="67"/>
        <v>195304</v>
      </c>
      <c r="I112" s="201">
        <f t="shared" si="67"/>
        <v>203441</v>
      </c>
      <c r="J112" s="201">
        <f t="shared" si="67"/>
        <v>208223</v>
      </c>
      <c r="K112" s="201">
        <f t="shared" si="67"/>
        <v>200667</v>
      </c>
      <c r="L112" s="201">
        <f t="shared" si="67"/>
        <v>156183</v>
      </c>
      <c r="M112" s="301">
        <v>197631</v>
      </c>
      <c r="N112" s="306">
        <f>N100-N93</f>
        <v>170235</v>
      </c>
      <c r="O112" s="298">
        <f t="shared" ref="O112:Y112" si="68">O100-O93</f>
        <v>171256</v>
      </c>
      <c r="P112" s="142">
        <f t="shared" si="68"/>
        <v>182350.62108169706</v>
      </c>
      <c r="Q112" s="142">
        <f t="shared" si="68"/>
        <v>182350.62108169706</v>
      </c>
      <c r="R112" s="142">
        <f t="shared" si="68"/>
        <v>182350.62108169706</v>
      </c>
      <c r="S112" s="142">
        <f t="shared" si="68"/>
        <v>182350.62108169706</v>
      </c>
      <c r="T112" s="142">
        <f t="shared" si="68"/>
        <v>224431.53363901173</v>
      </c>
      <c r="U112" s="142">
        <f t="shared" si="68"/>
        <v>224431.53363901173</v>
      </c>
      <c r="V112" s="142">
        <f t="shared" si="68"/>
        <v>224431.53363901173</v>
      </c>
      <c r="W112" s="142">
        <f t="shared" si="68"/>
        <v>0</v>
      </c>
      <c r="X112" s="142">
        <f t="shared" si="68"/>
        <v>0</v>
      </c>
      <c r="Y112" s="142">
        <f t="shared" si="68"/>
        <v>0</v>
      </c>
      <c r="AM112" s="233"/>
    </row>
    <row r="113" spans="1:39" s="141" customFormat="1" x14ac:dyDescent="0.2">
      <c r="A113" s="141" t="s">
        <v>225</v>
      </c>
      <c r="C113" s="35"/>
      <c r="D113" s="35"/>
      <c r="F113" s="201">
        <f t="shared" ref="F113:K113" si="69">F111-F112</f>
        <v>139025</v>
      </c>
      <c r="G113" s="201">
        <f t="shared" si="69"/>
        <v>139342</v>
      </c>
      <c r="H113" s="201">
        <f t="shared" si="69"/>
        <v>140228</v>
      </c>
      <c r="I113" s="201">
        <f t="shared" si="69"/>
        <v>141105</v>
      </c>
      <c r="J113" s="201">
        <f t="shared" si="69"/>
        <v>141335</v>
      </c>
      <c r="K113" s="201">
        <f t="shared" si="69"/>
        <v>142991</v>
      </c>
      <c r="L113" s="201">
        <f>L111-L112</f>
        <v>404401.66666666674</v>
      </c>
      <c r="M113" s="306">
        <v>330777</v>
      </c>
      <c r="N113" s="306">
        <f>N111-N112</f>
        <v>181849</v>
      </c>
      <c r="O113" s="298">
        <f t="shared" ref="O113:Y113" si="70">O111-O112</f>
        <v>205904</v>
      </c>
      <c r="P113" s="142">
        <f t="shared" si="70"/>
        <v>145875.65218125004</v>
      </c>
      <c r="Q113" s="142">
        <f t="shared" si="70"/>
        <v>146605.03044215625</v>
      </c>
      <c r="R113" s="142">
        <f t="shared" si="70"/>
        <v>147704.5681704724</v>
      </c>
      <c r="S113" s="142">
        <f t="shared" si="70"/>
        <v>149181.61385217716</v>
      </c>
      <c r="T113" s="142">
        <f t="shared" si="70"/>
        <v>150527.09363455162</v>
      </c>
      <c r="U113" s="142">
        <f t="shared" si="70"/>
        <v>151958.98037542729</v>
      </c>
      <c r="V113" s="142">
        <f t="shared" si="70"/>
        <v>153452.58637237514</v>
      </c>
      <c r="W113" s="142">
        <f t="shared" si="70"/>
        <v>0</v>
      </c>
      <c r="X113" s="142">
        <f t="shared" si="70"/>
        <v>0</v>
      </c>
      <c r="Y113" s="142">
        <f t="shared" si="70"/>
        <v>0</v>
      </c>
      <c r="AM113" s="256"/>
    </row>
    <row r="114" spans="1:39" s="35" customFormat="1" x14ac:dyDescent="0.2">
      <c r="A114"/>
      <c r="F114" s="213"/>
      <c r="G114" s="213"/>
      <c r="H114" s="213"/>
      <c r="I114" s="213"/>
      <c r="J114" s="213"/>
      <c r="K114" s="213"/>
      <c r="L114" s="135"/>
      <c r="M114" s="135"/>
      <c r="N114" s="94"/>
      <c r="O114" s="94"/>
      <c r="P114" s="94"/>
      <c r="Q114" s="94"/>
      <c r="R114" s="94"/>
      <c r="S114" s="94"/>
      <c r="T114" s="94"/>
      <c r="U114" s="94"/>
      <c r="V114"/>
      <c r="AM114" s="233"/>
    </row>
    <row r="115" spans="1:39" s="185" customFormat="1" x14ac:dyDescent="0.2">
      <c r="A115" s="169"/>
      <c r="F115" s="193"/>
      <c r="G115" s="193"/>
      <c r="H115" s="193"/>
      <c r="I115" s="193"/>
      <c r="J115" s="193"/>
      <c r="K115" s="193"/>
      <c r="L115" s="193"/>
      <c r="M115" s="214"/>
      <c r="N115" s="193"/>
      <c r="O115" s="193"/>
      <c r="P115" s="193"/>
      <c r="Q115" s="193"/>
      <c r="R115" s="193"/>
      <c r="S115" s="193"/>
      <c r="T115" s="193"/>
      <c r="U115" s="193"/>
      <c r="AM115" s="234"/>
    </row>
    <row r="116" spans="1:39" x14ac:dyDescent="0.2">
      <c r="A116" t="s">
        <v>157</v>
      </c>
      <c r="L116" s="35"/>
      <c r="M116" s="35"/>
      <c r="N116" s="35"/>
      <c r="O116" s="35"/>
      <c r="P116" s="35"/>
      <c r="Q116" s="35"/>
      <c r="R116" s="35"/>
      <c r="S116" s="35"/>
      <c r="T116" s="35"/>
      <c r="U116" s="35"/>
      <c r="V116" s="35"/>
      <c r="X116" s="35"/>
      <c r="Y116" s="35"/>
      <c r="Z116" s="35"/>
      <c r="AA116" s="35"/>
      <c r="AB116" s="35"/>
      <c r="AC116" s="35"/>
      <c r="AD116" s="35"/>
      <c r="AE116" s="35"/>
      <c r="AF116" s="35"/>
      <c r="AG116" s="35"/>
      <c r="AH116" s="35"/>
      <c r="AI116" s="35"/>
    </row>
    <row r="117" spans="1:39" x14ac:dyDescent="0.2">
      <c r="L117" s="35"/>
      <c r="M117" s="35"/>
      <c r="N117" s="35"/>
      <c r="O117" s="35"/>
      <c r="P117" s="35"/>
      <c r="Q117" s="35"/>
      <c r="R117" s="35"/>
      <c r="S117" s="35"/>
      <c r="T117" s="35"/>
      <c r="U117" s="35"/>
      <c r="V117" s="35"/>
      <c r="X117" s="35"/>
      <c r="Y117" s="35"/>
      <c r="Z117" s="35"/>
      <c r="AA117" s="35"/>
      <c r="AB117" s="35"/>
      <c r="AC117" s="35"/>
      <c r="AD117" s="35"/>
      <c r="AE117" s="35"/>
      <c r="AF117" s="35"/>
      <c r="AG117" s="35"/>
      <c r="AH117" s="35"/>
      <c r="AI117" s="35"/>
    </row>
    <row r="118" spans="1:39" x14ac:dyDescent="0.2">
      <c r="L118" s="35"/>
      <c r="M118" s="35"/>
      <c r="N118" s="35"/>
      <c r="O118" s="35"/>
      <c r="P118" s="35"/>
      <c r="Q118" s="35"/>
      <c r="R118" s="35"/>
      <c r="S118" s="35"/>
      <c r="T118" s="35"/>
      <c r="U118" s="35"/>
      <c r="V118" s="35"/>
      <c r="X118" s="35"/>
      <c r="Y118" s="35"/>
      <c r="Z118" s="35"/>
      <c r="AA118" s="35"/>
      <c r="AB118" s="35"/>
      <c r="AC118" s="35"/>
      <c r="AD118" s="35"/>
      <c r="AE118" s="35"/>
      <c r="AF118" s="35"/>
      <c r="AG118" s="35"/>
      <c r="AH118" s="35"/>
      <c r="AI118" s="35"/>
    </row>
    <row r="119" spans="1:39" x14ac:dyDescent="0.2">
      <c r="L119" s="35"/>
      <c r="M119" s="35"/>
      <c r="N119" s="35"/>
      <c r="O119" s="35"/>
      <c r="P119" s="35"/>
      <c r="Q119" s="35"/>
      <c r="R119" s="35"/>
      <c r="S119" s="35"/>
      <c r="T119" s="35"/>
      <c r="U119" s="35"/>
      <c r="V119" s="35"/>
      <c r="X119" s="35"/>
      <c r="Y119" s="35"/>
      <c r="Z119" s="35"/>
      <c r="AA119" s="35"/>
      <c r="AB119" s="35"/>
      <c r="AC119" s="35"/>
      <c r="AD119" s="35"/>
      <c r="AE119" s="35"/>
      <c r="AF119" s="35"/>
      <c r="AG119" s="35"/>
      <c r="AH119" s="35"/>
      <c r="AI119" s="35"/>
    </row>
    <row r="120" spans="1:39" x14ac:dyDescent="0.2">
      <c r="L120" s="35"/>
      <c r="M120" s="35"/>
      <c r="N120" s="35"/>
      <c r="O120" s="35"/>
      <c r="P120" s="35"/>
      <c r="Q120" s="35"/>
      <c r="R120" s="35"/>
      <c r="S120" s="35"/>
      <c r="T120" s="35"/>
      <c r="U120" s="35"/>
      <c r="V120" s="35"/>
      <c r="X120" s="35"/>
      <c r="Y120" s="35"/>
      <c r="Z120" s="35"/>
      <c r="AA120" s="35"/>
      <c r="AB120" s="35"/>
      <c r="AC120" s="35"/>
      <c r="AD120" s="35"/>
      <c r="AE120" s="35"/>
      <c r="AF120" s="35"/>
      <c r="AG120" s="35"/>
      <c r="AH120" s="35"/>
      <c r="AI120" s="35"/>
    </row>
    <row r="121" spans="1:39" x14ac:dyDescent="0.2">
      <c r="L121" s="35"/>
      <c r="M121" s="35"/>
      <c r="N121" s="35"/>
      <c r="O121" s="35"/>
      <c r="P121" s="35"/>
      <c r="Q121" s="35"/>
      <c r="R121" s="35"/>
      <c r="S121" s="35"/>
      <c r="T121" s="35"/>
      <c r="U121" s="35"/>
      <c r="V121" s="35"/>
      <c r="X121" s="35"/>
      <c r="Y121" s="35"/>
      <c r="Z121" s="35"/>
      <c r="AA121" s="35"/>
      <c r="AB121" s="35"/>
      <c r="AC121" s="35"/>
      <c r="AD121" s="35"/>
      <c r="AE121" s="35"/>
      <c r="AF121" s="35"/>
      <c r="AG121" s="35"/>
      <c r="AH121" s="35"/>
      <c r="AI121" s="35"/>
    </row>
  </sheetData>
  <mergeCells count="12">
    <mergeCell ref="A4:B4"/>
    <mergeCell ref="F2:I2"/>
    <mergeCell ref="A1:B1"/>
    <mergeCell ref="AM1:AP1"/>
    <mergeCell ref="J2:M2"/>
    <mergeCell ref="N2:Q2"/>
    <mergeCell ref="R2:U2"/>
    <mergeCell ref="AI1:AL1"/>
    <mergeCell ref="V2:Y2"/>
    <mergeCell ref="AC2:AL2"/>
    <mergeCell ref="AE1:AF1"/>
    <mergeCell ref="AC1:AD1"/>
  </mergeCells>
  <pageMargins left="0.7" right="0.7" top="0.75" bottom="0.75" header="0.3" footer="0.3"/>
  <pageSetup orientation="portrait" r:id="rId1"/>
  <ignoredErrors>
    <ignoredError sqref="AC21 AC17:AC18 AC12 AC14:AC15" formulaRange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39CCE-42A9-4A07-8071-0CF6958B7C48}">
  <dimension ref="A1:J16"/>
  <sheetViews>
    <sheetView topLeftCell="A6" workbookViewId="0">
      <selection activeCell="B19" sqref="B19"/>
    </sheetView>
  </sheetViews>
  <sheetFormatPr baseColWidth="10" defaultColWidth="8.83203125" defaultRowHeight="15" x14ac:dyDescent="0.2"/>
  <cols>
    <col min="1" max="1" width="24.6640625" customWidth="1"/>
  </cols>
  <sheetData>
    <row r="1" spans="1:10" x14ac:dyDescent="0.2">
      <c r="B1" t="s">
        <v>373</v>
      </c>
      <c r="C1" t="s">
        <v>374</v>
      </c>
      <c r="D1" t="s">
        <v>375</v>
      </c>
      <c r="E1" t="s">
        <v>376</v>
      </c>
      <c r="F1" t="s">
        <v>116</v>
      </c>
      <c r="G1" t="s">
        <v>378</v>
      </c>
      <c r="H1" t="s">
        <v>379</v>
      </c>
      <c r="I1" t="s">
        <v>380</v>
      </c>
      <c r="J1" t="s">
        <v>381</v>
      </c>
    </row>
    <row r="2" spans="1:10" x14ac:dyDescent="0.2">
      <c r="A2" t="s">
        <v>377</v>
      </c>
      <c r="B2">
        <v>2</v>
      </c>
      <c r="C2">
        <v>91</v>
      </c>
      <c r="D2">
        <v>86</v>
      </c>
      <c r="E2">
        <f>261-SUM(B2:D2)</f>
        <v>82</v>
      </c>
    </row>
    <row r="4" spans="1:10" x14ac:dyDescent="0.2">
      <c r="A4" t="s">
        <v>373</v>
      </c>
      <c r="B4">
        <f>$B2/6</f>
        <v>0.33333333333333331</v>
      </c>
      <c r="C4">
        <f t="shared" ref="C4:G4" si="0">$B2/6</f>
        <v>0.33333333333333331</v>
      </c>
      <c r="D4">
        <f t="shared" si="0"/>
        <v>0.33333333333333331</v>
      </c>
      <c r="E4">
        <f t="shared" si="0"/>
        <v>0.33333333333333331</v>
      </c>
      <c r="F4">
        <f t="shared" si="0"/>
        <v>0.33333333333333331</v>
      </c>
      <c r="G4">
        <f t="shared" si="0"/>
        <v>0.33333333333333331</v>
      </c>
    </row>
    <row r="5" spans="1:10" x14ac:dyDescent="0.2">
      <c r="A5" t="s">
        <v>374</v>
      </c>
      <c r="C5">
        <f>$C2/6</f>
        <v>15.166666666666666</v>
      </c>
      <c r="D5">
        <f t="shared" ref="D5:H5" si="1">$C2/6</f>
        <v>15.166666666666666</v>
      </c>
      <c r="E5">
        <f t="shared" si="1"/>
        <v>15.166666666666666</v>
      </c>
      <c r="F5">
        <f t="shared" si="1"/>
        <v>15.166666666666666</v>
      </c>
      <c r="G5">
        <f t="shared" si="1"/>
        <v>15.166666666666666</v>
      </c>
      <c r="H5">
        <f t="shared" si="1"/>
        <v>15.166666666666666</v>
      </c>
    </row>
    <row r="6" spans="1:10" x14ac:dyDescent="0.2">
      <c r="A6" t="s">
        <v>375</v>
      </c>
      <c r="D6">
        <f>$D2/6</f>
        <v>14.333333333333334</v>
      </c>
      <c r="E6">
        <f t="shared" ref="E6:I6" si="2">$D2/6</f>
        <v>14.333333333333334</v>
      </c>
      <c r="F6">
        <f t="shared" si="2"/>
        <v>14.333333333333334</v>
      </c>
      <c r="G6">
        <f t="shared" si="2"/>
        <v>14.333333333333334</v>
      </c>
      <c r="H6">
        <f t="shared" si="2"/>
        <v>14.333333333333334</v>
      </c>
      <c r="I6">
        <f t="shared" si="2"/>
        <v>14.333333333333334</v>
      </c>
    </row>
    <row r="7" spans="1:10" x14ac:dyDescent="0.2">
      <c r="A7" t="s">
        <v>376</v>
      </c>
      <c r="E7">
        <f>$E2/6</f>
        <v>13.666666666666666</v>
      </c>
      <c r="F7">
        <f t="shared" ref="F7:J7" si="3">$E2/6</f>
        <v>13.666666666666666</v>
      </c>
      <c r="G7">
        <f t="shared" si="3"/>
        <v>13.666666666666666</v>
      </c>
      <c r="H7">
        <f t="shared" si="3"/>
        <v>13.666666666666666</v>
      </c>
      <c r="I7">
        <f t="shared" si="3"/>
        <v>13.666666666666666</v>
      </c>
      <c r="J7">
        <f t="shared" si="3"/>
        <v>13.666666666666666</v>
      </c>
    </row>
    <row r="9" spans="1:10" x14ac:dyDescent="0.2">
      <c r="A9" t="s">
        <v>33</v>
      </c>
      <c r="B9">
        <f>SUM(B4:B7)</f>
        <v>0.33333333333333331</v>
      </c>
      <c r="C9">
        <f t="shared" ref="C9:J9" si="4">SUM(C4:C7)</f>
        <v>15.5</v>
      </c>
      <c r="D9">
        <f t="shared" si="4"/>
        <v>29.833333333333336</v>
      </c>
      <c r="E9">
        <f t="shared" si="4"/>
        <v>43.5</v>
      </c>
      <c r="F9">
        <f t="shared" si="4"/>
        <v>43.5</v>
      </c>
      <c r="G9">
        <f t="shared" si="4"/>
        <v>43.5</v>
      </c>
      <c r="H9">
        <f t="shared" si="4"/>
        <v>43.166666666666664</v>
      </c>
      <c r="I9">
        <f t="shared" si="4"/>
        <v>28</v>
      </c>
      <c r="J9">
        <f t="shared" si="4"/>
        <v>13.666666666666666</v>
      </c>
    </row>
    <row r="11" spans="1:10" x14ac:dyDescent="0.2">
      <c r="B11" t="s">
        <v>109</v>
      </c>
      <c r="C11" t="s">
        <v>110</v>
      </c>
      <c r="D11" t="s">
        <v>111</v>
      </c>
      <c r="E11" t="s">
        <v>134</v>
      </c>
    </row>
    <row r="12" spans="1:10" x14ac:dyDescent="0.2">
      <c r="A12" t="s">
        <v>383</v>
      </c>
      <c r="B12">
        <f>SUM(B9:D9)*4</f>
        <v>182.66666666666669</v>
      </c>
      <c r="C12">
        <f>SUM(E9:G9)*4</f>
        <v>522</v>
      </c>
      <c r="D12">
        <f>SUM(H9:J9)*4</f>
        <v>339.33333333333331</v>
      </c>
    </row>
    <row r="13" spans="1:10" ht="96" customHeight="1" x14ac:dyDescent="0.2">
      <c r="A13" s="86" t="s">
        <v>382</v>
      </c>
      <c r="B13">
        <f>B12*325/261</f>
        <v>227.45849297573437</v>
      </c>
      <c r="C13">
        <f t="shared" ref="C13:D13" si="5">C12*325/261</f>
        <v>650</v>
      </c>
      <c r="D13">
        <f t="shared" si="5"/>
        <v>422.54150702426563</v>
      </c>
    </row>
    <row r="14" spans="1:10" x14ac:dyDescent="0.2">
      <c r="A14" t="s">
        <v>384</v>
      </c>
      <c r="B14">
        <f>SUM(B2:D2)*4</f>
        <v>716</v>
      </c>
      <c r="C14">
        <f>E2*4</f>
        <v>328</v>
      </c>
    </row>
    <row r="15" spans="1:10" x14ac:dyDescent="0.2">
      <c r="A15" t="s">
        <v>385</v>
      </c>
      <c r="B15">
        <f>B14*325/261</f>
        <v>891.57088122605364</v>
      </c>
      <c r="C15">
        <f>C14*325/261</f>
        <v>408.42911877394636</v>
      </c>
    </row>
    <row r="16" spans="1:10" x14ac:dyDescent="0.2">
      <c r="B16" t="s">
        <v>386</v>
      </c>
    </row>
  </sheetData>
  <phoneticPr fontId="3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706B7-5C89-488A-A410-11679BA03DE7}">
  <dimension ref="A1:C21"/>
  <sheetViews>
    <sheetView workbookViewId="0">
      <selection activeCell="C18" sqref="C18"/>
    </sheetView>
  </sheetViews>
  <sheetFormatPr baseColWidth="10" defaultColWidth="8.83203125" defaultRowHeight="15" x14ac:dyDescent="0.2"/>
  <cols>
    <col min="1" max="1" width="25.5" bestFit="1" customWidth="1"/>
    <col min="2" max="2" width="8" bestFit="1" customWidth="1"/>
    <col min="3" max="3" width="11.1640625" bestFit="1" customWidth="1"/>
  </cols>
  <sheetData>
    <row r="1" spans="1:3" x14ac:dyDescent="0.2">
      <c r="A1" s="97" t="s">
        <v>345</v>
      </c>
      <c r="B1" s="97" t="s">
        <v>346</v>
      </c>
      <c r="C1" s="97" t="s">
        <v>347</v>
      </c>
    </row>
    <row r="2" spans="1:3" x14ac:dyDescent="0.2">
      <c r="A2" s="289" t="s">
        <v>349</v>
      </c>
      <c r="B2" s="289">
        <v>325</v>
      </c>
      <c r="C2" s="290">
        <f>B2*1000</f>
        <v>325000</v>
      </c>
    </row>
    <row r="3" spans="1:3" x14ac:dyDescent="0.2">
      <c r="A3" s="289" t="s">
        <v>350</v>
      </c>
      <c r="B3" s="289">
        <v>120</v>
      </c>
      <c r="C3" s="290">
        <f t="shared" ref="C3:C20" si="0">B3*1000</f>
        <v>120000</v>
      </c>
    </row>
    <row r="4" spans="1:3" x14ac:dyDescent="0.2">
      <c r="A4" s="289" t="s">
        <v>19</v>
      </c>
      <c r="B4" s="289">
        <v>166</v>
      </c>
      <c r="C4" s="290">
        <f t="shared" si="0"/>
        <v>166000</v>
      </c>
    </row>
    <row r="5" spans="1:3" x14ac:dyDescent="0.2">
      <c r="A5" s="289" t="s">
        <v>196</v>
      </c>
      <c r="B5" s="289">
        <v>82</v>
      </c>
      <c r="C5" s="290">
        <f t="shared" si="0"/>
        <v>82000</v>
      </c>
    </row>
    <row r="6" spans="1:3" x14ac:dyDescent="0.2">
      <c r="A6" s="289" t="s">
        <v>351</v>
      </c>
      <c r="B6" s="289">
        <v>63</v>
      </c>
      <c r="C6" s="290">
        <f t="shared" si="0"/>
        <v>63000</v>
      </c>
    </row>
    <row r="7" spans="1:3" x14ac:dyDescent="0.2">
      <c r="A7" s="291" t="s">
        <v>342</v>
      </c>
      <c r="B7">
        <v>22</v>
      </c>
      <c r="C7" s="290">
        <f>B7*1000</f>
        <v>22000</v>
      </c>
    </row>
    <row r="8" spans="1:3" x14ac:dyDescent="0.2">
      <c r="A8" s="176" t="s">
        <v>343</v>
      </c>
      <c r="B8">
        <v>20</v>
      </c>
      <c r="C8" s="290">
        <f>B8*1000</f>
        <v>20000</v>
      </c>
    </row>
    <row r="9" spans="1:3" x14ac:dyDescent="0.2">
      <c r="A9" s="176" t="s">
        <v>344</v>
      </c>
      <c r="B9">
        <v>9</v>
      </c>
      <c r="C9" s="290">
        <f>B9*1000</f>
        <v>9000</v>
      </c>
    </row>
    <row r="10" spans="1:3" x14ac:dyDescent="0.2">
      <c r="A10" s="291" t="s">
        <v>57</v>
      </c>
      <c r="B10" s="289">
        <f>B6-SUM(B7:B9)</f>
        <v>12</v>
      </c>
      <c r="C10" s="290">
        <f t="shared" si="0"/>
        <v>12000</v>
      </c>
    </row>
    <row r="11" spans="1:3" x14ac:dyDescent="0.2">
      <c r="A11" s="292" t="s">
        <v>352</v>
      </c>
      <c r="B11" s="289">
        <v>45</v>
      </c>
      <c r="C11" s="290">
        <f t="shared" si="0"/>
        <v>45000</v>
      </c>
    </row>
    <row r="12" spans="1:3" x14ac:dyDescent="0.2">
      <c r="A12" s="291" t="s">
        <v>353</v>
      </c>
      <c r="B12" s="289">
        <v>16</v>
      </c>
      <c r="C12" s="290">
        <f t="shared" si="0"/>
        <v>16000</v>
      </c>
    </row>
    <row r="13" spans="1:3" x14ac:dyDescent="0.2">
      <c r="A13" s="291" t="s">
        <v>57</v>
      </c>
      <c r="B13" s="289">
        <f>B11-B12</f>
        <v>29</v>
      </c>
      <c r="C13" s="290">
        <f t="shared" si="0"/>
        <v>29000</v>
      </c>
    </row>
    <row r="14" spans="1:3" x14ac:dyDescent="0.2">
      <c r="A14" s="292" t="s">
        <v>354</v>
      </c>
      <c r="B14" s="289">
        <v>80</v>
      </c>
      <c r="C14" s="290">
        <f t="shared" si="0"/>
        <v>80000</v>
      </c>
    </row>
    <row r="15" spans="1:3" x14ac:dyDescent="0.2">
      <c r="A15" s="291" t="s">
        <v>337</v>
      </c>
      <c r="B15" s="289">
        <v>26</v>
      </c>
      <c r="C15" s="290">
        <f t="shared" si="0"/>
        <v>26000</v>
      </c>
    </row>
    <row r="16" spans="1:3" x14ac:dyDescent="0.2">
      <c r="A16" s="291" t="s">
        <v>57</v>
      </c>
      <c r="B16">
        <f>B14-B15</f>
        <v>54</v>
      </c>
      <c r="C16" s="290">
        <f t="shared" si="0"/>
        <v>54000</v>
      </c>
    </row>
    <row r="17" spans="1:3" x14ac:dyDescent="0.2">
      <c r="A17" s="292" t="s">
        <v>355</v>
      </c>
      <c r="B17">
        <v>30</v>
      </c>
      <c r="C17" s="290">
        <f t="shared" si="0"/>
        <v>30000</v>
      </c>
    </row>
    <row r="18" spans="1:3" x14ac:dyDescent="0.2">
      <c r="A18" s="291" t="s">
        <v>356</v>
      </c>
      <c r="B18">
        <v>20</v>
      </c>
      <c r="C18" s="290">
        <f t="shared" si="0"/>
        <v>20000</v>
      </c>
    </row>
    <row r="19" spans="1:3" x14ac:dyDescent="0.2">
      <c r="A19" s="291" t="s">
        <v>357</v>
      </c>
      <c r="B19">
        <v>5</v>
      </c>
      <c r="C19" s="290">
        <f t="shared" si="0"/>
        <v>5000</v>
      </c>
    </row>
    <row r="20" spans="1:3" ht="16" thickBot="1" x14ac:dyDescent="0.25">
      <c r="A20" s="293" t="s">
        <v>358</v>
      </c>
      <c r="B20" s="294">
        <v>5</v>
      </c>
      <c r="C20" s="295">
        <f t="shared" si="0"/>
        <v>5000</v>
      </c>
    </row>
    <row r="21" spans="1:3" x14ac:dyDescent="0.2">
      <c r="A21" s="292" t="s">
        <v>33</v>
      </c>
      <c r="B21">
        <f>B2+B3+B4+B5+B6+B11+B14+B17</f>
        <v>911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6A688-71E8-4308-9AE6-7C668128D989}">
  <dimension ref="A1:AX73"/>
  <sheetViews>
    <sheetView tabSelected="1" zoomScale="125" zoomScaleNormal="130" workbookViewId="0">
      <pane xSplit="2" ySplit="8" topLeftCell="C22" activePane="bottomRight" state="frozen"/>
      <selection pane="topRight" activeCell="C1" sqref="C1"/>
      <selection pane="bottomLeft" activeCell="A9" sqref="A9"/>
      <selection pane="bottomRight" activeCell="I29" sqref="I29"/>
    </sheetView>
  </sheetViews>
  <sheetFormatPr baseColWidth="10" defaultColWidth="8.83203125" defaultRowHeight="15" x14ac:dyDescent="0.2"/>
  <cols>
    <col min="2" max="2" width="23.6640625" customWidth="1"/>
    <col min="4" max="4" width="10.33203125" bestFit="1" customWidth="1"/>
    <col min="5" max="6" width="9.33203125" bestFit="1" customWidth="1"/>
    <col min="7" max="7" width="9.1640625" style="146" customWidth="1"/>
    <col min="8" max="10" width="9.33203125" style="95" bestFit="1" customWidth="1"/>
    <col min="11" max="11" width="9.33203125" style="146" bestFit="1" customWidth="1"/>
    <col min="13" max="14" width="8.6640625" customWidth="1"/>
    <col min="15" max="15" width="8.6640625" style="146"/>
    <col min="19" max="19" width="8.6640625" style="146"/>
    <col min="23" max="23" width="8.6640625" style="146"/>
    <col min="27" max="27" width="8.6640625" style="146"/>
  </cols>
  <sheetData>
    <row r="1" spans="1:50" ht="19" x14ac:dyDescent="0.25">
      <c r="A1" s="360" t="s">
        <v>203</v>
      </c>
      <c r="B1" s="361"/>
      <c r="C1" s="35"/>
      <c r="H1"/>
      <c r="I1" s="240"/>
      <c r="J1" s="368" t="s">
        <v>273</v>
      </c>
      <c r="V1" s="352"/>
      <c r="W1" s="352"/>
      <c r="X1" s="352"/>
      <c r="Y1" s="352"/>
    </row>
    <row r="2" spans="1:50" x14ac:dyDescent="0.2">
      <c r="A2" s="362" t="s">
        <v>189</v>
      </c>
      <c r="B2" s="126"/>
      <c r="C2" t="s">
        <v>190</v>
      </c>
      <c r="I2" s="241"/>
      <c r="J2" s="368"/>
    </row>
    <row r="3" spans="1:50" x14ac:dyDescent="0.2">
      <c r="A3" s="363"/>
      <c r="B3" s="127"/>
      <c r="C3" t="s">
        <v>191</v>
      </c>
      <c r="I3" s="241"/>
      <c r="J3" s="368"/>
    </row>
    <row r="4" spans="1:50" x14ac:dyDescent="0.2">
      <c r="A4" s="363"/>
      <c r="B4" s="128"/>
      <c r="C4" t="s">
        <v>192</v>
      </c>
    </row>
    <row r="5" spans="1:50" x14ac:dyDescent="0.2">
      <c r="A5" s="364"/>
      <c r="B5" s="129"/>
      <c r="C5" t="s">
        <v>179</v>
      </c>
    </row>
    <row r="7" spans="1:50" x14ac:dyDescent="0.2">
      <c r="C7" s="365" t="s">
        <v>159</v>
      </c>
      <c r="D7" s="366"/>
      <c r="E7" s="366"/>
      <c r="F7" s="367"/>
      <c r="G7" s="365" t="s">
        <v>163</v>
      </c>
      <c r="H7" s="366"/>
      <c r="I7" s="366"/>
      <c r="J7" s="367"/>
      <c r="K7" s="365" t="s">
        <v>174</v>
      </c>
      <c r="L7" s="366"/>
      <c r="M7" s="366"/>
      <c r="N7" s="366"/>
      <c r="O7" s="365" t="s">
        <v>264</v>
      </c>
      <c r="P7" s="366"/>
      <c r="Q7" s="366"/>
      <c r="R7" s="366"/>
      <c r="S7" s="365" t="s">
        <v>267</v>
      </c>
      <c r="T7" s="366"/>
      <c r="U7" s="366"/>
      <c r="V7" s="366"/>
      <c r="W7" s="365" t="s">
        <v>268</v>
      </c>
      <c r="X7" s="366"/>
      <c r="Y7" s="366"/>
      <c r="Z7" s="366"/>
      <c r="AA7" s="222" t="s">
        <v>269</v>
      </c>
    </row>
    <row r="8" spans="1:50" s="2" customFormat="1" x14ac:dyDescent="0.2">
      <c r="B8" s="2" t="s">
        <v>197</v>
      </c>
      <c r="C8" s="96" t="s">
        <v>5</v>
      </c>
      <c r="D8" s="96" t="s">
        <v>6</v>
      </c>
      <c r="E8" s="96" t="s">
        <v>7</v>
      </c>
      <c r="F8" s="96" t="s">
        <v>8</v>
      </c>
      <c r="G8" s="147" t="s">
        <v>5</v>
      </c>
      <c r="H8" s="96" t="s">
        <v>6</v>
      </c>
      <c r="I8" s="96" t="s">
        <v>7</v>
      </c>
      <c r="J8" s="96" t="s">
        <v>8</v>
      </c>
      <c r="K8" s="147" t="s">
        <v>5</v>
      </c>
      <c r="L8" s="96" t="s">
        <v>6</v>
      </c>
      <c r="M8" s="96" t="s">
        <v>7</v>
      </c>
      <c r="N8" s="96" t="s">
        <v>8</v>
      </c>
      <c r="O8" s="147" t="s">
        <v>5</v>
      </c>
      <c r="P8" s="96" t="s">
        <v>6</v>
      </c>
      <c r="Q8" s="96" t="s">
        <v>7</v>
      </c>
      <c r="R8" s="96" t="s">
        <v>8</v>
      </c>
      <c r="S8" s="147" t="s">
        <v>5</v>
      </c>
      <c r="T8" s="96" t="s">
        <v>6</v>
      </c>
      <c r="U8" s="96" t="s">
        <v>7</v>
      </c>
      <c r="V8" s="96" t="s">
        <v>8</v>
      </c>
      <c r="W8" s="147" t="s">
        <v>5</v>
      </c>
      <c r="X8" s="96" t="s">
        <v>6</v>
      </c>
      <c r="Y8" s="96" t="s">
        <v>7</v>
      </c>
      <c r="Z8" s="96" t="s">
        <v>8</v>
      </c>
      <c r="AA8" s="147" t="s">
        <v>5</v>
      </c>
    </row>
    <row r="9" spans="1:50" s="2" customFormat="1" ht="19" x14ac:dyDescent="0.25">
      <c r="A9" s="106" t="s">
        <v>162</v>
      </c>
      <c r="B9" s="106"/>
      <c r="C9" s="78"/>
      <c r="D9" s="78"/>
      <c r="E9" s="78"/>
      <c r="F9" s="78"/>
      <c r="G9" s="148"/>
      <c r="H9" s="78"/>
      <c r="I9" s="78"/>
      <c r="J9" s="78"/>
      <c r="K9" s="152"/>
      <c r="L9" s="78"/>
      <c r="M9" s="78"/>
      <c r="N9" s="78"/>
      <c r="O9" s="148"/>
      <c r="S9" s="148"/>
      <c r="W9" s="148"/>
      <c r="AA9" s="148"/>
    </row>
    <row r="10" spans="1:50" ht="16" x14ac:dyDescent="0.2">
      <c r="B10" s="86" t="s">
        <v>168</v>
      </c>
      <c r="D10">
        <v>200.67099999999999</v>
      </c>
      <c r="E10">
        <v>156.16</v>
      </c>
      <c r="F10">
        <v>197.62799999999999</v>
      </c>
      <c r="G10">
        <v>170.20699999999999</v>
      </c>
      <c r="H10">
        <v>171.23699999999999</v>
      </c>
      <c r="I10">
        <v>175.56274099593</v>
      </c>
      <c r="J10">
        <v>179.888481991861</v>
      </c>
      <c r="K10">
        <v>180.49888383554401</v>
      </c>
      <c r="L10">
        <v>181.10928567922701</v>
      </c>
      <c r="M10">
        <v>181.71968752290999</v>
      </c>
      <c r="N10">
        <v>182.330089366593</v>
      </c>
      <c r="O10">
        <v>180.35508255879</v>
      </c>
      <c r="P10">
        <v>178.38007575098601</v>
      </c>
      <c r="Q10">
        <v>176.40506894318301</v>
      </c>
      <c r="R10">
        <v>174.43006213537899</v>
      </c>
      <c r="S10">
        <v>175.461672281072</v>
      </c>
      <c r="T10">
        <v>176.49328242676501</v>
      </c>
      <c r="U10">
        <v>177.52489257245799</v>
      </c>
      <c r="V10">
        <v>178.55650271815099</v>
      </c>
      <c r="W10">
        <v>181.209999767016</v>
      </c>
      <c r="X10">
        <v>183.86349681588001</v>
      </c>
      <c r="Y10">
        <v>186.51699386474499</v>
      </c>
      <c r="Z10">
        <v>189.170490913609</v>
      </c>
      <c r="AA10">
        <v>191.81299452331399</v>
      </c>
      <c r="AB10">
        <v>194.45549813301801</v>
      </c>
      <c r="AC10">
        <v>197.098001742723</v>
      </c>
      <c r="AD10">
        <v>199.74050535242799</v>
      </c>
      <c r="AE10">
        <v>202.769995751918</v>
      </c>
      <c r="AF10">
        <v>205.79948615140901</v>
      </c>
      <c r="AG10">
        <v>208.828976550899</v>
      </c>
      <c r="AH10">
        <v>211.85846695039001</v>
      </c>
      <c r="AI10">
        <v>214.91251527445601</v>
      </c>
      <c r="AJ10">
        <v>217.96656359852099</v>
      </c>
      <c r="AK10">
        <v>221.02061192258699</v>
      </c>
      <c r="AL10">
        <v>224.074660246653</v>
      </c>
      <c r="AM10">
        <v>227.23039788294901</v>
      </c>
      <c r="AN10">
        <v>230.38613551924399</v>
      </c>
      <c r="AO10">
        <v>233.54187315554</v>
      </c>
      <c r="AP10">
        <v>236.69761079183601</v>
      </c>
      <c r="AQ10">
        <v>240.02720434904199</v>
      </c>
      <c r="AR10">
        <v>243.35679790624701</v>
      </c>
      <c r="AS10">
        <v>246.68639146345299</v>
      </c>
      <c r="AT10">
        <v>250.01598502065801</v>
      </c>
      <c r="AU10">
        <v>253.47572671243501</v>
      </c>
      <c r="AV10">
        <v>256.93546840421197</v>
      </c>
      <c r="AW10">
        <v>260.39521009599002</v>
      </c>
      <c r="AX10">
        <v>263.85495178776699</v>
      </c>
    </row>
    <row r="11" spans="1:50" ht="16" x14ac:dyDescent="0.2">
      <c r="B11" s="86" t="s">
        <v>169</v>
      </c>
      <c r="D11">
        <v>143</v>
      </c>
      <c r="E11">
        <v>143.4</v>
      </c>
      <c r="F11">
        <v>144.80000000000001</v>
      </c>
      <c r="G11">
        <v>145.19999999999999</v>
      </c>
      <c r="H11">
        <v>145.9</v>
      </c>
      <c r="I11">
        <v>148.62099511391199</v>
      </c>
      <c r="J11">
        <v>147.797019737607</v>
      </c>
      <c r="K11">
        <v>159.24265611122399</v>
      </c>
      <c r="L11">
        <v>170.909193879409</v>
      </c>
      <c r="M11">
        <v>182.80013836844901</v>
      </c>
      <c r="N11">
        <v>193.82051361413301</v>
      </c>
      <c r="O11">
        <v>214.404660294731</v>
      </c>
      <c r="P11">
        <v>234.02054172086099</v>
      </c>
      <c r="Q11">
        <v>253.77886496758899</v>
      </c>
      <c r="R11">
        <v>273.52670175744203</v>
      </c>
      <c r="S11">
        <v>281.50135302305898</v>
      </c>
      <c r="T11">
        <v>289.89524687581797</v>
      </c>
      <c r="U11">
        <v>298.67027035325299</v>
      </c>
      <c r="V11">
        <v>306.91171235614303</v>
      </c>
      <c r="W11">
        <v>308.00438682705601</v>
      </c>
      <c r="X11">
        <v>309.05894833550099</v>
      </c>
      <c r="Y11">
        <v>310.07539688147898</v>
      </c>
      <c r="Z11">
        <v>311.091845427458</v>
      </c>
      <c r="AA11">
        <v>312.15287454978699</v>
      </c>
      <c r="AB11">
        <v>313.213903672117</v>
      </c>
      <c r="AC11">
        <v>314.31304575691399</v>
      </c>
      <c r="AD11">
        <v>315.41218784171201</v>
      </c>
      <c r="AE11">
        <v>314.980134697246</v>
      </c>
      <c r="AF11">
        <v>314.54808155277999</v>
      </c>
      <c r="AG11">
        <v>314.15414137078102</v>
      </c>
      <c r="AH11">
        <v>313.79831415125</v>
      </c>
      <c r="AI11">
        <v>313.342899676483</v>
      </c>
      <c r="AJ11">
        <v>312.88748520171401</v>
      </c>
      <c r="AK11">
        <v>312.470183689414</v>
      </c>
      <c r="AL11">
        <v>312.05288217711302</v>
      </c>
      <c r="AM11">
        <v>311.26132329602899</v>
      </c>
      <c r="AN11">
        <v>310.46976441494297</v>
      </c>
      <c r="AO11">
        <v>309.67820553385798</v>
      </c>
      <c r="AP11">
        <v>308.92475961524099</v>
      </c>
      <c r="AQ11">
        <v>307.54251937780498</v>
      </c>
      <c r="AR11">
        <v>306.19839210283601</v>
      </c>
      <c r="AS11">
        <v>304.93049075280197</v>
      </c>
      <c r="AT11">
        <v>303.738815327704</v>
      </c>
      <c r="AU11">
        <v>302.09558932686201</v>
      </c>
      <c r="AV11">
        <v>300.52858925095501</v>
      </c>
      <c r="AW11">
        <v>299.07592806244998</v>
      </c>
      <c r="AX11">
        <v>297.661379836413</v>
      </c>
    </row>
    <row r="12" spans="1:50" ht="16" x14ac:dyDescent="0.2">
      <c r="B12" s="86" t="s">
        <v>170</v>
      </c>
      <c r="D12">
        <v>1862.4</v>
      </c>
      <c r="E12">
        <v>1779.8</v>
      </c>
      <c r="F12">
        <v>1871.3</v>
      </c>
      <c r="G12">
        <v>1907.1</v>
      </c>
      <c r="H12">
        <v>1965.1</v>
      </c>
      <c r="I12">
        <v>1985.2448178335901</v>
      </c>
      <c r="J12">
        <v>2013.98715613545</v>
      </c>
      <c r="K12">
        <v>2040.75997876518</v>
      </c>
      <c r="L12">
        <v>2066.0938858353702</v>
      </c>
      <c r="M12">
        <v>2087.0121207822099</v>
      </c>
      <c r="N12">
        <v>2109.4681967333199</v>
      </c>
      <c r="O12">
        <v>2131.6274963502601</v>
      </c>
      <c r="P12">
        <v>2152.0241244067802</v>
      </c>
      <c r="Q12">
        <v>2174.8489224700102</v>
      </c>
      <c r="R12">
        <v>2198.8518326476301</v>
      </c>
      <c r="S12">
        <v>2223.5921870494999</v>
      </c>
      <c r="T12">
        <v>2246.93859200308</v>
      </c>
      <c r="U12">
        <v>2271.6969328494501</v>
      </c>
      <c r="V12">
        <v>2296.6441313630098</v>
      </c>
      <c r="W12">
        <v>2322.6075639904998</v>
      </c>
      <c r="X12">
        <v>2347.9954303941699</v>
      </c>
      <c r="Y12">
        <v>2373.5181951315499</v>
      </c>
      <c r="Z12">
        <v>2398.4833800896099</v>
      </c>
      <c r="AA12">
        <v>2423.3226599362101</v>
      </c>
      <c r="AB12">
        <v>2448.3687838944902</v>
      </c>
      <c r="AC12">
        <v>2472.8933009624302</v>
      </c>
      <c r="AD12">
        <v>2497.1570145852102</v>
      </c>
      <c r="AE12">
        <v>2520.9800603178801</v>
      </c>
      <c r="AF12">
        <v>2544.4703568274099</v>
      </c>
      <c r="AG12">
        <v>2567.9696465591801</v>
      </c>
      <c r="AH12">
        <v>2591.8016855141</v>
      </c>
      <c r="AI12">
        <v>2616.1463381371</v>
      </c>
      <c r="AJ12">
        <v>2640.9046789834802</v>
      </c>
      <c r="AK12">
        <v>2665.99576905299</v>
      </c>
      <c r="AL12">
        <v>2691.0418930112701</v>
      </c>
      <c r="AM12">
        <v>2716.1869424142701</v>
      </c>
      <c r="AN12">
        <v>2741.4129308175002</v>
      </c>
      <c r="AO12">
        <v>2766.59395310949</v>
      </c>
      <c r="AP12">
        <v>2791.6760499567599</v>
      </c>
      <c r="AQ12">
        <v>2816.99197058245</v>
      </c>
      <c r="AR12">
        <v>2842.3798369861202</v>
      </c>
      <c r="AS12">
        <v>2868.0734729462001</v>
      </c>
      <c r="AT12">
        <v>2894.2617361298699</v>
      </c>
      <c r="AU12">
        <v>2920.90865364814</v>
      </c>
      <c r="AV12">
        <v>2948.0771780567402</v>
      </c>
      <c r="AW12">
        <v>2975.3446279100699</v>
      </c>
      <c r="AX12">
        <v>3002.7649625415902</v>
      </c>
    </row>
    <row r="13" spans="1:50" ht="16" x14ac:dyDescent="0.2">
      <c r="B13" s="86" t="s">
        <v>171</v>
      </c>
      <c r="D13">
        <v>62.7</v>
      </c>
      <c r="E13">
        <v>54.2</v>
      </c>
      <c r="F13">
        <v>90.2</v>
      </c>
      <c r="G13">
        <v>95.9</v>
      </c>
      <c r="H13">
        <v>96.6</v>
      </c>
      <c r="I13">
        <v>97.590275000114403</v>
      </c>
      <c r="J13">
        <v>99.003185223491897</v>
      </c>
      <c r="K13">
        <v>100.319278382126</v>
      </c>
      <c r="L13">
        <v>101.564637612181</v>
      </c>
      <c r="M13">
        <v>102.592932098907</v>
      </c>
      <c r="N13">
        <v>103.69682347180201</v>
      </c>
      <c r="O13">
        <v>104.786125971928</v>
      </c>
      <c r="P13">
        <v>105.78877940954401</v>
      </c>
      <c r="Q13">
        <v>106.910796351638</v>
      </c>
      <c r="R13">
        <v>108.090726697756</v>
      </c>
      <c r="S13">
        <v>109.306908182272</v>
      </c>
      <c r="T13">
        <v>110.454566173476</v>
      </c>
      <c r="U13">
        <v>111.671631832098</v>
      </c>
      <c r="V13">
        <v>112.897981318847</v>
      </c>
      <c r="W13">
        <v>114.17428664265501</v>
      </c>
      <c r="X13">
        <v>115.422298395032</v>
      </c>
      <c r="Y13">
        <v>116.676941453212</v>
      </c>
      <c r="Z13">
        <v>117.90417511406901</v>
      </c>
      <c r="AA13">
        <v>119.125219556174</v>
      </c>
      <c r="AB13">
        <v>120.356432000513</v>
      </c>
      <c r="AC13">
        <v>121.562003395741</v>
      </c>
      <c r="AD13">
        <v>122.75475426641501</v>
      </c>
      <c r="AE13">
        <v>123.925842871461</v>
      </c>
      <c r="AF13">
        <v>125.080574255523</v>
      </c>
      <c r="AG13">
        <v>126.235747726638</v>
      </c>
      <c r="AH13">
        <v>127.407278418738</v>
      </c>
      <c r="AI13">
        <v>128.604008072894</v>
      </c>
      <c r="AJ13">
        <v>129.821073731517</v>
      </c>
      <c r="AK13">
        <v>131.05449661112399</v>
      </c>
      <c r="AL13">
        <v>132.28570905546201</v>
      </c>
      <c r="AM13">
        <v>133.52178445739099</v>
      </c>
      <c r="AN13">
        <v>134.76183864280199</v>
      </c>
      <c r="AO13">
        <v>135.999682392945</v>
      </c>
      <c r="AP13">
        <v>137.23266318549801</v>
      </c>
      <c r="AQ13">
        <v>138.477138241446</v>
      </c>
      <c r="AR13">
        <v>139.72514999382199</v>
      </c>
      <c r="AS13">
        <v>140.98819270602101</v>
      </c>
      <c r="AT13">
        <v>142.27555020617001</v>
      </c>
      <c r="AU13">
        <v>143.58545414605399</v>
      </c>
      <c r="AV13">
        <v>144.920999135047</v>
      </c>
      <c r="AW13">
        <v>146.26140708163101</v>
      </c>
      <c r="AX13">
        <v>147.60933050812599</v>
      </c>
    </row>
    <row r="14" spans="1:50" ht="16" x14ac:dyDescent="0.2">
      <c r="B14" s="86" t="s">
        <v>173</v>
      </c>
      <c r="D14">
        <v>1228.1289999999999</v>
      </c>
      <c r="E14">
        <v>1336.74</v>
      </c>
      <c r="F14">
        <v>1328.7719999999999</v>
      </c>
      <c r="G14">
        <v>1372.7929999999999</v>
      </c>
      <c r="H14">
        <v>1403.2629999999999</v>
      </c>
      <c r="I14">
        <v>1394.63952711825</v>
      </c>
      <c r="J14">
        <v>1386.0160542364999</v>
      </c>
      <c r="K14">
        <v>1416.24742986613</v>
      </c>
      <c r="L14">
        <v>1446.4788054957501</v>
      </c>
      <c r="M14">
        <v>1476.7101811253699</v>
      </c>
      <c r="N14">
        <v>1506.941556755</v>
      </c>
      <c r="O14">
        <v>1519.7601557667999</v>
      </c>
      <c r="P14">
        <v>1532.5787547785901</v>
      </c>
      <c r="Q14">
        <v>1545.3973537903901</v>
      </c>
      <c r="R14">
        <v>1558.21595280219</v>
      </c>
      <c r="S14">
        <v>1568.7825477363999</v>
      </c>
      <c r="T14">
        <v>1579.34914267061</v>
      </c>
      <c r="U14">
        <v>1589.9157376048099</v>
      </c>
      <c r="V14">
        <v>1600.48233253902</v>
      </c>
      <c r="W14">
        <v>1639.9186754518</v>
      </c>
      <c r="X14">
        <v>1679.35501836459</v>
      </c>
      <c r="Y14">
        <v>1718.79136127737</v>
      </c>
      <c r="Z14">
        <v>1758.22770419015</v>
      </c>
      <c r="AA14">
        <v>1787.6196955994999</v>
      </c>
      <c r="AB14">
        <v>1817.01168700885</v>
      </c>
      <c r="AC14">
        <v>1846.4036784181901</v>
      </c>
      <c r="AD14">
        <v>1875.79566982754</v>
      </c>
      <c r="AE14">
        <v>1908.2148727936301</v>
      </c>
      <c r="AF14">
        <v>1940.63407575972</v>
      </c>
      <c r="AG14">
        <v>1973.0532787258101</v>
      </c>
      <c r="AH14">
        <v>2005.4724816918999</v>
      </c>
      <c r="AI14">
        <v>2057.1759873287501</v>
      </c>
      <c r="AJ14">
        <v>2108.8794929656101</v>
      </c>
      <c r="AK14">
        <v>2160.5829986024601</v>
      </c>
      <c r="AL14">
        <v>2212.28650423931</v>
      </c>
      <c r="AM14">
        <v>2211.5343138466101</v>
      </c>
      <c r="AN14">
        <v>2210.7821234539101</v>
      </c>
      <c r="AO14">
        <v>2210.0299330612002</v>
      </c>
      <c r="AP14">
        <v>2209.2777426685002</v>
      </c>
      <c r="AQ14">
        <v>2261.6493087725698</v>
      </c>
      <c r="AR14">
        <v>2314.0208748766299</v>
      </c>
      <c r="AS14">
        <v>2366.3924409807</v>
      </c>
      <c r="AT14">
        <v>2418.7640070847701</v>
      </c>
      <c r="AU14">
        <v>2464.36520513099</v>
      </c>
      <c r="AV14">
        <v>2509.9664031771999</v>
      </c>
      <c r="AW14">
        <v>2555.5676012234098</v>
      </c>
      <c r="AX14">
        <v>2601.1687992696202</v>
      </c>
    </row>
    <row r="15" spans="1:50" ht="16" x14ac:dyDescent="0.2">
      <c r="B15" s="86" t="s">
        <v>164</v>
      </c>
      <c r="D15">
        <v>1574.4</v>
      </c>
      <c r="E15">
        <v>1828.5</v>
      </c>
      <c r="F15">
        <v>1861.4</v>
      </c>
      <c r="G15">
        <v>1756.2</v>
      </c>
      <c r="H15">
        <v>1805.1</v>
      </c>
      <c r="I15">
        <v>1626.02571860579</v>
      </c>
      <c r="J15">
        <v>1498.53485474677</v>
      </c>
      <c r="K15">
        <v>1511.0876515336199</v>
      </c>
      <c r="L15">
        <v>1512.38995417448</v>
      </c>
      <c r="M15">
        <v>1506.67098308902</v>
      </c>
      <c r="N15">
        <v>1490.44612277592</v>
      </c>
      <c r="O15">
        <v>1509.6382363456501</v>
      </c>
      <c r="P15">
        <v>1519.632602017</v>
      </c>
      <c r="Q15">
        <v>1523.1344557411701</v>
      </c>
      <c r="R15">
        <v>1519.1719481565799</v>
      </c>
      <c r="S15">
        <v>1526.85403734435</v>
      </c>
      <c r="T15">
        <v>1535.4842585346801</v>
      </c>
      <c r="U15">
        <v>1543.71889409799</v>
      </c>
      <c r="V15">
        <v>1552.4850878847999</v>
      </c>
      <c r="W15">
        <v>1588.56945568078</v>
      </c>
      <c r="X15">
        <v>1619.0545895538501</v>
      </c>
      <c r="Y15">
        <v>1642.5093049924999</v>
      </c>
      <c r="Z15">
        <v>1659.6122355130899</v>
      </c>
      <c r="AA15">
        <v>1667.5840444722401</v>
      </c>
      <c r="AB15">
        <v>1678.2535698161801</v>
      </c>
      <c r="AC15">
        <v>1690.72593660438</v>
      </c>
      <c r="AD15">
        <v>1705.4065311059101</v>
      </c>
      <c r="AE15">
        <v>1718.3411123951701</v>
      </c>
      <c r="AF15">
        <v>1730.9634667895</v>
      </c>
      <c r="AG15">
        <v>1742.36951186696</v>
      </c>
      <c r="AH15">
        <v>1753.0170548379899</v>
      </c>
      <c r="AI15">
        <v>1784.68057949284</v>
      </c>
      <c r="AJ15">
        <v>1812.35462710207</v>
      </c>
      <c r="AK15">
        <v>1835.2404610671999</v>
      </c>
      <c r="AL15">
        <v>1853.72632303349</v>
      </c>
      <c r="AM15">
        <v>1827.9445084856</v>
      </c>
      <c r="AN15">
        <v>1814.12430186748</v>
      </c>
      <c r="AO15">
        <v>1812.0047939040101</v>
      </c>
      <c r="AP15">
        <v>1821.6729233342801</v>
      </c>
      <c r="AQ15">
        <v>1878.9537705036</v>
      </c>
      <c r="AR15">
        <v>1923.8123987378101</v>
      </c>
      <c r="AS15">
        <v>1957.3525310479299</v>
      </c>
      <c r="AT15">
        <v>1978.92921847087</v>
      </c>
      <c r="AU15">
        <v>1939.9220024117999</v>
      </c>
      <c r="AV15">
        <v>1901.58652711119</v>
      </c>
      <c r="AW15">
        <v>1865.3788410586801</v>
      </c>
      <c r="AX15">
        <v>1830.5610473035799</v>
      </c>
    </row>
    <row r="16" spans="1:50" ht="16" x14ac:dyDescent="0.2">
      <c r="B16" s="86" t="s">
        <v>167</v>
      </c>
      <c r="D16">
        <v>74.5</v>
      </c>
      <c r="E16">
        <v>1085.9000000000001</v>
      </c>
      <c r="F16">
        <v>1212.9000000000001</v>
      </c>
      <c r="G16">
        <v>609.79999999999995</v>
      </c>
      <c r="H16">
        <v>402.7</v>
      </c>
      <c r="I16">
        <v>404.58725618885501</v>
      </c>
      <c r="J16">
        <v>406.51787384375598</v>
      </c>
      <c r="K16">
        <v>408.48772330127002</v>
      </c>
      <c r="L16">
        <v>410.48028590766501</v>
      </c>
      <c r="M16">
        <v>412.46045952376102</v>
      </c>
      <c r="N16">
        <v>414.40966066410999</v>
      </c>
      <c r="O16">
        <v>416.34647281415999</v>
      </c>
      <c r="P16">
        <v>418.27915530077701</v>
      </c>
      <c r="Q16">
        <v>420.21803228254402</v>
      </c>
      <c r="R16">
        <v>422.17549274975897</v>
      </c>
      <c r="S16">
        <v>424.15153670242199</v>
      </c>
      <c r="T16">
        <v>426.13996964538399</v>
      </c>
      <c r="U16">
        <v>428.12427292491299</v>
      </c>
      <c r="V16">
        <v>430.11477069959199</v>
      </c>
      <c r="W16">
        <v>432.10939813770301</v>
      </c>
      <c r="X16">
        <v>434.10196074409799</v>
      </c>
      <c r="Y16">
        <v>436.069745369896</v>
      </c>
      <c r="Z16">
        <v>438.02307617367802</v>
      </c>
      <c r="AA16">
        <v>439.96195315544497</v>
      </c>
      <c r="AB16">
        <v>441.88844114691199</v>
      </c>
      <c r="AC16">
        <v>443.79634565293202</v>
      </c>
      <c r="AD16">
        <v>445.70218532723499</v>
      </c>
      <c r="AE16">
        <v>447.61008983325502</v>
      </c>
      <c r="AF16">
        <v>449.52005917099098</v>
      </c>
      <c r="AG16">
        <v>451.432093340444</v>
      </c>
      <c r="AH16">
        <v>453.35651650019503</v>
      </c>
      <c r="AI16">
        <v>455.28506932337899</v>
      </c>
      <c r="AJ16">
        <v>457.22188147343002</v>
      </c>
      <c r="AK16">
        <v>459.18347160407802</v>
      </c>
      <c r="AL16">
        <v>461.16571005189002</v>
      </c>
      <c r="AM16">
        <v>463.17066164858397</v>
      </c>
      <c r="AN16">
        <v>465.19419673072599</v>
      </c>
      <c r="AO16">
        <v>467.23218563488302</v>
      </c>
      <c r="AP16">
        <v>469.26810970732402</v>
      </c>
      <c r="AQ16">
        <v>471.29990411633202</v>
      </c>
      <c r="AR16">
        <v>473.333763357056</v>
      </c>
      <c r="AS16">
        <v>475.36762259778101</v>
      </c>
      <c r="AT16">
        <v>477.40148183850499</v>
      </c>
      <c r="AU16">
        <v>479.44153557437897</v>
      </c>
      <c r="AV16">
        <v>481.483654141969</v>
      </c>
      <c r="AW16">
        <v>483.52990237299298</v>
      </c>
      <c r="AX16">
        <v>485.57408577230001</v>
      </c>
    </row>
    <row r="17" spans="1:50" x14ac:dyDescent="0.2">
      <c r="B17" t="s">
        <v>193</v>
      </c>
      <c r="D17">
        <v>204.37100000000001</v>
      </c>
      <c r="E17">
        <v>884.26</v>
      </c>
      <c r="F17">
        <v>242.12799999999999</v>
      </c>
      <c r="G17">
        <v>225.90700000000001</v>
      </c>
      <c r="H17">
        <v>262.43700000000001</v>
      </c>
      <c r="I17">
        <v>257.26599192779503</v>
      </c>
      <c r="J17">
        <v>256.21510964215298</v>
      </c>
      <c r="K17">
        <v>258.57067876132402</v>
      </c>
      <c r="L17">
        <v>261.16279192979499</v>
      </c>
      <c r="M17">
        <v>263.64812783386702</v>
      </c>
      <c r="N17">
        <v>266.14790345036999</v>
      </c>
      <c r="O17">
        <v>268.70569902244898</v>
      </c>
      <c r="P17">
        <v>271.263979862962</v>
      </c>
      <c r="Q17">
        <v>273.87029090685002</v>
      </c>
      <c r="R17">
        <v>276.52404959205398</v>
      </c>
      <c r="S17">
        <v>279.241851093381</v>
      </c>
      <c r="T17">
        <v>282.01341480314198</v>
      </c>
      <c r="U17">
        <v>284.80517467007598</v>
      </c>
      <c r="V17">
        <v>287.63108074839698</v>
      </c>
      <c r="W17">
        <v>290.48769997414701</v>
      </c>
      <c r="X17">
        <v>293.35698461687701</v>
      </c>
      <c r="Y17">
        <v>296.24247817884799</v>
      </c>
      <c r="Z17">
        <v>299.141687420886</v>
      </c>
      <c r="AA17">
        <v>302.06412655786397</v>
      </c>
      <c r="AB17">
        <v>305.00651687838598</v>
      </c>
      <c r="AC17">
        <v>307.96222864379001</v>
      </c>
      <c r="AD17">
        <v>310.94750852538402</v>
      </c>
      <c r="AE17">
        <v>313.96057691901501</v>
      </c>
      <c r="AF17">
        <v>317.00404921601302</v>
      </c>
      <c r="AG17">
        <v>320.073239044574</v>
      </c>
      <c r="AH17">
        <v>323.17807216575801</v>
      </c>
      <c r="AI17">
        <v>326.31295874724299</v>
      </c>
      <c r="AJ17">
        <v>329.463709405131</v>
      </c>
      <c r="AK17">
        <v>332.64972837101499</v>
      </c>
      <c r="AL17">
        <v>335.86834196641502</v>
      </c>
      <c r="AM17">
        <v>339.121324982229</v>
      </c>
      <c r="AN17">
        <v>342.39838413451798</v>
      </c>
      <c r="AO17">
        <v>345.70422750703898</v>
      </c>
      <c r="AP17">
        <v>349.026833190491</v>
      </c>
      <c r="AQ17">
        <v>352.367229319003</v>
      </c>
      <c r="AR17">
        <v>355.72749945931002</v>
      </c>
      <c r="AS17">
        <v>359.10614883079597</v>
      </c>
      <c r="AT17">
        <v>362.50321043732498</v>
      </c>
      <c r="AU17">
        <v>365.92601973505901</v>
      </c>
      <c r="AV17">
        <v>369.36895353582298</v>
      </c>
      <c r="AW17">
        <v>372.83889502770398</v>
      </c>
      <c r="AX17">
        <v>376.32595184241501</v>
      </c>
    </row>
    <row r="19" spans="1:50" x14ac:dyDescent="0.2">
      <c r="E19" s="95"/>
      <c r="F19" s="95"/>
      <c r="L19" s="95"/>
      <c r="M19" s="95"/>
      <c r="N19" s="95"/>
      <c r="P19" s="95"/>
      <c r="Q19" s="95"/>
      <c r="R19" s="95"/>
      <c r="T19" s="95"/>
      <c r="U19" s="95"/>
      <c r="V19" s="95"/>
      <c r="X19" s="95"/>
      <c r="Y19" s="95"/>
      <c r="Z19" s="95"/>
      <c r="AB19" s="95"/>
    </row>
    <row r="20" spans="1:50" ht="19" x14ac:dyDescent="0.25">
      <c r="A20" s="110" t="s">
        <v>182</v>
      </c>
      <c r="B20" s="110"/>
      <c r="E20" s="95"/>
      <c r="F20" s="95"/>
      <c r="L20" s="95"/>
      <c r="M20" s="95"/>
      <c r="N20" s="95"/>
      <c r="P20" s="95"/>
      <c r="Q20" s="95"/>
      <c r="R20" s="95"/>
      <c r="T20" s="95"/>
      <c r="U20" s="95"/>
      <c r="V20" s="95"/>
      <c r="X20" s="95"/>
      <c r="Y20" s="95"/>
      <c r="Z20" s="95"/>
      <c r="AB20" s="95"/>
    </row>
    <row r="21" spans="1:50" x14ac:dyDescent="0.2">
      <c r="B21" t="s">
        <v>182</v>
      </c>
      <c r="D21" s="102"/>
      <c r="E21" s="104">
        <f>main!L112/1000</f>
        <v>156.18299999999999</v>
      </c>
      <c r="F21" s="104">
        <f>main!M112/1000</f>
        <v>197.631</v>
      </c>
      <c r="G21" s="104">
        <f>main!N112/1000</f>
        <v>170.23500000000001</v>
      </c>
      <c r="H21" s="104">
        <f>main!O112/1000</f>
        <v>171.256</v>
      </c>
      <c r="I21" s="104">
        <f>main!P112/1000</f>
        <v>182.35062108169706</v>
      </c>
      <c r="J21" s="104">
        <f>main!Q112/1000</f>
        <v>182.35062108169706</v>
      </c>
      <c r="K21" s="104">
        <f>main!R112/1000</f>
        <v>182.35062108169706</v>
      </c>
      <c r="L21" s="104">
        <f>main!S112/1000</f>
        <v>182.35062108169706</v>
      </c>
      <c r="M21" s="104">
        <f>main!T112/1000</f>
        <v>224.43153363901172</v>
      </c>
      <c r="N21" s="104">
        <f>main!U112/1000</f>
        <v>224.43153363901172</v>
      </c>
      <c r="O21" s="104">
        <f>main!V112/1000</f>
        <v>224.43153363901172</v>
      </c>
      <c r="P21" s="104">
        <f>O21*(1+P23)</f>
        <v>221.97386069442777</v>
      </c>
      <c r="Q21" s="104">
        <f t="shared" ref="Q21:AA21" si="0">P21*(1+Q23)</f>
        <v>219.51618774984507</v>
      </c>
      <c r="R21" s="104">
        <f t="shared" si="0"/>
        <v>217.0585148052611</v>
      </c>
      <c r="S21" s="104">
        <f t="shared" si="0"/>
        <v>218.34223713695627</v>
      </c>
      <c r="T21" s="104">
        <f t="shared" si="0"/>
        <v>219.62595946865144</v>
      </c>
      <c r="U21" s="104">
        <f t="shared" si="0"/>
        <v>220.90968180034659</v>
      </c>
      <c r="V21" s="104">
        <f t="shared" si="0"/>
        <v>222.19340413204174</v>
      </c>
      <c r="W21" s="104">
        <f t="shared" si="0"/>
        <v>225.49538156308662</v>
      </c>
      <c r="X21" s="104">
        <f t="shared" si="0"/>
        <v>228.79735899413026</v>
      </c>
      <c r="Y21" s="104">
        <f t="shared" si="0"/>
        <v>232.09933642517512</v>
      </c>
      <c r="Z21" s="104">
        <f t="shared" si="0"/>
        <v>235.40131385621879</v>
      </c>
      <c r="AA21" s="104">
        <f t="shared" si="0"/>
        <v>238.68961119366364</v>
      </c>
      <c r="AB21" s="95"/>
    </row>
    <row r="22" spans="1:50" x14ac:dyDescent="0.2">
      <c r="B22" t="s">
        <v>175</v>
      </c>
      <c r="D22" s="102" t="e">
        <f>#REF!</f>
        <v>#REF!</v>
      </c>
      <c r="E22" s="104">
        <f>E10</f>
        <v>156.16</v>
      </c>
      <c r="F22" s="104">
        <f t="shared" ref="F22:AA22" si="1">F10</f>
        <v>197.62799999999999</v>
      </c>
      <c r="G22" s="104">
        <f t="shared" si="1"/>
        <v>170.20699999999999</v>
      </c>
      <c r="H22" s="104">
        <f t="shared" si="1"/>
        <v>171.23699999999999</v>
      </c>
      <c r="I22" s="104">
        <f t="shared" si="1"/>
        <v>175.56274099593</v>
      </c>
      <c r="J22" s="104">
        <f t="shared" si="1"/>
        <v>179.888481991861</v>
      </c>
      <c r="K22" s="104">
        <f t="shared" si="1"/>
        <v>180.49888383554401</v>
      </c>
      <c r="L22" s="104">
        <f t="shared" si="1"/>
        <v>181.10928567922701</v>
      </c>
      <c r="M22" s="104">
        <f t="shared" si="1"/>
        <v>181.71968752290999</v>
      </c>
      <c r="N22" s="104">
        <f t="shared" si="1"/>
        <v>182.330089366593</v>
      </c>
      <c r="O22" s="104">
        <f t="shared" si="1"/>
        <v>180.35508255879</v>
      </c>
      <c r="P22" s="104">
        <f t="shared" si="1"/>
        <v>178.38007575098601</v>
      </c>
      <c r="Q22" s="104">
        <f t="shared" si="1"/>
        <v>176.40506894318301</v>
      </c>
      <c r="R22" s="104">
        <f t="shared" si="1"/>
        <v>174.43006213537899</v>
      </c>
      <c r="S22" s="104">
        <f t="shared" si="1"/>
        <v>175.461672281072</v>
      </c>
      <c r="T22" s="104">
        <f t="shared" si="1"/>
        <v>176.49328242676501</v>
      </c>
      <c r="U22" s="104">
        <f t="shared" si="1"/>
        <v>177.52489257245799</v>
      </c>
      <c r="V22" s="104">
        <f t="shared" si="1"/>
        <v>178.55650271815099</v>
      </c>
      <c r="W22" s="104">
        <f t="shared" si="1"/>
        <v>181.209999767016</v>
      </c>
      <c r="X22" s="104">
        <f t="shared" si="1"/>
        <v>183.86349681588001</v>
      </c>
      <c r="Y22" s="104">
        <f t="shared" si="1"/>
        <v>186.51699386474499</v>
      </c>
      <c r="Z22" s="104">
        <f t="shared" si="1"/>
        <v>189.170490913609</v>
      </c>
      <c r="AA22" s="104">
        <f t="shared" si="1"/>
        <v>191.81299452331399</v>
      </c>
      <c r="AB22" s="95"/>
    </row>
    <row r="23" spans="1:50" s="170" customFormat="1" ht="12" x14ac:dyDescent="0.15">
      <c r="B23" s="210" t="s">
        <v>271</v>
      </c>
      <c r="D23" s="228"/>
      <c r="E23" s="242"/>
      <c r="F23" s="242"/>
      <c r="G23" s="229"/>
      <c r="H23" s="242"/>
      <c r="I23" s="242"/>
      <c r="J23" s="242"/>
      <c r="K23" s="246"/>
      <c r="L23" s="230"/>
      <c r="M23" s="230"/>
      <c r="N23" s="230">
        <f t="shared" ref="N23" si="2">(N22/M22)-1</f>
        <v>3.3590297892518439E-3</v>
      </c>
      <c r="O23" s="246">
        <f t="shared" ref="O23" si="3">(O22/N22)-1</f>
        <v>-1.0832039926399917E-2</v>
      </c>
      <c r="P23" s="230">
        <f t="shared" ref="P23" si="4">(P22/O22)-1</f>
        <v>-1.0950657889889026E-2</v>
      </c>
      <c r="Q23" s="230">
        <f t="shared" ref="Q23" si="5">(Q22/P22)-1</f>
        <v>-1.1071902506421538E-2</v>
      </c>
      <c r="R23" s="230">
        <f t="shared" ref="R23" si="6">(R22/Q22)-1</f>
        <v>-1.1195861998955059E-2</v>
      </c>
      <c r="S23" s="246">
        <f t="shared" ref="S23" si="7">(S22/R22)-1</f>
        <v>5.9141763355696764E-3</v>
      </c>
      <c r="T23" s="230">
        <f t="shared" ref="T23" si="8">(T22/S22)-1</f>
        <v>5.8794045006049789E-3</v>
      </c>
      <c r="U23" s="230">
        <f t="shared" ref="U23" si="9">(U22/T22)-1</f>
        <v>5.8450391511135624E-3</v>
      </c>
      <c r="V23" s="230">
        <f t="shared" ref="V23" si="10">(V22/U22)-1</f>
        <v>5.8110732007452537E-3</v>
      </c>
      <c r="W23" s="246">
        <f t="shared" ref="W23" si="11">(W22/V22)-1</f>
        <v>1.4860825612458939E-2</v>
      </c>
      <c r="X23" s="230">
        <f t="shared" ref="X23" si="12">(X22/W22)-1</f>
        <v>1.4643215342837745E-2</v>
      </c>
      <c r="Y23" s="230">
        <f t="shared" ref="Y23" si="13">(Y22/X22)-1</f>
        <v>1.4431886126489601E-2</v>
      </c>
      <c r="Z23" s="230">
        <f t="shared" ref="Z23" si="14">(Z22/Y22)-1</f>
        <v>1.4226569889863372E-2</v>
      </c>
      <c r="AA23" s="246">
        <f t="shared" ref="AA23" si="15">(AA22/Z22)-1</f>
        <v>1.3968899678501012E-2</v>
      </c>
      <c r="AB23" s="243"/>
    </row>
    <row r="24" spans="1:50" s="97" customFormat="1" x14ac:dyDescent="0.2">
      <c r="B24" s="99" t="s">
        <v>176</v>
      </c>
      <c r="D24" s="103"/>
      <c r="E24" s="217"/>
      <c r="F24" s="217">
        <f t="shared" ref="F24" si="16">F21-F22</f>
        <v>3.0000000000143245E-3</v>
      </c>
      <c r="G24" s="150">
        <f t="shared" ref="G24" si="17">G21-G22</f>
        <v>2.8000000000020009E-2</v>
      </c>
      <c r="H24" s="217">
        <f t="shared" ref="H24" si="18">H21-H22</f>
        <v>1.9000000000005457E-2</v>
      </c>
      <c r="I24" s="217">
        <f t="shared" ref="I24" si="19">I21-I22</f>
        <v>6.7878800857670569</v>
      </c>
      <c r="J24" s="217">
        <f t="shared" ref="J24" si="20">J21-J22</f>
        <v>2.4621390898360573</v>
      </c>
      <c r="K24" s="150">
        <f t="shared" ref="K24:AA24" si="21">K21-K22</f>
        <v>1.8517372461530499</v>
      </c>
      <c r="L24" s="217">
        <f t="shared" si="21"/>
        <v>1.2413354024700425</v>
      </c>
      <c r="M24" s="239">
        <f t="shared" si="21"/>
        <v>42.711846116101725</v>
      </c>
      <c r="N24" s="217">
        <f t="shared" si="21"/>
        <v>42.101444272418718</v>
      </c>
      <c r="O24" s="150">
        <f t="shared" si="21"/>
        <v>44.076451080221716</v>
      </c>
      <c r="P24" s="217">
        <f t="shared" si="21"/>
        <v>43.593784943441761</v>
      </c>
      <c r="Q24" s="217">
        <f t="shared" si="21"/>
        <v>43.111118806662063</v>
      </c>
      <c r="R24" s="217">
        <f t="shared" si="21"/>
        <v>42.628452669882108</v>
      </c>
      <c r="S24" s="150">
        <f t="shared" si="21"/>
        <v>42.880564855884273</v>
      </c>
      <c r="T24" s="217">
        <f t="shared" si="21"/>
        <v>43.132677041886438</v>
      </c>
      <c r="U24" s="217">
        <f t="shared" si="21"/>
        <v>43.384789227888604</v>
      </c>
      <c r="V24" s="217">
        <f t="shared" si="21"/>
        <v>43.63690141389074</v>
      </c>
      <c r="W24" s="150">
        <f t="shared" si="21"/>
        <v>44.285381796070624</v>
      </c>
      <c r="X24" s="217">
        <f t="shared" si="21"/>
        <v>44.933862178250251</v>
      </c>
      <c r="Y24" s="217">
        <f t="shared" si="21"/>
        <v>45.582342560430135</v>
      </c>
      <c r="Z24" s="217">
        <f t="shared" si="21"/>
        <v>46.230822942609791</v>
      </c>
      <c r="AA24" s="150">
        <f t="shared" si="21"/>
        <v>46.876616670349648</v>
      </c>
      <c r="AB24" s="244"/>
    </row>
    <row r="25" spans="1:50" x14ac:dyDescent="0.2">
      <c r="D25" s="102"/>
      <c r="E25" s="104"/>
      <c r="F25" s="104"/>
      <c r="G25" s="149"/>
      <c r="H25" s="104"/>
      <c r="I25" s="104"/>
      <c r="J25" s="104"/>
      <c r="K25" s="149"/>
      <c r="L25" s="104"/>
      <c r="M25" s="104"/>
      <c r="N25" s="104"/>
      <c r="P25" s="95"/>
      <c r="Q25" s="95"/>
      <c r="R25" s="95"/>
      <c r="T25" s="95"/>
      <c r="U25" s="95"/>
      <c r="V25" s="95"/>
      <c r="X25" s="95"/>
      <c r="Y25" s="95"/>
      <c r="Z25" s="95"/>
      <c r="AB25" s="95"/>
    </row>
    <row r="26" spans="1:50" x14ac:dyDescent="0.2">
      <c r="D26" s="102"/>
      <c r="E26" s="104"/>
      <c r="F26" s="104"/>
      <c r="G26" s="149"/>
      <c r="H26" s="104"/>
      <c r="I26" s="104"/>
      <c r="J26" s="104"/>
      <c r="K26" s="149"/>
      <c r="L26" s="104"/>
      <c r="M26" s="104"/>
      <c r="N26" s="104"/>
      <c r="P26" s="95"/>
      <c r="Q26" s="95"/>
      <c r="R26" s="95"/>
      <c r="T26" s="95"/>
      <c r="U26" s="95"/>
      <c r="V26" s="95"/>
      <c r="X26" s="95"/>
      <c r="Y26" s="95"/>
      <c r="Z26" s="95"/>
      <c r="AB26" s="95"/>
    </row>
    <row r="27" spans="1:50" ht="19" x14ac:dyDescent="0.25">
      <c r="A27" s="110" t="s">
        <v>185</v>
      </c>
      <c r="B27" s="110"/>
      <c r="D27" s="102"/>
      <c r="E27" s="104"/>
      <c r="F27" s="104"/>
      <c r="G27" s="149"/>
      <c r="H27" s="104"/>
      <c r="I27" s="104"/>
      <c r="J27" s="104"/>
      <c r="K27" s="149"/>
      <c r="L27" s="104"/>
      <c r="M27" s="104"/>
      <c r="N27" s="104"/>
      <c r="P27" s="95"/>
      <c r="Q27" s="95"/>
      <c r="R27" s="95"/>
      <c r="T27" s="95"/>
      <c r="U27" s="95"/>
      <c r="V27" s="95"/>
      <c r="X27" s="95"/>
      <c r="Y27" s="95"/>
      <c r="Z27" s="95"/>
      <c r="AB27" s="95"/>
    </row>
    <row r="28" spans="1:50" x14ac:dyDescent="0.2">
      <c r="B28" t="s">
        <v>185</v>
      </c>
      <c r="D28" s="102"/>
      <c r="E28" s="104">
        <f>main!L113/1000</f>
        <v>404.40166666666676</v>
      </c>
      <c r="F28" s="104">
        <f>main!M113/1000</f>
        <v>330.77699999999999</v>
      </c>
      <c r="G28" s="104">
        <f>main!N113/1000</f>
        <v>181.84899999999999</v>
      </c>
      <c r="H28" s="104">
        <f>main!O113/1000</f>
        <v>205.904</v>
      </c>
      <c r="I28" s="104">
        <f>main!P113/1000</f>
        <v>145.87565218125005</v>
      </c>
      <c r="J28" s="104">
        <f>main!Q113/1000</f>
        <v>146.60503044215625</v>
      </c>
      <c r="K28" s="104">
        <f>main!R113/1000</f>
        <v>147.70456817047238</v>
      </c>
      <c r="L28" s="104">
        <f>main!S113/1000</f>
        <v>149.18161385217715</v>
      </c>
      <c r="M28" s="104">
        <f>L28*(1 + M30)</f>
        <v>159.56086992867171</v>
      </c>
      <c r="N28" s="104">
        <f t="shared" ref="N28:AA28" si="22">M28*(1 + N30)</f>
        <v>169.1802316908466</v>
      </c>
      <c r="O28" s="104">
        <f t="shared" si="22"/>
        <v>187.14752854527001</v>
      </c>
      <c r="P28" s="104">
        <f t="shared" si="22"/>
        <v>204.26965510768184</v>
      </c>
      <c r="Q28" s="104">
        <f t="shared" si="22"/>
        <v>221.51611495020876</v>
      </c>
      <c r="R28" s="104">
        <f t="shared" si="22"/>
        <v>238.75342147263223</v>
      </c>
      <c r="S28" s="104">
        <f t="shared" si="22"/>
        <v>245.71426025906086</v>
      </c>
      <c r="T28" s="104">
        <f t="shared" si="22"/>
        <v>253.04104358203412</v>
      </c>
      <c r="U28" s="104">
        <f t="shared" si="22"/>
        <v>260.70050375641284</v>
      </c>
      <c r="V28" s="104">
        <f t="shared" si="22"/>
        <v>267.89421633882517</v>
      </c>
      <c r="W28" s="104">
        <f t="shared" si="22"/>
        <v>268.84797978060283</v>
      </c>
      <c r="X28" s="104">
        <f t="shared" si="22"/>
        <v>269.76847553723962</v>
      </c>
      <c r="Y28" s="104">
        <f t="shared" si="22"/>
        <v>270.65570360873642</v>
      </c>
      <c r="Z28" s="104">
        <f t="shared" si="22"/>
        <v>271.54293168023412</v>
      </c>
      <c r="AA28" s="104">
        <f t="shared" si="22"/>
        <v>272.46907282700522</v>
      </c>
      <c r="AB28" s="95"/>
    </row>
    <row r="29" spans="1:50" x14ac:dyDescent="0.2">
      <c r="B29" t="s">
        <v>175</v>
      </c>
      <c r="D29" s="102" t="e">
        <f>#REF!</f>
        <v>#REF!</v>
      </c>
      <c r="E29" s="104">
        <f>E11</f>
        <v>143.4</v>
      </c>
      <c r="F29" s="104">
        <f t="shared" ref="F29:U29" si="23">F11</f>
        <v>144.80000000000001</v>
      </c>
      <c r="G29" s="104">
        <f t="shared" si="23"/>
        <v>145.19999999999999</v>
      </c>
      <c r="H29" s="104">
        <f t="shared" si="23"/>
        <v>145.9</v>
      </c>
      <c r="I29" s="104">
        <f t="shared" si="23"/>
        <v>148.62099511391199</v>
      </c>
      <c r="J29" s="104">
        <f t="shared" si="23"/>
        <v>147.797019737607</v>
      </c>
      <c r="K29" s="104">
        <f t="shared" si="23"/>
        <v>159.24265611122399</v>
      </c>
      <c r="L29" s="104">
        <f t="shared" si="23"/>
        <v>170.909193879409</v>
      </c>
      <c r="M29" s="104">
        <f t="shared" si="23"/>
        <v>182.80013836844901</v>
      </c>
      <c r="N29" s="104">
        <f t="shared" si="23"/>
        <v>193.82051361413301</v>
      </c>
      <c r="O29" s="104">
        <f t="shared" si="23"/>
        <v>214.404660294731</v>
      </c>
      <c r="P29" s="104">
        <f t="shared" si="23"/>
        <v>234.02054172086099</v>
      </c>
      <c r="Q29" s="104">
        <f t="shared" si="23"/>
        <v>253.77886496758899</v>
      </c>
      <c r="R29" s="104">
        <f t="shared" si="23"/>
        <v>273.52670175744203</v>
      </c>
      <c r="S29" s="104">
        <f t="shared" si="23"/>
        <v>281.50135302305898</v>
      </c>
      <c r="T29" s="104">
        <f t="shared" si="23"/>
        <v>289.89524687581797</v>
      </c>
      <c r="U29" s="104">
        <f t="shared" si="23"/>
        <v>298.67027035325299</v>
      </c>
      <c r="V29" s="104">
        <f t="shared" ref="V29:AA29" si="24">V11</f>
        <v>306.91171235614303</v>
      </c>
      <c r="W29" s="104">
        <f t="shared" si="24"/>
        <v>308.00438682705601</v>
      </c>
      <c r="X29" s="104">
        <f t="shared" si="24"/>
        <v>309.05894833550099</v>
      </c>
      <c r="Y29" s="104">
        <f t="shared" si="24"/>
        <v>310.07539688147898</v>
      </c>
      <c r="Z29" s="104">
        <f t="shared" si="24"/>
        <v>311.091845427458</v>
      </c>
      <c r="AA29" s="104">
        <f t="shared" si="24"/>
        <v>312.15287454978699</v>
      </c>
      <c r="AB29" s="95"/>
    </row>
    <row r="30" spans="1:50" s="170" customFormat="1" ht="12" x14ac:dyDescent="0.15">
      <c r="B30" s="210" t="s">
        <v>271</v>
      </c>
      <c r="D30" s="228"/>
      <c r="E30" s="242"/>
      <c r="F30" s="242"/>
      <c r="G30" s="229"/>
      <c r="H30" s="242"/>
      <c r="I30" s="242"/>
      <c r="J30" s="242"/>
      <c r="K30" s="246"/>
      <c r="L30" s="230"/>
      <c r="M30" s="230">
        <f t="shared" ref="M30" si="25">(M29/L29)-1</f>
        <v>6.9574633284094078E-2</v>
      </c>
      <c r="N30" s="230">
        <f t="shared" ref="N30" si="26">(N29/M29)-1</f>
        <v>6.0286471028109911E-2</v>
      </c>
      <c r="O30" s="246">
        <f t="shared" ref="O30" si="27">(O29/N29)-1</f>
        <v>0.10620210573571121</v>
      </c>
      <c r="P30" s="230">
        <f t="shared" ref="P30" si="28">(P29/O29)-1</f>
        <v>9.1489995596014895E-2</v>
      </c>
      <c r="Q30" s="230">
        <f t="shared" ref="Q30" si="29">(Q29/P29)-1</f>
        <v>8.4429867145148663E-2</v>
      </c>
      <c r="R30" s="230">
        <f t="shared" ref="R30" si="30">(R29/Q29)-1</f>
        <v>7.7815135599944796E-2</v>
      </c>
      <c r="S30" s="246">
        <f t="shared" ref="S30" si="31">(S29/R29)-1</f>
        <v>2.9154927889594839E-2</v>
      </c>
      <c r="T30" s="230">
        <f t="shared" ref="T30" si="32">(T29/S29)-1</f>
        <v>2.9818307310485404E-2</v>
      </c>
      <c r="U30" s="230">
        <f t="shared" ref="U30" si="33">(U29/T29)-1</f>
        <v>3.0269635573549003E-2</v>
      </c>
      <c r="V30" s="230">
        <f t="shared" ref="V30" si="34">(V29/U29)-1</f>
        <v>2.7593780904749732E-2</v>
      </c>
      <c r="W30" s="246">
        <f t="shared" ref="W30" si="35">(W29/V29)-1</f>
        <v>3.5602240870007407E-3</v>
      </c>
      <c r="X30" s="230">
        <f t="shared" ref="X30" si="36">(X29/W29)-1</f>
        <v>3.4238522357057377E-3</v>
      </c>
      <c r="Y30" s="230">
        <f t="shared" ref="Y30" si="37">(Y29/X29)-1</f>
        <v>3.2888500768293305E-3</v>
      </c>
      <c r="Z30" s="230">
        <f t="shared" ref="Z30" si="38">(Z29/Y29)-1</f>
        <v>3.278068999352346E-3</v>
      </c>
      <c r="AA30" s="246">
        <f t="shared" ref="AA30" si="39">(AA29/Z29)-1</f>
        <v>3.4106619569891361E-3</v>
      </c>
      <c r="AB30" s="243"/>
    </row>
    <row r="31" spans="1:50" s="97" customFormat="1" x14ac:dyDescent="0.2">
      <c r="B31" s="99" t="s">
        <v>176</v>
      </c>
      <c r="D31" s="103"/>
      <c r="E31" s="217"/>
      <c r="F31" s="217">
        <f t="shared" ref="F31" si="40">F28-F29</f>
        <v>185.97699999999998</v>
      </c>
      <c r="G31" s="150">
        <f t="shared" ref="G31" si="41">G28-G29</f>
        <v>36.649000000000001</v>
      </c>
      <c r="H31" s="217">
        <f t="shared" ref="H31" si="42">H28-H29</f>
        <v>60.003999999999991</v>
      </c>
      <c r="I31" s="217">
        <f t="shared" ref="I31" si="43">I28-I29</f>
        <v>-2.7453429326619414</v>
      </c>
      <c r="J31" s="217">
        <f t="shared" ref="J31" si="44">J28-J29</f>
        <v>-1.1919892954507532</v>
      </c>
      <c r="K31" s="150">
        <f t="shared" ref="K31:N31" si="45">K28-K29</f>
        <v>-11.538087940751609</v>
      </c>
      <c r="L31" s="239">
        <f t="shared" si="45"/>
        <v>-21.727580027231852</v>
      </c>
      <c r="M31" s="217">
        <f t="shared" si="45"/>
        <v>-23.239268439777305</v>
      </c>
      <c r="N31" s="217">
        <f t="shared" si="45"/>
        <v>-24.640281923286409</v>
      </c>
      <c r="O31" s="150">
        <f t="shared" ref="O31:AA31" si="46">O28-O29</f>
        <v>-27.257131749460996</v>
      </c>
      <c r="P31" s="150">
        <f t="shared" si="46"/>
        <v>-29.750886613179148</v>
      </c>
      <c r="Q31" s="150">
        <f t="shared" si="46"/>
        <v>-32.262750017380228</v>
      </c>
      <c r="R31" s="150">
        <f t="shared" si="46"/>
        <v>-34.7732802848098</v>
      </c>
      <c r="S31" s="150">
        <f t="shared" si="46"/>
        <v>-35.787092763998118</v>
      </c>
      <c r="T31" s="150">
        <f t="shared" si="46"/>
        <v>-36.854203293783854</v>
      </c>
      <c r="U31" s="150">
        <f t="shared" si="46"/>
        <v>-37.969766596840145</v>
      </c>
      <c r="V31" s="150">
        <f t="shared" si="46"/>
        <v>-39.017496017317853</v>
      </c>
      <c r="W31" s="150">
        <f t="shared" si="46"/>
        <v>-39.156407046453182</v>
      </c>
      <c r="X31" s="150">
        <f t="shared" si="46"/>
        <v>-39.290472798261362</v>
      </c>
      <c r="Y31" s="150">
        <f t="shared" si="46"/>
        <v>-39.419693272742563</v>
      </c>
      <c r="Z31" s="150">
        <f t="shared" si="46"/>
        <v>-39.548913747223878</v>
      </c>
      <c r="AA31" s="150">
        <f t="shared" si="46"/>
        <v>-39.683801722781766</v>
      </c>
      <c r="AB31" s="244"/>
    </row>
    <row r="32" spans="1:50" s="97" customFormat="1" x14ac:dyDescent="0.2">
      <c r="B32" s="99"/>
      <c r="D32" s="103"/>
      <c r="E32" s="217"/>
      <c r="F32" s="217"/>
      <c r="G32" s="150"/>
      <c r="H32" s="217"/>
      <c r="I32" s="217"/>
      <c r="J32" s="217"/>
      <c r="K32" s="150"/>
      <c r="L32" s="217"/>
      <c r="M32" s="217"/>
      <c r="N32" s="217"/>
      <c r="O32" s="181"/>
      <c r="P32" s="244"/>
      <c r="Q32" s="244"/>
      <c r="R32" s="244"/>
      <c r="S32" s="181"/>
      <c r="T32" s="244"/>
      <c r="U32" s="244"/>
      <c r="V32" s="244"/>
      <c r="W32" s="181"/>
      <c r="X32" s="244"/>
      <c r="Y32" s="244"/>
      <c r="Z32" s="244"/>
      <c r="AA32" s="181"/>
      <c r="AB32" s="244"/>
    </row>
    <row r="33" spans="1:28" s="97" customFormat="1" x14ac:dyDescent="0.2">
      <c r="B33" s="99"/>
      <c r="D33" s="103"/>
      <c r="E33" s="217"/>
      <c r="F33" s="217"/>
      <c r="G33" s="150"/>
      <c r="H33" s="217"/>
      <c r="I33" s="217"/>
      <c r="J33" s="217"/>
      <c r="K33" s="150"/>
      <c r="L33" s="217"/>
      <c r="M33" s="217"/>
      <c r="N33" s="217"/>
      <c r="O33" s="181"/>
      <c r="P33" s="244"/>
      <c r="Q33" s="244"/>
      <c r="R33" s="244"/>
      <c r="S33" s="181"/>
      <c r="T33" s="244"/>
      <c r="U33" s="244"/>
      <c r="V33" s="244"/>
      <c r="W33" s="181"/>
      <c r="X33" s="244"/>
      <c r="Y33" s="244"/>
      <c r="Z33" s="244"/>
      <c r="AA33" s="181"/>
      <c r="AB33" s="244"/>
    </row>
    <row r="34" spans="1:28" ht="19" x14ac:dyDescent="0.25">
      <c r="A34" s="110" t="s">
        <v>181</v>
      </c>
      <c r="B34" s="110"/>
      <c r="D34" s="102"/>
      <c r="E34" s="104"/>
      <c r="F34" s="104"/>
      <c r="G34" s="149"/>
      <c r="H34" s="104"/>
      <c r="I34" s="104"/>
      <c r="J34" s="104"/>
      <c r="K34" s="149"/>
      <c r="L34" s="104"/>
      <c r="M34" s="104"/>
      <c r="N34" s="104"/>
      <c r="P34" s="95"/>
      <c r="Q34" s="95"/>
      <c r="R34" s="95"/>
      <c r="T34" s="95"/>
      <c r="U34" s="95"/>
      <c r="V34" s="95"/>
      <c r="X34" s="95"/>
      <c r="Y34" s="95"/>
      <c r="Z34" s="95"/>
      <c r="AB34" s="95"/>
    </row>
    <row r="35" spans="1:28" x14ac:dyDescent="0.2">
      <c r="B35" t="s">
        <v>265</v>
      </c>
      <c r="D35" s="102"/>
      <c r="E35" s="104">
        <f>main!L26</f>
        <v>1779.8019999999999</v>
      </c>
      <c r="F35" s="104">
        <f>main!M26</f>
        <v>1871.3489999999999</v>
      </c>
      <c r="G35" s="149">
        <f>main!N26</f>
        <v>0</v>
      </c>
      <c r="H35" s="104">
        <f>main!O26</f>
        <v>0</v>
      </c>
      <c r="I35" s="104">
        <f>main!P26</f>
        <v>1957.5073583056076</v>
      </c>
      <c r="J35" s="104">
        <f>main!Q26</f>
        <v>1985.8481141737871</v>
      </c>
      <c r="K35" s="149">
        <f>main!R26</f>
        <v>2012.2468720647662</v>
      </c>
      <c r="L35" s="104"/>
      <c r="M35" s="104"/>
      <c r="N35" s="104"/>
      <c r="P35" s="95"/>
      <c r="Q35" s="95"/>
      <c r="R35" s="95"/>
      <c r="T35" s="95"/>
      <c r="U35" s="95"/>
      <c r="V35" s="95"/>
      <c r="X35" s="95"/>
      <c r="Y35" s="95"/>
      <c r="Z35" s="95"/>
      <c r="AB35" s="95"/>
    </row>
    <row r="36" spans="1:28" x14ac:dyDescent="0.2">
      <c r="B36" t="s">
        <v>175</v>
      </c>
      <c r="D36" s="102" t="e">
        <f>#REF!</f>
        <v>#REF!</v>
      </c>
      <c r="E36" s="104">
        <f>E12</f>
        <v>1779.8</v>
      </c>
      <c r="F36" s="104">
        <f t="shared" ref="F36:K36" si="47">F12</f>
        <v>1871.3</v>
      </c>
      <c r="G36" s="104">
        <f t="shared" si="47"/>
        <v>1907.1</v>
      </c>
      <c r="H36" s="104">
        <f t="shared" si="47"/>
        <v>1965.1</v>
      </c>
      <c r="I36" s="104">
        <f t="shared" si="47"/>
        <v>1985.2448178335901</v>
      </c>
      <c r="J36" s="104">
        <f t="shared" si="47"/>
        <v>2013.98715613545</v>
      </c>
      <c r="K36" s="104">
        <f t="shared" si="47"/>
        <v>2040.75997876518</v>
      </c>
      <c r="L36" s="104"/>
      <c r="M36" s="104"/>
      <c r="N36" s="104"/>
      <c r="P36" s="95"/>
      <c r="Q36" s="95"/>
      <c r="R36" s="95"/>
      <c r="T36" s="95"/>
      <c r="U36" s="95"/>
      <c r="V36" s="95"/>
      <c r="X36" s="95"/>
      <c r="Y36" s="95"/>
      <c r="Z36" s="95"/>
      <c r="AB36" s="95"/>
    </row>
    <row r="37" spans="1:28" s="97" customFormat="1" x14ac:dyDescent="0.2">
      <c r="B37" s="99" t="s">
        <v>176</v>
      </c>
      <c r="D37" s="103"/>
      <c r="E37" s="217"/>
      <c r="F37" s="217">
        <f>F35-F36</f>
        <v>4.8999999999978172E-2</v>
      </c>
      <c r="G37" s="150">
        <f t="shared" ref="G37:K37" si="48">G35-G36</f>
        <v>-1907.1</v>
      </c>
      <c r="H37" s="217">
        <f t="shared" si="48"/>
        <v>-1965.1</v>
      </c>
      <c r="I37" s="217">
        <f t="shared" si="48"/>
        <v>-27.737459527982537</v>
      </c>
      <c r="J37" s="217">
        <f t="shared" si="48"/>
        <v>-28.139041961662997</v>
      </c>
      <c r="K37" s="150">
        <f t="shared" si="48"/>
        <v>-28.5131067004138</v>
      </c>
      <c r="L37" s="217">
        <v>0</v>
      </c>
      <c r="M37" s="217">
        <v>0</v>
      </c>
      <c r="N37" s="217">
        <v>0</v>
      </c>
      <c r="O37" s="150">
        <v>0</v>
      </c>
      <c r="P37" s="217">
        <v>0</v>
      </c>
      <c r="Q37" s="217">
        <v>0</v>
      </c>
      <c r="R37" s="217">
        <v>0</v>
      </c>
      <c r="S37" s="150">
        <v>0</v>
      </c>
      <c r="T37" s="217">
        <v>0</v>
      </c>
      <c r="U37" s="217">
        <v>0</v>
      </c>
      <c r="V37" s="217">
        <v>0</v>
      </c>
      <c r="W37" s="150">
        <v>0</v>
      </c>
      <c r="X37" s="217">
        <v>0</v>
      </c>
      <c r="Y37" s="217">
        <v>0</v>
      </c>
      <c r="Z37" s="217">
        <v>0</v>
      </c>
      <c r="AA37" s="150">
        <v>0</v>
      </c>
      <c r="AB37" s="244"/>
    </row>
    <row r="38" spans="1:28" x14ac:dyDescent="0.2">
      <c r="D38" s="102"/>
      <c r="E38" s="104"/>
      <c r="F38" s="104"/>
      <c r="G38" s="149"/>
      <c r="H38" s="104"/>
      <c r="I38" s="104"/>
      <c r="J38" s="104"/>
      <c r="K38" s="149"/>
      <c r="L38" s="104"/>
      <c r="M38" s="104"/>
      <c r="N38" s="104"/>
      <c r="P38" s="95"/>
      <c r="Q38" s="95"/>
      <c r="R38" s="95"/>
      <c r="T38" s="95"/>
      <c r="U38" s="95"/>
      <c r="V38" s="95"/>
      <c r="X38" s="95"/>
      <c r="Y38" s="95"/>
      <c r="Z38" s="95"/>
      <c r="AB38" s="95"/>
    </row>
    <row r="39" spans="1:28" x14ac:dyDescent="0.2">
      <c r="D39" s="102"/>
      <c r="E39" s="104"/>
      <c r="F39" s="104"/>
      <c r="G39" s="149"/>
      <c r="H39" s="104"/>
      <c r="I39" s="104"/>
      <c r="J39" s="104"/>
      <c r="K39" s="149"/>
      <c r="L39" s="104"/>
      <c r="M39" s="104"/>
      <c r="N39" s="104"/>
      <c r="P39" s="95"/>
      <c r="Q39" s="95"/>
      <c r="R39" s="95"/>
      <c r="T39" s="95"/>
      <c r="U39" s="95"/>
      <c r="V39" s="95"/>
      <c r="X39" s="95"/>
      <c r="Y39" s="95"/>
      <c r="Z39" s="95"/>
      <c r="AB39" s="95"/>
    </row>
    <row r="40" spans="1:28" ht="19" x14ac:dyDescent="0.25">
      <c r="A40" s="110" t="s">
        <v>180</v>
      </c>
      <c r="B40" s="110"/>
      <c r="D40" s="102"/>
      <c r="E40" s="104"/>
      <c r="F40" s="104"/>
      <c r="G40" s="149"/>
      <c r="H40" s="104"/>
      <c r="I40" s="104"/>
      <c r="J40" s="104"/>
      <c r="K40" s="149"/>
      <c r="L40" s="104"/>
      <c r="M40" s="104"/>
      <c r="N40" s="104"/>
      <c r="P40" s="95"/>
      <c r="Q40" s="95"/>
      <c r="R40" s="95"/>
      <c r="T40" s="95"/>
      <c r="U40" s="95"/>
      <c r="V40" s="95"/>
      <c r="X40" s="95"/>
      <c r="Y40" s="95"/>
      <c r="Z40" s="95"/>
      <c r="AB40" s="95"/>
    </row>
    <row r="41" spans="1:28" x14ac:dyDescent="0.2">
      <c r="B41" t="s">
        <v>265</v>
      </c>
      <c r="D41" s="102"/>
      <c r="E41" s="104">
        <f>main!L30</f>
        <v>54.2</v>
      </c>
      <c r="F41" s="104">
        <f>main!M30</f>
        <v>90.2</v>
      </c>
      <c r="G41" s="149">
        <f>main!N30</f>
        <v>91.58216652574599</v>
      </c>
      <c r="H41" s="104">
        <f>main!O30</f>
        <v>93.994992985456051</v>
      </c>
      <c r="I41" s="104">
        <f>main!P30</f>
        <v>94.958563292800008</v>
      </c>
      <c r="J41" s="104">
        <f>main!Q30</f>
        <v>96.333371642028268</v>
      </c>
      <c r="K41" s="149">
        <f>main!R30</f>
        <v>97.613973787101031</v>
      </c>
      <c r="L41" s="104"/>
      <c r="M41" s="104"/>
      <c r="N41" s="104"/>
      <c r="P41" s="95"/>
      <c r="Q41" s="95"/>
      <c r="R41" s="95"/>
      <c r="T41" s="95"/>
      <c r="U41" s="95"/>
      <c r="V41" s="95"/>
      <c r="X41" s="95"/>
      <c r="Y41" s="95"/>
      <c r="Z41" s="95"/>
      <c r="AB41" s="95"/>
    </row>
    <row r="42" spans="1:28" x14ac:dyDescent="0.2">
      <c r="B42" t="s">
        <v>175</v>
      </c>
      <c r="D42" s="102" t="e">
        <f>#REF!</f>
        <v>#REF!</v>
      </c>
      <c r="E42" s="104">
        <f>E13</f>
        <v>54.2</v>
      </c>
      <c r="F42" s="104">
        <f t="shared" ref="F42:K42" si="49">F13</f>
        <v>90.2</v>
      </c>
      <c r="G42" s="104">
        <f t="shared" si="49"/>
        <v>95.9</v>
      </c>
      <c r="H42" s="104">
        <f t="shared" si="49"/>
        <v>96.6</v>
      </c>
      <c r="I42" s="104">
        <f t="shared" si="49"/>
        <v>97.590275000114403</v>
      </c>
      <c r="J42" s="104">
        <f t="shared" si="49"/>
        <v>99.003185223491897</v>
      </c>
      <c r="K42" s="104">
        <f t="shared" si="49"/>
        <v>100.319278382126</v>
      </c>
      <c r="L42" s="104"/>
      <c r="M42" s="104"/>
      <c r="N42" s="104"/>
      <c r="O42" s="149"/>
      <c r="P42" s="104"/>
      <c r="Q42" s="104"/>
      <c r="R42" s="104"/>
      <c r="S42" s="149"/>
      <c r="T42" s="95"/>
      <c r="U42" s="95"/>
      <c r="V42" s="95"/>
      <c r="X42" s="95"/>
      <c r="Y42" s="95"/>
      <c r="Z42" s="95"/>
      <c r="AB42" s="95"/>
    </row>
    <row r="43" spans="1:28" s="97" customFormat="1" x14ac:dyDescent="0.2">
      <c r="B43" s="99" t="s">
        <v>176</v>
      </c>
      <c r="D43" s="103"/>
      <c r="E43" s="217"/>
      <c r="F43" s="217">
        <f>F41-F42</f>
        <v>0</v>
      </c>
      <c r="G43" s="150">
        <f t="shared" ref="G43:K43" si="50">G41-G42</f>
        <v>-4.3178334742540159</v>
      </c>
      <c r="H43" s="217">
        <f t="shared" si="50"/>
        <v>-2.6050070145439435</v>
      </c>
      <c r="I43" s="217">
        <f t="shared" si="50"/>
        <v>-2.6317117073143947</v>
      </c>
      <c r="J43" s="217">
        <f t="shared" si="50"/>
        <v>-2.6698135814636288</v>
      </c>
      <c r="K43" s="150">
        <f t="shared" si="50"/>
        <v>-2.7053045950249697</v>
      </c>
      <c r="L43" s="217">
        <v>0</v>
      </c>
      <c r="M43" s="217">
        <v>0</v>
      </c>
      <c r="N43" s="217">
        <v>0</v>
      </c>
      <c r="O43" s="150">
        <v>0</v>
      </c>
      <c r="P43" s="217">
        <v>0</v>
      </c>
      <c r="Q43" s="217">
        <v>0</v>
      </c>
      <c r="R43" s="217">
        <v>0</v>
      </c>
      <c r="S43" s="150">
        <v>0</v>
      </c>
      <c r="T43" s="217">
        <v>0</v>
      </c>
      <c r="U43" s="217">
        <v>0</v>
      </c>
      <c r="V43" s="217">
        <v>0</v>
      </c>
      <c r="W43" s="150">
        <v>0</v>
      </c>
      <c r="X43" s="217">
        <v>0</v>
      </c>
      <c r="Y43" s="217">
        <v>0</v>
      </c>
      <c r="Z43" s="217">
        <v>0</v>
      </c>
      <c r="AA43" s="150">
        <v>0</v>
      </c>
      <c r="AB43" s="244"/>
    </row>
    <row r="44" spans="1:28" x14ac:dyDescent="0.2">
      <c r="D44" s="102"/>
      <c r="E44" s="104"/>
      <c r="F44" s="104"/>
      <c r="G44" s="149"/>
      <c r="H44" s="104"/>
      <c r="I44" s="104"/>
      <c r="J44" s="104"/>
      <c r="K44" s="149"/>
      <c r="L44" s="104"/>
      <c r="M44" s="104"/>
      <c r="N44" s="104"/>
      <c r="P44" s="95"/>
      <c r="Q44" s="95"/>
      <c r="R44" s="95"/>
      <c r="T44" s="95"/>
      <c r="U44" s="95"/>
      <c r="V44" s="95"/>
      <c r="X44" s="95"/>
      <c r="Y44" s="95"/>
      <c r="Z44" s="95"/>
      <c r="AB44" s="95"/>
    </row>
    <row r="45" spans="1:28" x14ac:dyDescent="0.2">
      <c r="D45" s="102"/>
      <c r="E45" s="104"/>
      <c r="F45" s="104"/>
      <c r="G45" s="149"/>
      <c r="H45" s="104"/>
      <c r="I45" s="104"/>
      <c r="J45" s="104"/>
      <c r="K45" s="149"/>
      <c r="L45" s="104"/>
      <c r="M45" s="104"/>
      <c r="N45" s="104"/>
      <c r="P45" s="95"/>
      <c r="Q45" s="95"/>
      <c r="R45" s="95"/>
      <c r="T45" s="95"/>
      <c r="U45" s="95"/>
      <c r="V45" s="95"/>
      <c r="X45" s="95"/>
      <c r="Y45" s="95"/>
      <c r="Z45" s="95"/>
      <c r="AB45" s="95"/>
    </row>
    <row r="46" spans="1:28" ht="19" x14ac:dyDescent="0.25">
      <c r="A46" s="105" t="s">
        <v>186</v>
      </c>
      <c r="B46" s="105"/>
      <c r="D46" s="102"/>
      <c r="E46" s="104"/>
      <c r="F46" s="104"/>
      <c r="G46" s="149"/>
      <c r="H46" s="104"/>
      <c r="I46" s="104"/>
      <c r="J46" s="104"/>
      <c r="K46" s="149"/>
      <c r="L46" s="104"/>
      <c r="M46" s="104"/>
      <c r="N46" s="104"/>
      <c r="P46" s="95"/>
      <c r="Q46" s="95"/>
      <c r="R46" s="95"/>
      <c r="T46" s="95"/>
      <c r="U46" s="95"/>
      <c r="V46" s="95"/>
      <c r="X46" s="95"/>
      <c r="Y46" s="95"/>
      <c r="Z46" s="95"/>
      <c r="AB46" s="95"/>
    </row>
    <row r="47" spans="1:28" x14ac:dyDescent="0.2">
      <c r="B47" t="s">
        <v>186</v>
      </c>
      <c r="D47" s="102"/>
      <c r="E47" s="104">
        <f>main!L95/1000</f>
        <v>1336.6980000000001</v>
      </c>
      <c r="F47" s="104">
        <f>main!M95/1000</f>
        <v>1328.8050000000001</v>
      </c>
      <c r="G47" s="149">
        <f>main!N95/1000</f>
        <v>1372.787</v>
      </c>
      <c r="H47" s="104">
        <f>main!O95/1000</f>
        <v>1403.2670000000001</v>
      </c>
      <c r="I47" s="104">
        <f>main!P95/1000</f>
        <v>1421.8797572941455</v>
      </c>
      <c r="J47" s="223">
        <f>main!Q95/1000</f>
        <v>1444.9365325513459</v>
      </c>
      <c r="K47" s="149">
        <f>J47*(1+K49)</f>
        <v>1476.4530643714609</v>
      </c>
      <c r="L47" s="104">
        <f t="shared" ref="L47:AA47" si="51">K47*(1+L49)</f>
        <v>1507.9695961915656</v>
      </c>
      <c r="M47" s="104">
        <f t="shared" si="51"/>
        <v>1539.48612801167</v>
      </c>
      <c r="N47" s="104">
        <f t="shared" si="51"/>
        <v>1571.0026598317852</v>
      </c>
      <c r="O47" s="149">
        <f t="shared" si="51"/>
        <v>1584.3661861427986</v>
      </c>
      <c r="P47" s="104">
        <f t="shared" si="51"/>
        <v>1597.7297124538018</v>
      </c>
      <c r="Q47" s="104">
        <f t="shared" si="51"/>
        <v>1611.0932387648152</v>
      </c>
      <c r="R47" s="104">
        <f t="shared" si="51"/>
        <v>1624.4567650758283</v>
      </c>
      <c r="S47" s="149">
        <f t="shared" si="51"/>
        <v>1635.4725530953417</v>
      </c>
      <c r="T47" s="104">
        <f t="shared" si="51"/>
        <v>1646.4883411148555</v>
      </c>
      <c r="U47" s="104">
        <f t="shared" si="51"/>
        <v>1657.5041291343584</v>
      </c>
      <c r="V47" s="104">
        <f t="shared" si="51"/>
        <v>1668.5199171538723</v>
      </c>
      <c r="W47" s="149">
        <f t="shared" si="51"/>
        <v>1709.6327256316122</v>
      </c>
      <c r="X47" s="104">
        <f t="shared" si="51"/>
        <v>1750.7455341093626</v>
      </c>
      <c r="Y47" s="104">
        <f t="shared" si="51"/>
        <v>1791.8583425871025</v>
      </c>
      <c r="Z47" s="104">
        <f t="shared" si="51"/>
        <v>1832.9711510648426</v>
      </c>
      <c r="AA47" s="149">
        <f t="shared" si="51"/>
        <v>1863.6126158747145</v>
      </c>
      <c r="AB47" s="95"/>
    </row>
    <row r="48" spans="1:28" x14ac:dyDescent="0.2">
      <c r="B48" t="s">
        <v>175</v>
      </c>
      <c r="D48" s="102" t="e">
        <f>#REF!</f>
        <v>#REF!</v>
      </c>
      <c r="E48" s="104">
        <f>E14</f>
        <v>1336.74</v>
      </c>
      <c r="F48" s="104">
        <f t="shared" ref="F48:AA48" si="52">F14</f>
        <v>1328.7719999999999</v>
      </c>
      <c r="G48" s="104">
        <f t="shared" si="52"/>
        <v>1372.7929999999999</v>
      </c>
      <c r="H48" s="104">
        <f t="shared" si="52"/>
        <v>1403.2629999999999</v>
      </c>
      <c r="I48" s="104">
        <f t="shared" si="52"/>
        <v>1394.63952711825</v>
      </c>
      <c r="J48" s="104">
        <f t="shared" si="52"/>
        <v>1386.0160542364999</v>
      </c>
      <c r="K48" s="104">
        <f t="shared" si="52"/>
        <v>1416.24742986613</v>
      </c>
      <c r="L48" s="104">
        <f t="shared" si="52"/>
        <v>1446.4788054957501</v>
      </c>
      <c r="M48" s="104">
        <f t="shared" si="52"/>
        <v>1476.7101811253699</v>
      </c>
      <c r="N48" s="104">
        <f t="shared" si="52"/>
        <v>1506.941556755</v>
      </c>
      <c r="O48" s="104">
        <f t="shared" si="52"/>
        <v>1519.7601557667999</v>
      </c>
      <c r="P48" s="104">
        <f t="shared" si="52"/>
        <v>1532.5787547785901</v>
      </c>
      <c r="Q48" s="104">
        <f t="shared" si="52"/>
        <v>1545.3973537903901</v>
      </c>
      <c r="R48" s="104">
        <f t="shared" si="52"/>
        <v>1558.21595280219</v>
      </c>
      <c r="S48" s="104">
        <f t="shared" si="52"/>
        <v>1568.7825477363999</v>
      </c>
      <c r="T48" s="104">
        <f t="shared" si="52"/>
        <v>1579.34914267061</v>
      </c>
      <c r="U48" s="104">
        <f t="shared" si="52"/>
        <v>1589.9157376048099</v>
      </c>
      <c r="V48" s="104">
        <f t="shared" si="52"/>
        <v>1600.48233253902</v>
      </c>
      <c r="W48" s="104">
        <f t="shared" si="52"/>
        <v>1639.9186754518</v>
      </c>
      <c r="X48" s="104">
        <f t="shared" si="52"/>
        <v>1679.35501836459</v>
      </c>
      <c r="Y48" s="104">
        <f t="shared" si="52"/>
        <v>1718.79136127737</v>
      </c>
      <c r="Z48" s="104">
        <f t="shared" si="52"/>
        <v>1758.22770419015</v>
      </c>
      <c r="AA48" s="104">
        <f t="shared" si="52"/>
        <v>1787.6196955994999</v>
      </c>
      <c r="AB48" s="95"/>
    </row>
    <row r="49" spans="1:32" s="170" customFormat="1" ht="12" x14ac:dyDescent="0.15">
      <c r="B49" s="210" t="s">
        <v>271</v>
      </c>
      <c r="D49" s="228"/>
      <c r="E49" s="242"/>
      <c r="F49" s="242"/>
      <c r="G49" s="229"/>
      <c r="H49" s="242"/>
      <c r="I49" s="242"/>
      <c r="J49" s="242"/>
      <c r="K49" s="246">
        <f t="shared" ref="K49" si="53">(K48/J48)-1</f>
        <v>2.1811706680615162E-2</v>
      </c>
      <c r="L49" s="230">
        <f t="shared" ref="L49" si="54">(L48/K48)-1</f>
        <v>2.1346111556564518E-2</v>
      </c>
      <c r="M49" s="230">
        <f t="shared" ref="M49" si="55">(M48/L48)-1</f>
        <v>2.0899978288488441E-2</v>
      </c>
      <c r="N49" s="230">
        <f t="shared" ref="N49" si="56">(N48/M48)-1</f>
        <v>2.0472111600525089E-2</v>
      </c>
      <c r="O49" s="246">
        <f t="shared" ref="O49" si="57">(O48/N48)-1</f>
        <v>8.5063677183361275E-3</v>
      </c>
      <c r="P49" s="230">
        <f t="shared" ref="P49" si="58">(P48/O48)-1</f>
        <v>8.4346197412463741E-3</v>
      </c>
      <c r="Q49" s="230">
        <f t="shared" ref="Q49" si="59">(Q48/P48)-1</f>
        <v>8.3640719746580494E-3</v>
      </c>
      <c r="R49" s="230">
        <f t="shared" ref="R49" si="60">(R48/Q48)-1</f>
        <v>8.2946945524138282E-3</v>
      </c>
      <c r="S49" s="246">
        <f t="shared" ref="S49" si="61">(S48/R48)-1</f>
        <v>6.781213422444754E-3</v>
      </c>
      <c r="T49" s="230">
        <f t="shared" ref="T49" si="62">(T48/S48)-1</f>
        <v>6.7355382997196234E-3</v>
      </c>
      <c r="U49" s="230">
        <f t="shared" ref="U49" si="63">(U48/T48)-1</f>
        <v>6.6904743534619282E-3</v>
      </c>
      <c r="V49" s="230">
        <f t="shared" ref="V49" si="64">(V48/U48)-1</f>
        <v>6.6460093980380552E-3</v>
      </c>
      <c r="W49" s="246">
        <f t="shared" ref="W49" si="65">(W48/V48)-1</f>
        <v>2.4640286313075244E-2</v>
      </c>
      <c r="X49" s="230">
        <f t="shared" ref="X49" si="66">(X48/W48)-1</f>
        <v>2.4047743039407266E-2</v>
      </c>
      <c r="Y49" s="230">
        <f t="shared" ref="Y49" si="67">(Y48/X48)-1</f>
        <v>2.3483029187708171E-2</v>
      </c>
      <c r="Z49" s="230">
        <f t="shared" ref="Z49" si="68">(Z48/Y48)-1</f>
        <v>2.2944229184088893E-2</v>
      </c>
      <c r="AA49" s="246">
        <f t="shared" ref="AA49" si="69">(AA48/Z48)-1</f>
        <v>1.6716828735722888E-2</v>
      </c>
      <c r="AB49" s="243"/>
    </row>
    <row r="50" spans="1:32" s="97" customFormat="1" x14ac:dyDescent="0.2">
      <c r="B50" s="99" t="s">
        <v>176</v>
      </c>
      <c r="D50" s="103"/>
      <c r="E50" s="217"/>
      <c r="F50" s="217">
        <f t="shared" ref="F50" si="70">F47-F48</f>
        <v>3.3000000000129148E-2</v>
      </c>
      <c r="G50" s="150">
        <f t="shared" ref="G50" si="71">G47-G48</f>
        <v>-5.9999999998581188E-3</v>
      </c>
      <c r="H50" s="217">
        <f t="shared" ref="H50" si="72">H47-H48</f>
        <v>4.0000000001327862E-3</v>
      </c>
      <c r="I50" s="217">
        <f t="shared" ref="I50" si="73">I47-I48</f>
        <v>27.240230175895476</v>
      </c>
      <c r="J50" s="239">
        <f t="shared" ref="J50" si="74">J47-J48</f>
        <v>58.920478314845923</v>
      </c>
      <c r="K50" s="150">
        <f t="shared" ref="K50:AA50" si="75">K47-K48</f>
        <v>60.205634505330863</v>
      </c>
      <c r="L50" s="217">
        <f t="shared" si="75"/>
        <v>61.490790695815576</v>
      </c>
      <c r="M50" s="217">
        <f t="shared" si="75"/>
        <v>62.775946886300062</v>
      </c>
      <c r="N50" s="217">
        <f t="shared" si="75"/>
        <v>64.06110307678523</v>
      </c>
      <c r="O50" s="150">
        <f t="shared" si="75"/>
        <v>64.606030375998671</v>
      </c>
      <c r="P50" s="217">
        <f t="shared" si="75"/>
        <v>65.150957675211657</v>
      </c>
      <c r="Q50" s="217">
        <f t="shared" si="75"/>
        <v>65.695884974425098</v>
      </c>
      <c r="R50" s="217">
        <f t="shared" si="75"/>
        <v>66.240812273638312</v>
      </c>
      <c r="S50" s="150">
        <f t="shared" si="75"/>
        <v>66.690005358941789</v>
      </c>
      <c r="T50" s="217">
        <f t="shared" si="75"/>
        <v>67.139198444245494</v>
      </c>
      <c r="U50" s="217">
        <f t="shared" si="75"/>
        <v>67.588391529548517</v>
      </c>
      <c r="V50" s="217">
        <f t="shared" si="75"/>
        <v>68.037584614852221</v>
      </c>
      <c r="W50" s="150">
        <f t="shared" si="75"/>
        <v>69.714050179812148</v>
      </c>
      <c r="X50" s="217">
        <f t="shared" si="75"/>
        <v>71.390515744772529</v>
      </c>
      <c r="Y50" s="217">
        <f t="shared" si="75"/>
        <v>73.066981309732455</v>
      </c>
      <c r="Z50" s="217">
        <f t="shared" si="75"/>
        <v>74.743446874692609</v>
      </c>
      <c r="AA50" s="150">
        <f t="shared" si="75"/>
        <v>75.992920275214601</v>
      </c>
      <c r="AB50" s="244"/>
    </row>
    <row r="51" spans="1:32" x14ac:dyDescent="0.2">
      <c r="D51" s="102"/>
      <c r="E51" s="104"/>
      <c r="F51" s="104"/>
      <c r="G51" s="149"/>
      <c r="H51" s="104"/>
      <c r="I51" s="104"/>
      <c r="J51" s="104"/>
      <c r="K51" s="149"/>
      <c r="L51" s="104"/>
      <c r="M51" s="104"/>
      <c r="N51" s="104"/>
      <c r="P51" s="95"/>
      <c r="Q51" s="95"/>
      <c r="R51" s="95"/>
      <c r="T51" s="95"/>
      <c r="U51" s="95"/>
      <c r="V51" s="95"/>
      <c r="X51" s="95"/>
      <c r="Y51" s="95"/>
      <c r="Z51" s="95"/>
      <c r="AB51" s="95"/>
    </row>
    <row r="52" spans="1:32" x14ac:dyDescent="0.2">
      <c r="D52" s="102"/>
      <c r="E52" s="104"/>
      <c r="F52" s="104"/>
      <c r="G52" s="149"/>
      <c r="H52" s="104"/>
      <c r="I52" s="104"/>
      <c r="J52" s="104"/>
      <c r="K52" s="149"/>
      <c r="L52" s="104"/>
      <c r="M52" s="104"/>
      <c r="N52" s="104"/>
      <c r="P52" s="95"/>
      <c r="Q52" s="95"/>
      <c r="R52" s="95"/>
      <c r="T52" s="95"/>
      <c r="U52" s="95"/>
      <c r="V52" s="95"/>
      <c r="X52" s="95"/>
      <c r="Y52" s="95"/>
      <c r="Z52" s="95"/>
      <c r="AB52" s="95"/>
    </row>
    <row r="53" spans="1:32" ht="19" x14ac:dyDescent="0.25">
      <c r="A53" s="105" t="s">
        <v>187</v>
      </c>
      <c r="B53" s="105"/>
      <c r="D53" s="102"/>
      <c r="E53" s="104"/>
      <c r="F53" s="104"/>
      <c r="G53" s="149"/>
      <c r="H53" s="104"/>
      <c r="I53" s="104"/>
      <c r="J53" s="104"/>
      <c r="K53" s="149"/>
      <c r="L53" s="104"/>
      <c r="M53" s="104"/>
      <c r="N53" s="104"/>
      <c r="P53" s="95"/>
      <c r="Q53" s="95"/>
      <c r="R53" s="95"/>
      <c r="T53" s="95"/>
      <c r="U53" s="95"/>
      <c r="V53" s="95"/>
      <c r="X53" s="95"/>
      <c r="Y53" s="95"/>
      <c r="Z53" s="95"/>
      <c r="AB53" s="95"/>
    </row>
    <row r="54" spans="1:32" ht="16" x14ac:dyDescent="0.2">
      <c r="B54" s="86" t="s">
        <v>187</v>
      </c>
      <c r="D54" s="102">
        <f>main!K94/1000</f>
        <v>1574.462</v>
      </c>
      <c r="E54" s="104">
        <f>main!L94/1000</f>
        <v>3729.5573333333332</v>
      </c>
      <c r="F54" s="104">
        <f>main!M94/1000</f>
        <v>2466.0010000000002</v>
      </c>
      <c r="G54" s="149">
        <f>main!N94/1000</f>
        <v>2026.902</v>
      </c>
      <c r="H54" s="104">
        <f>main!O94/1000</f>
        <v>3162.1997350000001</v>
      </c>
      <c r="I54" s="104">
        <f>main!P94/1000</f>
        <v>1918.5942369875002</v>
      </c>
      <c r="J54" s="104">
        <f>main!Q94/1000</f>
        <v>1729.884780210094</v>
      </c>
      <c r="K54" s="263">
        <f>main!R94/1000</f>
        <v>1727.1130519132453</v>
      </c>
      <c r="L54" s="104">
        <f>K54*(1+L56)</f>
        <v>1728.6015320065658</v>
      </c>
      <c r="M54" s="104">
        <f t="shared" ref="M54:AA54" si="76">L54*(1+M56)</f>
        <v>1722.0649756425535</v>
      </c>
      <c r="N54" s="104">
        <f t="shared" si="76"/>
        <v>1703.520605973604</v>
      </c>
      <c r="O54" s="104">
        <f t="shared" si="76"/>
        <v>1725.4564280329271</v>
      </c>
      <c r="P54" s="104">
        <f t="shared" si="76"/>
        <v>1736.8795902691238</v>
      </c>
      <c r="Q54" s="104">
        <f t="shared" si="76"/>
        <v>1740.8820697194501</v>
      </c>
      <c r="R54" s="104">
        <f t="shared" si="76"/>
        <v>1736.3530812384013</v>
      </c>
      <c r="S54" s="104">
        <f t="shared" si="76"/>
        <v>1745.1334034709955</v>
      </c>
      <c r="T54" s="104">
        <f t="shared" si="76"/>
        <v>1754.9974028515674</v>
      </c>
      <c r="U54" s="104">
        <f t="shared" si="76"/>
        <v>1764.4092636027997</v>
      </c>
      <c r="V54" s="104">
        <f t="shared" si="76"/>
        <v>1774.4286742501135</v>
      </c>
      <c r="W54" s="104">
        <f t="shared" si="76"/>
        <v>1815.6716706621512</v>
      </c>
      <c r="X54" s="104">
        <f t="shared" si="76"/>
        <v>1850.5149655220262</v>
      </c>
      <c r="Y54" s="104">
        <f t="shared" si="76"/>
        <v>1877.322771887124</v>
      </c>
      <c r="Z54" s="104">
        <f t="shared" si="76"/>
        <v>1896.8707408603975</v>
      </c>
      <c r="AA54" s="104">
        <f t="shared" si="76"/>
        <v>1905.9822012622701</v>
      </c>
      <c r="AB54" s="95"/>
    </row>
    <row r="55" spans="1:32" x14ac:dyDescent="0.2">
      <c r="B55" t="s">
        <v>175</v>
      </c>
      <c r="D55" s="102" t="e">
        <f>#REF!</f>
        <v>#REF!</v>
      </c>
      <c r="E55" s="104">
        <f>E15</f>
        <v>1828.5</v>
      </c>
      <c r="F55" s="104">
        <f t="shared" ref="F55:AA55" si="77">F15</f>
        <v>1861.4</v>
      </c>
      <c r="G55" s="104">
        <f t="shared" si="77"/>
        <v>1756.2</v>
      </c>
      <c r="H55" s="104">
        <f t="shared" si="77"/>
        <v>1805.1</v>
      </c>
      <c r="I55" s="104">
        <f t="shared" si="77"/>
        <v>1626.02571860579</v>
      </c>
      <c r="J55" s="104">
        <f t="shared" si="77"/>
        <v>1498.53485474677</v>
      </c>
      <c r="K55" s="104">
        <f t="shared" si="77"/>
        <v>1511.0876515336199</v>
      </c>
      <c r="L55" s="104">
        <f t="shared" si="77"/>
        <v>1512.38995417448</v>
      </c>
      <c r="M55" s="104">
        <f t="shared" si="77"/>
        <v>1506.67098308902</v>
      </c>
      <c r="N55" s="104">
        <f t="shared" si="77"/>
        <v>1490.44612277592</v>
      </c>
      <c r="O55" s="104">
        <f t="shared" si="77"/>
        <v>1509.6382363456501</v>
      </c>
      <c r="P55" s="104">
        <f t="shared" si="77"/>
        <v>1519.632602017</v>
      </c>
      <c r="Q55" s="104">
        <f t="shared" si="77"/>
        <v>1523.1344557411701</v>
      </c>
      <c r="R55" s="104">
        <f t="shared" si="77"/>
        <v>1519.1719481565799</v>
      </c>
      <c r="S55" s="104">
        <f t="shared" si="77"/>
        <v>1526.85403734435</v>
      </c>
      <c r="T55" s="104">
        <f t="shared" si="77"/>
        <v>1535.4842585346801</v>
      </c>
      <c r="U55" s="104">
        <f t="shared" si="77"/>
        <v>1543.71889409799</v>
      </c>
      <c r="V55" s="104">
        <f t="shared" si="77"/>
        <v>1552.4850878847999</v>
      </c>
      <c r="W55" s="104">
        <f t="shared" si="77"/>
        <v>1588.56945568078</v>
      </c>
      <c r="X55" s="104">
        <f t="shared" si="77"/>
        <v>1619.0545895538501</v>
      </c>
      <c r="Y55" s="104">
        <f t="shared" si="77"/>
        <v>1642.5093049924999</v>
      </c>
      <c r="Z55" s="104">
        <f t="shared" si="77"/>
        <v>1659.6122355130899</v>
      </c>
      <c r="AA55" s="104">
        <f t="shared" si="77"/>
        <v>1667.5840444722401</v>
      </c>
      <c r="AB55" s="95"/>
    </row>
    <row r="56" spans="1:32" s="170" customFormat="1" ht="12" x14ac:dyDescent="0.15">
      <c r="B56" s="210" t="s">
        <v>271</v>
      </c>
      <c r="D56" s="228"/>
      <c r="E56" s="242"/>
      <c r="F56" s="242"/>
      <c r="G56" s="229"/>
      <c r="H56" s="242"/>
      <c r="I56" s="242"/>
      <c r="J56" s="242"/>
      <c r="K56" s="246"/>
      <c r="L56" s="230">
        <f t="shared" ref="L56" si="78">(L55/K55)-1</f>
        <v>8.6183130378847395E-4</v>
      </c>
      <c r="M56" s="230">
        <f t="shared" ref="M56" si="79">(M55/L55)-1</f>
        <v>-3.781413034167902E-3</v>
      </c>
      <c r="N56" s="230">
        <f t="shared" ref="N56" si="80">(N55/M55)-1</f>
        <v>-1.0768681746186726E-2</v>
      </c>
      <c r="O56" s="246">
        <f t="shared" ref="O56" si="81">(O55/N55)-1</f>
        <v>1.287675768781571E-2</v>
      </c>
      <c r="P56" s="230">
        <f t="shared" ref="P56" si="82">(P55/O55)-1</f>
        <v>6.6203713119661334E-3</v>
      </c>
      <c r="Q56" s="230">
        <f t="shared" ref="Q56" si="83">(Q55/P55)-1</f>
        <v>2.304408130966662E-3</v>
      </c>
      <c r="R56" s="230">
        <f t="shared" ref="R56" si="84">(R55/Q55)-1</f>
        <v>-2.6015481231183024E-3</v>
      </c>
      <c r="S56" s="246">
        <f t="shared" ref="S56" si="85">(S55/R55)-1</f>
        <v>5.0567608209799442E-3</v>
      </c>
      <c r="T56" s="230">
        <f t="shared" ref="T56" si="86">(T55/S55)-1</f>
        <v>5.6522895962869413E-3</v>
      </c>
      <c r="U56" s="230">
        <f t="shared" ref="U56" si="87">(U55/T55)-1</f>
        <v>5.3628915552466072E-3</v>
      </c>
      <c r="V56" s="230">
        <f t="shared" ref="V56" si="88">(V55/U55)-1</f>
        <v>5.6786205184928829E-3</v>
      </c>
      <c r="W56" s="246">
        <f t="shared" ref="W56" si="89">(W55/V55)-1</f>
        <v>2.3242972236946713E-2</v>
      </c>
      <c r="X56" s="230">
        <f t="shared" ref="X56" si="90">(X55/W55)-1</f>
        <v>1.9190305947312636E-2</v>
      </c>
      <c r="Y56" s="230">
        <f t="shared" ref="Y56" si="91">(Y55/X55)-1</f>
        <v>1.4486673636565417E-2</v>
      </c>
      <c r="Z56" s="230">
        <f t="shared" ref="Z56" si="92">(Z55/Y55)-1</f>
        <v>1.0412684097803604E-2</v>
      </c>
      <c r="AA56" s="246">
        <f t="shared" ref="AA56" si="93">(AA55/Z55)-1</f>
        <v>4.8034165985078037E-3</v>
      </c>
      <c r="AB56" s="243"/>
    </row>
    <row r="57" spans="1:32" s="97" customFormat="1" x14ac:dyDescent="0.2">
      <c r="B57" s="99" t="s">
        <v>176</v>
      </c>
      <c r="D57" s="103"/>
      <c r="E57" s="217"/>
      <c r="F57" s="217">
        <f t="shared" ref="F57" si="94">F54-F55</f>
        <v>604.60100000000011</v>
      </c>
      <c r="G57" s="150">
        <f t="shared" ref="G57" si="95">G54-G55</f>
        <v>270.702</v>
      </c>
      <c r="H57" s="217">
        <f t="shared" ref="H57" si="96">H54-H55</f>
        <v>1357.0997350000002</v>
      </c>
      <c r="I57" s="217">
        <f t="shared" ref="I57" si="97">I54-I55</f>
        <v>292.56851838171019</v>
      </c>
      <c r="J57" s="217">
        <f t="shared" ref="J57" si="98">J54-J55</f>
        <v>231.3499254633241</v>
      </c>
      <c r="K57" s="264">
        <f t="shared" ref="K57" si="99">K54-K55</f>
        <v>216.02540037962535</v>
      </c>
      <c r="L57" s="217">
        <f t="shared" ref="L57:AA57" si="100">L54-L55</f>
        <v>216.21157783208582</v>
      </c>
      <c r="M57" s="217">
        <f t="shared" si="100"/>
        <v>215.39399255353351</v>
      </c>
      <c r="N57" s="217">
        <f t="shared" si="100"/>
        <v>213.074483197684</v>
      </c>
      <c r="O57" s="150">
        <f t="shared" si="100"/>
        <v>215.81819168727702</v>
      </c>
      <c r="P57" s="217">
        <f t="shared" si="100"/>
        <v>217.24698825212386</v>
      </c>
      <c r="Q57" s="217">
        <f t="shared" si="100"/>
        <v>217.74761397828001</v>
      </c>
      <c r="R57" s="217">
        <f t="shared" si="100"/>
        <v>217.18113308182137</v>
      </c>
      <c r="S57" s="150">
        <f t="shared" si="100"/>
        <v>218.27936612664553</v>
      </c>
      <c r="T57" s="217">
        <f t="shared" si="100"/>
        <v>219.51314431688729</v>
      </c>
      <c r="U57" s="217">
        <f t="shared" si="100"/>
        <v>220.69036950480972</v>
      </c>
      <c r="V57" s="217">
        <f t="shared" si="100"/>
        <v>221.94358636531365</v>
      </c>
      <c r="W57" s="150">
        <f t="shared" si="100"/>
        <v>227.10221498137116</v>
      </c>
      <c r="X57" s="217">
        <f t="shared" si="100"/>
        <v>231.46037596817609</v>
      </c>
      <c r="Y57" s="217">
        <f t="shared" si="100"/>
        <v>234.81346689462407</v>
      </c>
      <c r="Z57" s="217">
        <f t="shared" si="100"/>
        <v>237.25850534730762</v>
      </c>
      <c r="AA57" s="150">
        <f t="shared" si="100"/>
        <v>238.39815679003004</v>
      </c>
      <c r="AB57" s="244"/>
    </row>
    <row r="58" spans="1:32" s="97" customFormat="1" x14ac:dyDescent="0.2">
      <c r="B58" s="99"/>
      <c r="D58" s="103"/>
      <c r="E58" s="217"/>
      <c r="F58" s="217"/>
      <c r="G58" s="150"/>
      <c r="H58" s="217"/>
      <c r="I58" s="217"/>
      <c r="J58" s="217"/>
      <c r="K58" s="150"/>
      <c r="L58" s="217"/>
      <c r="M58" s="217"/>
      <c r="N58" s="217"/>
      <c r="O58" s="181"/>
      <c r="P58" s="244"/>
      <c r="Q58" s="244"/>
      <c r="R58" s="244"/>
      <c r="S58" s="181"/>
      <c r="T58" s="244"/>
      <c r="U58" s="244"/>
      <c r="V58" s="244"/>
      <c r="W58" s="181"/>
      <c r="X58" s="244"/>
      <c r="Y58" s="244"/>
      <c r="Z58" s="244"/>
      <c r="AA58" s="181"/>
      <c r="AB58" s="244"/>
    </row>
    <row r="59" spans="1:32" s="97" customFormat="1" x14ac:dyDescent="0.2">
      <c r="B59" s="99"/>
      <c r="D59" s="103"/>
      <c r="E59" s="217"/>
      <c r="F59" s="217"/>
      <c r="G59" s="150"/>
      <c r="H59" s="217"/>
      <c r="I59" s="217"/>
      <c r="J59" s="217"/>
      <c r="K59" s="150"/>
      <c r="L59" s="217"/>
      <c r="M59" s="217"/>
      <c r="N59" s="217"/>
      <c r="O59" s="181"/>
      <c r="P59" s="244"/>
      <c r="Q59" s="244"/>
      <c r="R59" s="244"/>
      <c r="S59" s="181"/>
      <c r="T59" s="244"/>
      <c r="U59" s="244"/>
      <c r="V59" s="244"/>
      <c r="W59" s="181"/>
      <c r="X59" s="244"/>
      <c r="Y59" s="244"/>
      <c r="Z59" s="244"/>
      <c r="AA59" s="181"/>
      <c r="AB59" s="244"/>
    </row>
    <row r="60" spans="1:32" ht="19" x14ac:dyDescent="0.25">
      <c r="A60" s="105" t="s">
        <v>188</v>
      </c>
      <c r="B60" s="105"/>
      <c r="D60" s="102"/>
      <c r="E60" s="104"/>
      <c r="F60" s="104"/>
      <c r="G60" s="149"/>
      <c r="H60" s="104"/>
      <c r="I60" s="104"/>
      <c r="J60" s="104"/>
      <c r="K60" s="149"/>
      <c r="L60" s="104"/>
      <c r="M60" s="104"/>
      <c r="N60" s="104"/>
      <c r="P60" s="95"/>
      <c r="Q60" s="95"/>
      <c r="R60" s="95"/>
      <c r="T60" s="95"/>
      <c r="U60" s="95"/>
      <c r="V60" s="95"/>
      <c r="X60" s="95"/>
      <c r="Y60" s="95"/>
      <c r="Z60" s="95"/>
      <c r="AB60" s="95"/>
    </row>
    <row r="61" spans="1:32" x14ac:dyDescent="0.2">
      <c r="B61" t="s">
        <v>206</v>
      </c>
      <c r="D61" s="100"/>
      <c r="E61" s="104">
        <f>main!L54/1000</f>
        <v>1086.548</v>
      </c>
      <c r="F61" s="104">
        <f>main!M54/1000</f>
        <v>1213.48</v>
      </c>
      <c r="G61" s="149">
        <f>main!N54/1000</f>
        <v>610.40700000000004</v>
      </c>
      <c r="H61" s="104">
        <f>main!O54/1000</f>
        <v>405.26900000000001</v>
      </c>
      <c r="I61" s="104">
        <f>main!P54/1000</f>
        <v>847.38358333333338</v>
      </c>
      <c r="J61" s="104">
        <f>main!Q54/1000</f>
        <v>107.41691666666667</v>
      </c>
      <c r="K61" s="149">
        <f>main!R54/1000</f>
        <v>102.75024999999999</v>
      </c>
      <c r="L61" s="223">
        <f>main!S54/1000</f>
        <v>77.330250000000007</v>
      </c>
      <c r="M61" s="231">
        <f>L61*(1+M63)</f>
        <v>77.703294275287206</v>
      </c>
      <c r="N61" s="231">
        <f>M61*(1+N63)</f>
        <v>78.070503655757619</v>
      </c>
      <c r="O61" s="247">
        <f>N61*(1+O63)</f>
        <v>78.435379078301281</v>
      </c>
      <c r="P61" s="231">
        <f>O61*(1+P63)</f>
        <v>78.799476514869369</v>
      </c>
      <c r="Q61" s="231">
        <f t="shared" ref="Q61:AA61" si="101">P61*(1+Q63)</f>
        <v>79.16474093040091</v>
      </c>
      <c r="R61" s="231">
        <f t="shared" si="101"/>
        <v>79.533506282822501</v>
      </c>
      <c r="S61" s="247">
        <f t="shared" si="101"/>
        <v>79.905772572134126</v>
      </c>
      <c r="T61" s="231">
        <f t="shared" si="101"/>
        <v>80.280372819372502</v>
      </c>
      <c r="U61" s="231">
        <f t="shared" si="101"/>
        <v>80.65419508063529</v>
      </c>
      <c r="V61" s="231">
        <f t="shared" si="101"/>
        <v>81.029184320861546</v>
      </c>
      <c r="W61" s="247">
        <f t="shared" si="101"/>
        <v>81.404951547063206</v>
      </c>
      <c r="X61" s="231">
        <f t="shared" si="101"/>
        <v>81.780329780277157</v>
      </c>
      <c r="Y61" s="231">
        <f t="shared" si="101"/>
        <v>82.151040097637789</v>
      </c>
      <c r="Z61" s="231">
        <f t="shared" si="101"/>
        <v>82.519027464083806</v>
      </c>
      <c r="AA61" s="247">
        <f t="shared" si="101"/>
        <v>82.884291879615347</v>
      </c>
      <c r="AB61" s="95"/>
    </row>
    <row r="62" spans="1:32" x14ac:dyDescent="0.2">
      <c r="B62" t="s">
        <v>175</v>
      </c>
      <c r="D62" s="102" t="e">
        <f>#REF!</f>
        <v>#REF!</v>
      </c>
      <c r="E62" s="104">
        <f>E16</f>
        <v>1085.9000000000001</v>
      </c>
      <c r="F62" s="104">
        <f t="shared" ref="F62:AA62" si="102">F16</f>
        <v>1212.9000000000001</v>
      </c>
      <c r="G62" s="104">
        <f t="shared" si="102"/>
        <v>609.79999999999995</v>
      </c>
      <c r="H62" s="104">
        <f t="shared" si="102"/>
        <v>402.7</v>
      </c>
      <c r="I62" s="104">
        <f t="shared" si="102"/>
        <v>404.58725618885501</v>
      </c>
      <c r="J62" s="104">
        <f t="shared" si="102"/>
        <v>406.51787384375598</v>
      </c>
      <c r="K62" s="104">
        <f t="shared" si="102"/>
        <v>408.48772330127002</v>
      </c>
      <c r="L62" s="104">
        <f t="shared" si="102"/>
        <v>410.48028590766501</v>
      </c>
      <c r="M62" s="104">
        <f t="shared" si="102"/>
        <v>412.46045952376102</v>
      </c>
      <c r="N62" s="104">
        <f t="shared" si="102"/>
        <v>414.40966066410999</v>
      </c>
      <c r="O62" s="104">
        <f t="shared" si="102"/>
        <v>416.34647281415999</v>
      </c>
      <c r="P62" s="104">
        <f t="shared" si="102"/>
        <v>418.27915530077701</v>
      </c>
      <c r="Q62" s="104">
        <f t="shared" si="102"/>
        <v>420.21803228254402</v>
      </c>
      <c r="R62" s="104">
        <f t="shared" si="102"/>
        <v>422.17549274975897</v>
      </c>
      <c r="S62" s="104">
        <f t="shared" si="102"/>
        <v>424.15153670242199</v>
      </c>
      <c r="T62" s="104">
        <f t="shared" si="102"/>
        <v>426.13996964538399</v>
      </c>
      <c r="U62" s="104">
        <f t="shared" si="102"/>
        <v>428.12427292491299</v>
      </c>
      <c r="V62" s="104">
        <f t="shared" si="102"/>
        <v>430.11477069959199</v>
      </c>
      <c r="W62" s="104">
        <f t="shared" si="102"/>
        <v>432.10939813770301</v>
      </c>
      <c r="X62" s="104">
        <f t="shared" si="102"/>
        <v>434.10196074409799</v>
      </c>
      <c r="Y62" s="104">
        <f t="shared" si="102"/>
        <v>436.069745369896</v>
      </c>
      <c r="Z62" s="104">
        <f t="shared" si="102"/>
        <v>438.02307617367802</v>
      </c>
      <c r="AA62" s="104">
        <f t="shared" si="102"/>
        <v>439.96195315544497</v>
      </c>
      <c r="AB62" s="95"/>
    </row>
    <row r="63" spans="1:32" s="170" customFormat="1" ht="12" x14ac:dyDescent="0.15">
      <c r="B63" s="210" t="s">
        <v>271</v>
      </c>
      <c r="D63" s="228"/>
      <c r="E63" s="242"/>
      <c r="F63" s="242"/>
      <c r="G63" s="229"/>
      <c r="H63" s="242"/>
      <c r="I63" s="242"/>
      <c r="J63" s="242"/>
      <c r="K63" s="229"/>
      <c r="L63" s="230"/>
      <c r="M63" s="230">
        <f t="shared" ref="M63:AA63" si="103">(M62/L62)-1</f>
        <v>4.8240407251651796E-3</v>
      </c>
      <c r="N63" s="230">
        <f t="shared" si="103"/>
        <v>4.7257890916370116E-3</v>
      </c>
      <c r="O63" s="246">
        <f t="shared" si="103"/>
        <v>4.6736655389407744E-3</v>
      </c>
      <c r="P63" s="230">
        <f t="shared" si="103"/>
        <v>4.642005187539322E-3</v>
      </c>
      <c r="Q63" s="230">
        <f t="shared" si="103"/>
        <v>4.6353660162021804E-3</v>
      </c>
      <c r="R63" s="230">
        <f t="shared" si="103"/>
        <v>4.6582019733480973E-3</v>
      </c>
      <c r="S63" s="246">
        <f t="shared" si="103"/>
        <v>4.6806221265769388E-3</v>
      </c>
      <c r="T63" s="230">
        <f t="shared" si="103"/>
        <v>4.6880248470184682E-3</v>
      </c>
      <c r="U63" s="230">
        <f t="shared" si="103"/>
        <v>4.6564589592013039E-3</v>
      </c>
      <c r="V63" s="230">
        <f t="shared" si="103"/>
        <v>4.6493457637430957E-3</v>
      </c>
      <c r="W63" s="246">
        <f t="shared" si="103"/>
        <v>4.6374306905729856E-3</v>
      </c>
      <c r="X63" s="230">
        <f t="shared" si="103"/>
        <v>4.6112457053295586E-3</v>
      </c>
      <c r="Y63" s="230">
        <f t="shared" si="103"/>
        <v>4.5330010083921568E-3</v>
      </c>
      <c r="Z63" s="230">
        <f t="shared" si="103"/>
        <v>4.4793999687484654E-3</v>
      </c>
      <c r="AA63" s="246">
        <f t="shared" si="103"/>
        <v>4.4264265679878623E-3</v>
      </c>
      <c r="AB63" s="243"/>
    </row>
    <row r="64" spans="1:32" s="97" customFormat="1" x14ac:dyDescent="0.2">
      <c r="B64" s="99" t="s">
        <v>176</v>
      </c>
      <c r="D64" s="103"/>
      <c r="E64" s="217"/>
      <c r="F64" s="217">
        <f>F61-F62</f>
        <v>0.57999999999992724</v>
      </c>
      <c r="G64" s="150">
        <f t="shared" ref="G64:AA64" si="104">G61-G62</f>
        <v>0.60700000000008458</v>
      </c>
      <c r="H64" s="217">
        <f t="shared" si="104"/>
        <v>2.5690000000000168</v>
      </c>
      <c r="I64" s="217">
        <f t="shared" si="104"/>
        <v>442.79632714447837</v>
      </c>
      <c r="J64" s="217">
        <f t="shared" si="104"/>
        <v>-299.1009571770893</v>
      </c>
      <c r="K64" s="150">
        <f t="shared" si="104"/>
        <v>-305.73747330127003</v>
      </c>
      <c r="L64" s="217">
        <f t="shared" si="104"/>
        <v>-333.15003590766503</v>
      </c>
      <c r="M64" s="217">
        <f t="shared" si="104"/>
        <v>-334.75716524847383</v>
      </c>
      <c r="N64" s="217">
        <f t="shared" si="104"/>
        <v>-336.33915700835234</v>
      </c>
      <c r="O64" s="150">
        <f t="shared" si="104"/>
        <v>-337.91109373585869</v>
      </c>
      <c r="P64" s="217">
        <f t="shared" si="104"/>
        <v>-339.47967878590765</v>
      </c>
      <c r="Q64" s="217">
        <f t="shared" si="104"/>
        <v>-341.05329135214311</v>
      </c>
      <c r="R64" s="217">
        <f t="shared" si="104"/>
        <v>-342.64198646693649</v>
      </c>
      <c r="S64" s="150">
        <f t="shared" si="104"/>
        <v>-344.24576413028785</v>
      </c>
      <c r="T64" s="217">
        <f t="shared" si="104"/>
        <v>-345.85959682601151</v>
      </c>
      <c r="U64" s="217">
        <f t="shared" si="104"/>
        <v>-347.47007784427768</v>
      </c>
      <c r="V64" s="217">
        <f t="shared" si="104"/>
        <v>-349.08558637873045</v>
      </c>
      <c r="W64" s="150">
        <f t="shared" si="104"/>
        <v>-350.7044465906398</v>
      </c>
      <c r="X64" s="217">
        <f t="shared" si="104"/>
        <v>-352.32163096382084</v>
      </c>
      <c r="Y64" s="217">
        <f t="shared" si="104"/>
        <v>-353.91870527225819</v>
      </c>
      <c r="Z64" s="217">
        <f t="shared" si="104"/>
        <v>-355.5040487095942</v>
      </c>
      <c r="AA64" s="150">
        <f t="shared" si="104"/>
        <v>-357.07766127582966</v>
      </c>
      <c r="AB64" s="217"/>
      <c r="AC64" s="217"/>
      <c r="AD64" s="150"/>
      <c r="AE64" s="150"/>
      <c r="AF64" s="150"/>
    </row>
    <row r="65" spans="1:28" x14ac:dyDescent="0.2">
      <c r="D65" s="102"/>
      <c r="E65" s="104"/>
      <c r="F65" s="104"/>
      <c r="G65" s="149"/>
      <c r="H65" s="104"/>
      <c r="I65" s="104"/>
      <c r="J65" s="104"/>
      <c r="K65" s="149"/>
      <c r="L65" s="104"/>
      <c r="M65" s="104"/>
      <c r="N65" s="104"/>
      <c r="P65" s="95"/>
      <c r="Q65" s="95"/>
      <c r="R65" s="95"/>
      <c r="T65" s="95"/>
      <c r="U65" s="95"/>
      <c r="V65" s="95"/>
      <c r="X65" s="95"/>
      <c r="Y65" s="95"/>
      <c r="Z65" s="95"/>
      <c r="AB65" s="95"/>
    </row>
    <row r="66" spans="1:28" x14ac:dyDescent="0.2">
      <c r="D66" s="102"/>
      <c r="E66" s="104"/>
      <c r="F66" s="104"/>
      <c r="G66" s="149"/>
      <c r="H66" s="104"/>
      <c r="I66" s="104"/>
      <c r="J66" s="104"/>
      <c r="K66" s="149"/>
      <c r="L66" s="104"/>
      <c r="M66" s="104"/>
      <c r="N66" s="104"/>
      <c r="P66" s="95"/>
      <c r="Q66" s="95"/>
      <c r="R66" s="95"/>
      <c r="T66" s="95"/>
      <c r="U66" s="95"/>
      <c r="V66" s="95"/>
      <c r="X66" s="95"/>
      <c r="Y66" s="95"/>
      <c r="Z66" s="95"/>
      <c r="AB66" s="95"/>
    </row>
    <row r="67" spans="1:28" ht="19" x14ac:dyDescent="0.25">
      <c r="A67" s="105" t="s">
        <v>194</v>
      </c>
      <c r="B67" s="105"/>
      <c r="D67" s="102"/>
      <c r="E67" s="104"/>
      <c r="F67" s="104"/>
      <c r="G67" s="149"/>
      <c r="H67" s="104"/>
      <c r="I67" s="104"/>
      <c r="J67" s="104"/>
      <c r="K67" s="149"/>
      <c r="L67" s="104"/>
      <c r="M67" s="104"/>
      <c r="N67" s="104"/>
      <c r="P67" s="95"/>
      <c r="Q67" s="95"/>
      <c r="R67" s="95"/>
      <c r="T67" s="95"/>
      <c r="U67" s="95"/>
      <c r="V67" s="95"/>
      <c r="X67" s="95"/>
      <c r="Y67" s="95"/>
      <c r="Z67" s="95"/>
      <c r="AB67" s="95"/>
    </row>
    <row r="68" spans="1:28" x14ac:dyDescent="0.2">
      <c r="B68" t="s">
        <v>204</v>
      </c>
      <c r="D68" s="100"/>
      <c r="E68" s="218">
        <f>main!L83/1000</f>
        <v>283.95</v>
      </c>
      <c r="F68" s="218">
        <f>main!M83/1000</f>
        <v>291.39999999999998</v>
      </c>
      <c r="G68" s="151">
        <f>main!N83/1000</f>
        <v>294.149</v>
      </c>
      <c r="H68" s="218">
        <f>main!O83/1000</f>
        <v>322.63679599999995</v>
      </c>
      <c r="I68" s="218">
        <f>main!P83/1000</f>
        <v>324.52774318400003</v>
      </c>
      <c r="J68" s="218">
        <f>main!Q83/1000</f>
        <v>319.32185415673598</v>
      </c>
      <c r="K68" s="151">
        <f>main!R83/1000</f>
        <v>319.11914157336292</v>
      </c>
      <c r="L68" s="218">
        <f>main!S83/1000</f>
        <v>309.91961813965639</v>
      </c>
      <c r="M68" s="218">
        <f>main!T83/1000</f>
        <v>310.72329661221499</v>
      </c>
      <c r="N68" s="218">
        <f>main!U83/1000</f>
        <v>311.53018979866386</v>
      </c>
      <c r="O68" s="151">
        <f>main!V83/1000</f>
        <v>312.34031055785857</v>
      </c>
      <c r="P68" s="248">
        <f>main!W83/1000</f>
        <v>313.15367180009002</v>
      </c>
      <c r="Q68" s="248">
        <v>330.50545802602733</v>
      </c>
      <c r="R68" s="248">
        <v>330.50545802602733</v>
      </c>
      <c r="S68" s="245">
        <v>330.50545802602733</v>
      </c>
      <c r="T68" s="248">
        <f t="shared" ref="T68:AA68" si="105">S68*(1+T70)</f>
        <v>333.78582925174504</v>
      </c>
      <c r="U68" s="248">
        <f t="shared" si="105"/>
        <v>337.09010427322511</v>
      </c>
      <c r="V68" s="248">
        <f t="shared" si="105"/>
        <v>340.43479411501278</v>
      </c>
      <c r="W68" s="249">
        <f t="shared" si="105"/>
        <v>343.81583546649966</v>
      </c>
      <c r="X68" s="248">
        <f t="shared" si="105"/>
        <v>347.21186736980985</v>
      </c>
      <c r="Y68" s="248">
        <f t="shared" si="105"/>
        <v>350.62708384827192</v>
      </c>
      <c r="Z68" s="248">
        <f t="shared" si="105"/>
        <v>354.05853395040094</v>
      </c>
      <c r="AA68" s="249">
        <f t="shared" si="105"/>
        <v>357.51747852385279</v>
      </c>
      <c r="AB68" s="95"/>
    </row>
    <row r="69" spans="1:28" x14ac:dyDescent="0.2">
      <c r="B69" t="s">
        <v>175</v>
      </c>
      <c r="D69" s="102" t="e">
        <f>#REF!</f>
        <v>#REF!</v>
      </c>
      <c r="E69" s="104">
        <f>E17</f>
        <v>884.26</v>
      </c>
      <c r="F69" s="104">
        <f t="shared" ref="F69:AA69" si="106">F17</f>
        <v>242.12799999999999</v>
      </c>
      <c r="G69" s="104">
        <f t="shared" si="106"/>
        <v>225.90700000000001</v>
      </c>
      <c r="H69" s="104">
        <f t="shared" si="106"/>
        <v>262.43700000000001</v>
      </c>
      <c r="I69" s="104">
        <f t="shared" si="106"/>
        <v>257.26599192779503</v>
      </c>
      <c r="J69" s="104">
        <f t="shared" si="106"/>
        <v>256.21510964215298</v>
      </c>
      <c r="K69" s="104">
        <f t="shared" si="106"/>
        <v>258.57067876132402</v>
      </c>
      <c r="L69" s="104">
        <f t="shared" si="106"/>
        <v>261.16279192979499</v>
      </c>
      <c r="M69" s="104">
        <f t="shared" si="106"/>
        <v>263.64812783386702</v>
      </c>
      <c r="N69" s="104">
        <f t="shared" si="106"/>
        <v>266.14790345036999</v>
      </c>
      <c r="O69" s="104">
        <f t="shared" si="106"/>
        <v>268.70569902244898</v>
      </c>
      <c r="P69" s="104">
        <f t="shared" si="106"/>
        <v>271.263979862962</v>
      </c>
      <c r="Q69" s="104">
        <f t="shared" si="106"/>
        <v>273.87029090685002</v>
      </c>
      <c r="R69" s="104">
        <f t="shared" si="106"/>
        <v>276.52404959205398</v>
      </c>
      <c r="S69" s="104">
        <f t="shared" si="106"/>
        <v>279.241851093381</v>
      </c>
      <c r="T69" s="104">
        <f t="shared" si="106"/>
        <v>282.01341480314198</v>
      </c>
      <c r="U69" s="104">
        <f t="shared" si="106"/>
        <v>284.80517467007598</v>
      </c>
      <c r="V69" s="104">
        <f t="shared" si="106"/>
        <v>287.63108074839698</v>
      </c>
      <c r="W69" s="104">
        <f t="shared" si="106"/>
        <v>290.48769997414701</v>
      </c>
      <c r="X69" s="104">
        <f t="shared" si="106"/>
        <v>293.35698461687701</v>
      </c>
      <c r="Y69" s="104">
        <f t="shared" si="106"/>
        <v>296.24247817884799</v>
      </c>
      <c r="Z69" s="104">
        <f t="shared" si="106"/>
        <v>299.141687420886</v>
      </c>
      <c r="AA69" s="104">
        <f t="shared" si="106"/>
        <v>302.06412655786397</v>
      </c>
      <c r="AB69" s="95"/>
    </row>
    <row r="70" spans="1:28" s="170" customFormat="1" ht="12" x14ac:dyDescent="0.15">
      <c r="B70" s="210" t="s">
        <v>271</v>
      </c>
      <c r="D70" s="228"/>
      <c r="E70" s="242"/>
      <c r="F70" s="242"/>
      <c r="G70" s="229"/>
      <c r="H70" s="242"/>
      <c r="I70" s="242"/>
      <c r="J70" s="242"/>
      <c r="K70" s="229"/>
      <c r="L70" s="230"/>
      <c r="M70" s="230"/>
      <c r="N70" s="230"/>
      <c r="O70" s="246"/>
      <c r="P70" s="230"/>
      <c r="Q70" s="230">
        <f t="shared" ref="Q70" si="107">(Q69/P69)-1</f>
        <v>9.6080247926932927E-3</v>
      </c>
      <c r="R70" s="230">
        <f t="shared" ref="R70" si="108">(R69/Q69)-1</f>
        <v>9.6898377564675897E-3</v>
      </c>
      <c r="S70" s="246">
        <f t="shared" ref="S70" si="109">(S69/R69)-1</f>
        <v>9.8284453208916656E-3</v>
      </c>
      <c r="T70" s="230">
        <f t="shared" ref="T70" si="110">(T69/S69)-1</f>
        <v>9.9253163482080353E-3</v>
      </c>
      <c r="U70" s="230">
        <f t="shared" ref="U70" si="111">(U69/T69)-1</f>
        <v>9.8993867681180792E-3</v>
      </c>
      <c r="V70" s="230">
        <f t="shared" ref="V70" si="112">(V69/U69)-1</f>
        <v>9.922242745745713E-3</v>
      </c>
      <c r="W70" s="246">
        <f t="shared" ref="W70" si="113">(W69/V69)-1</f>
        <v>9.9315387555380941E-3</v>
      </c>
      <c r="X70" s="230">
        <f t="shared" ref="X70" si="114">(X69/W69)-1</f>
        <v>9.8774737897175946E-3</v>
      </c>
      <c r="Y70" s="230">
        <f t="shared" ref="Y70" si="115">(Y69/X69)-1</f>
        <v>9.8361167903993074E-3</v>
      </c>
      <c r="Z70" s="230">
        <f t="shared" ref="Z70" si="116">(Z69/Y69)-1</f>
        <v>9.7866087937859003E-3</v>
      </c>
      <c r="AA70" s="246">
        <f t="shared" ref="AA70" si="117">(AA69/Z69)-1</f>
        <v>9.7694144944304728E-3</v>
      </c>
      <c r="AB70" s="243"/>
    </row>
    <row r="71" spans="1:28" s="97" customFormat="1" x14ac:dyDescent="0.2">
      <c r="B71" s="99" t="s">
        <v>176</v>
      </c>
      <c r="D71" s="103"/>
      <c r="E71" s="217"/>
      <c r="F71" s="217">
        <f>F68-F69</f>
        <v>49.271999999999991</v>
      </c>
      <c r="G71" s="150">
        <f t="shared" ref="G71:K71" si="118">G68-G69</f>
        <v>68.24199999999999</v>
      </c>
      <c r="H71" s="217">
        <f t="shared" si="118"/>
        <v>60.199795999999935</v>
      </c>
      <c r="I71" s="217">
        <f t="shared" si="118"/>
        <v>67.261751256205002</v>
      </c>
      <c r="J71" s="217">
        <f t="shared" si="118"/>
        <v>63.106744514582999</v>
      </c>
      <c r="K71" s="150">
        <f t="shared" si="118"/>
        <v>60.548462812038906</v>
      </c>
      <c r="L71" s="217">
        <f t="shared" ref="L71:N71" si="119">L68-L69</f>
        <v>48.756826209861401</v>
      </c>
      <c r="M71" s="217">
        <f t="shared" si="119"/>
        <v>47.075168778347972</v>
      </c>
      <c r="N71" s="217">
        <f t="shared" si="119"/>
        <v>45.38228634829386</v>
      </c>
      <c r="O71" s="150">
        <f t="shared" ref="O71:AA71" si="120">O68-O69</f>
        <v>43.63461153540959</v>
      </c>
      <c r="P71" s="250">
        <f t="shared" si="120"/>
        <v>41.889691937128021</v>
      </c>
      <c r="Q71" s="250">
        <f t="shared" si="120"/>
        <v>56.635167119177311</v>
      </c>
      <c r="R71" s="250">
        <f t="shared" si="120"/>
        <v>53.981408433973343</v>
      </c>
      <c r="S71" s="239">
        <f t="shared" si="120"/>
        <v>51.263606932646326</v>
      </c>
      <c r="T71" s="250">
        <f t="shared" si="120"/>
        <v>51.772414448603058</v>
      </c>
      <c r="U71" s="250">
        <f t="shared" si="120"/>
        <v>52.284929603149124</v>
      </c>
      <c r="V71" s="250">
        <f t="shared" si="120"/>
        <v>52.803713366615796</v>
      </c>
      <c r="W71" s="251">
        <f t="shared" si="120"/>
        <v>53.328135492352658</v>
      </c>
      <c r="X71" s="250">
        <f t="shared" si="120"/>
        <v>53.854882752932838</v>
      </c>
      <c r="Y71" s="250">
        <f t="shared" si="120"/>
        <v>54.384605669423934</v>
      </c>
      <c r="Z71" s="250">
        <f t="shared" si="120"/>
        <v>54.916846529514942</v>
      </c>
      <c r="AA71" s="251">
        <f t="shared" si="120"/>
        <v>55.453351965988816</v>
      </c>
      <c r="AB71" s="244"/>
    </row>
    <row r="72" spans="1:28" x14ac:dyDescent="0.2">
      <c r="E72" s="95"/>
      <c r="F72" s="95"/>
      <c r="L72" s="95"/>
      <c r="M72" s="95"/>
      <c r="N72" s="95"/>
      <c r="P72" s="95"/>
      <c r="Q72" s="95"/>
      <c r="R72" s="95"/>
      <c r="T72" s="95"/>
      <c r="U72" s="95"/>
      <c r="V72" s="95"/>
      <c r="X72" s="95"/>
      <c r="Y72" s="95"/>
      <c r="Z72" s="95"/>
      <c r="AB72" s="95"/>
    </row>
    <row r="73" spans="1:28" x14ac:dyDescent="0.2">
      <c r="E73" s="95"/>
      <c r="F73" s="95"/>
      <c r="L73" s="95"/>
      <c r="M73" s="95"/>
      <c r="N73" s="95"/>
      <c r="P73" s="95"/>
      <c r="Q73" s="95"/>
      <c r="R73" s="95"/>
      <c r="T73" s="95"/>
      <c r="U73" s="95"/>
      <c r="V73" s="95"/>
      <c r="X73" s="95"/>
      <c r="Y73" s="95"/>
      <c r="Z73" s="95"/>
      <c r="AB73" s="95"/>
    </row>
  </sheetData>
  <mergeCells count="10">
    <mergeCell ref="V1:Y1"/>
    <mergeCell ref="A1:B1"/>
    <mergeCell ref="A2:A5"/>
    <mergeCell ref="C7:F7"/>
    <mergeCell ref="G7:J7"/>
    <mergeCell ref="K7:N7"/>
    <mergeCell ref="O7:R7"/>
    <mergeCell ref="S7:V7"/>
    <mergeCell ref="W7:Z7"/>
    <mergeCell ref="J1:J3"/>
  </mergeCells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CD302-ECA7-4CE9-B89D-A357A53FDBE8}">
  <dimension ref="A1:P24"/>
  <sheetViews>
    <sheetView zoomScale="120" zoomScaleNormal="120" workbookViewId="0">
      <pane xSplit="1" topLeftCell="I1" activePane="topRight" state="frozen"/>
      <selection pane="topRight" activeCell="M25" sqref="M25"/>
    </sheetView>
  </sheetViews>
  <sheetFormatPr baseColWidth="10" defaultColWidth="20.5" defaultRowHeight="15" x14ac:dyDescent="0.2"/>
  <cols>
    <col min="1" max="1" width="10.6640625" bestFit="1" customWidth="1"/>
    <col min="2" max="2" width="23.1640625" bestFit="1" customWidth="1"/>
  </cols>
  <sheetData>
    <row r="1" spans="1:16" x14ac:dyDescent="0.2">
      <c r="A1" t="s">
        <v>250</v>
      </c>
      <c r="B1" t="s">
        <v>243</v>
      </c>
      <c r="C1" t="s">
        <v>244</v>
      </c>
      <c r="D1" t="s">
        <v>398</v>
      </c>
      <c r="E1" t="s">
        <v>246</v>
      </c>
      <c r="F1" t="s">
        <v>247</v>
      </c>
      <c r="G1" t="s">
        <v>248</v>
      </c>
      <c r="H1" t="s">
        <v>249</v>
      </c>
      <c r="I1" t="s">
        <v>399</v>
      </c>
      <c r="J1" t="s">
        <v>394</v>
      </c>
      <c r="K1" t="s">
        <v>395</v>
      </c>
      <c r="L1" t="s">
        <v>396</v>
      </c>
      <c r="M1" t="s">
        <v>397</v>
      </c>
      <c r="N1" t="s">
        <v>336</v>
      </c>
      <c r="O1" t="s">
        <v>348</v>
      </c>
      <c r="P1" t="s">
        <v>359</v>
      </c>
    </row>
    <row r="2" spans="1:16" x14ac:dyDescent="0.2">
      <c r="A2" s="188">
        <v>44012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 s="102">
        <f>'add-ons calculations'!E68</f>
        <v>283.95</v>
      </c>
      <c r="K2" s="102">
        <v>1084.5999999999999</v>
      </c>
      <c r="L2" s="102">
        <v>788</v>
      </c>
      <c r="M2" s="102">
        <f>K2-L2</f>
        <v>296.59999999999991</v>
      </c>
      <c r="N2">
        <v>0</v>
      </c>
      <c r="O2">
        <v>0</v>
      </c>
      <c r="P2">
        <v>0</v>
      </c>
    </row>
    <row r="3" spans="1:16" x14ac:dyDescent="0.2">
      <c r="A3" s="188">
        <v>44104</v>
      </c>
      <c r="B3" s="102">
        <f t="array" ref="B3:B24">TRANSPOSE('add-ons calculations'!F24:AA24)</f>
        <v>3.0000000000143245E-3</v>
      </c>
      <c r="C3">
        <f t="array" ref="C3:C24">TRANSPOSE('add-ons calculations'!F31:AA31)</f>
        <v>185.97699999999998</v>
      </c>
      <c r="D3">
        <f t="array" ref="D3:D24">TRANSPOSE('add-ons calculations'!F37:AA37)</f>
        <v>4.8999999999978172E-2</v>
      </c>
      <c r="E3">
        <f t="array" ref="E3:E24">TRANSPOSE('add-ons calculations'!F43:AA43)</f>
        <v>0</v>
      </c>
      <c r="F3">
        <f t="array" ref="F3:F24">TRANSPOSE('add-ons calculations'!F50:AA50)</f>
        <v>3.3000000000129148E-2</v>
      </c>
      <c r="G3">
        <f t="array" ref="G3:G24">TRANSPOSE('add-ons calculations'!F57:AA57)</f>
        <v>604.60100000000011</v>
      </c>
      <c r="H3">
        <f t="array" ref="H3:H24">TRANSPOSE('add-ons calculations'!F64:AA64)</f>
        <v>0.57999999999992724</v>
      </c>
      <c r="I3">
        <f t="array" ref="I3:I24">TRANSPOSE('add-ons calculations'!F71:AA71)</f>
        <v>49.271999999999991</v>
      </c>
      <c r="J3" s="102">
        <f>'add-ons calculations'!F68</f>
        <v>291.39999999999998</v>
      </c>
      <c r="K3" s="102">
        <v>775.2</v>
      </c>
      <c r="L3" s="102">
        <v>556.20000000000005</v>
      </c>
      <c r="M3" s="102">
        <f t="shared" ref="M3:M5" si="0">K3-L3</f>
        <v>219</v>
      </c>
      <c r="N3">
        <v>0</v>
      </c>
      <c r="O3">
        <v>0</v>
      </c>
      <c r="P3">
        <v>0</v>
      </c>
    </row>
    <row r="4" spans="1:16" x14ac:dyDescent="0.2">
      <c r="A4" s="188">
        <v>44196</v>
      </c>
      <c r="B4">
        <v>2.8000000000020009E-2</v>
      </c>
      <c r="C4">
        <v>36.649000000000001</v>
      </c>
      <c r="D4">
        <v>-1907.1</v>
      </c>
      <c r="E4">
        <v>-4.3178334742540159</v>
      </c>
      <c r="F4">
        <v>-5.9999999998581188E-3</v>
      </c>
      <c r="G4">
        <v>270.702</v>
      </c>
      <c r="H4">
        <v>0.60700000000008458</v>
      </c>
      <c r="I4">
        <v>68.24199999999999</v>
      </c>
      <c r="J4" s="151">
        <f>'add-ons calculations'!G68</f>
        <v>294.149</v>
      </c>
      <c r="K4" s="102">
        <v>296.39999999999998</v>
      </c>
      <c r="L4" s="102">
        <v>198.5</v>
      </c>
      <c r="M4" s="102">
        <f t="shared" si="0"/>
        <v>97.899999999999977</v>
      </c>
      <c r="N4">
        <v>0</v>
      </c>
      <c r="O4">
        <v>0</v>
      </c>
      <c r="P4">
        <v>0</v>
      </c>
    </row>
    <row r="5" spans="1:16" x14ac:dyDescent="0.2">
      <c r="A5" s="188">
        <v>44286</v>
      </c>
      <c r="B5">
        <v>1.9000000000005457E-2</v>
      </c>
      <c r="C5">
        <v>60.003999999999991</v>
      </c>
      <c r="D5">
        <v>-1965.1</v>
      </c>
      <c r="E5">
        <v>-2.6050070145439435</v>
      </c>
      <c r="F5">
        <v>4.0000000001327862E-3</v>
      </c>
      <c r="G5">
        <v>1357.0997350000002</v>
      </c>
      <c r="H5">
        <v>2.5690000000000168</v>
      </c>
      <c r="I5">
        <v>60.199795999999935</v>
      </c>
      <c r="J5" s="151">
        <f>'add-ons calculations'!H68</f>
        <v>322.63679599999995</v>
      </c>
      <c r="K5" s="102">
        <v>544.4</v>
      </c>
      <c r="L5" s="102">
        <v>473.5</v>
      </c>
      <c r="M5" s="102">
        <f t="shared" si="0"/>
        <v>70.899999999999977</v>
      </c>
      <c r="N5">
        <v>0</v>
      </c>
      <c r="O5" s="102">
        <v>0</v>
      </c>
      <c r="P5" s="296">
        <f>main!$O$37/1000</f>
        <v>664</v>
      </c>
    </row>
    <row r="6" spans="1:16" x14ac:dyDescent="0.2">
      <c r="A6" s="188">
        <v>44377</v>
      </c>
      <c r="B6">
        <v>6.7878800857670569</v>
      </c>
      <c r="C6">
        <v>-2.7453429326619414</v>
      </c>
      <c r="D6">
        <v>-27.737459527982537</v>
      </c>
      <c r="E6">
        <v>-2.6317117073143947</v>
      </c>
      <c r="F6">
        <v>27.240230175895476</v>
      </c>
      <c r="G6">
        <v>292.56851838171019</v>
      </c>
      <c r="H6">
        <v>442.79632714447837</v>
      </c>
      <c r="I6">
        <v>67.261751256205002</v>
      </c>
      <c r="J6" s="102">
        <f>'add-ons calculations'!I$68</f>
        <v>324.52774318400003</v>
      </c>
      <c r="K6" s="102">
        <f t="shared" ref="K6:K24" si="1">SUM(L6:M6)</f>
        <v>152</v>
      </c>
      <c r="L6" s="102">
        <f>main!P$42/1000</f>
        <v>108</v>
      </c>
      <c r="M6" s="102">
        <f>main!P$46/1000</f>
        <v>44</v>
      </c>
      <c r="N6">
        <v>0</v>
      </c>
      <c r="O6">
        <f>26.5 + 14/4</f>
        <v>30</v>
      </c>
      <c r="P6">
        <v>0</v>
      </c>
    </row>
    <row r="7" spans="1:16" x14ac:dyDescent="0.2">
      <c r="A7" s="188">
        <v>44469</v>
      </c>
      <c r="B7">
        <v>2.4621390898360573</v>
      </c>
      <c r="C7">
        <v>-1.1919892954507532</v>
      </c>
      <c r="D7">
        <v>-28.139041961662997</v>
      </c>
      <c r="E7">
        <v>-2.6698135814636288</v>
      </c>
      <c r="F7">
        <v>58.920478314845923</v>
      </c>
      <c r="G7">
        <v>231.3499254633241</v>
      </c>
      <c r="H7">
        <v>-299.1009571770893</v>
      </c>
      <c r="I7">
        <v>63.106744514582999</v>
      </c>
      <c r="J7" s="102">
        <f>'add-ons calculations'!J$68</f>
        <v>319.32185415673598</v>
      </c>
      <c r="K7" s="102">
        <f t="shared" si="1"/>
        <v>44</v>
      </c>
      <c r="L7" s="102">
        <f>main!Q$42</f>
        <v>0</v>
      </c>
      <c r="M7" s="102">
        <f>main!Q$46/1000</f>
        <v>44</v>
      </c>
      <c r="N7">
        <v>0</v>
      </c>
      <c r="O7">
        <f t="shared" ref="O7:O9" si="2">26.5 + 14/4</f>
        <v>30</v>
      </c>
      <c r="P7">
        <v>0</v>
      </c>
    </row>
    <row r="8" spans="1:16" x14ac:dyDescent="0.2">
      <c r="A8" s="188">
        <v>44561</v>
      </c>
      <c r="B8">
        <v>1.8517372461530499</v>
      </c>
      <c r="C8">
        <v>-11.538087940751609</v>
      </c>
      <c r="D8">
        <v>-28.5131067004138</v>
      </c>
      <c r="E8">
        <v>-2.7053045950249697</v>
      </c>
      <c r="F8">
        <v>60.205634505330863</v>
      </c>
      <c r="G8">
        <v>216.02540037962535</v>
      </c>
      <c r="H8">
        <v>-305.73747330127003</v>
      </c>
      <c r="I8">
        <v>60.548462812038906</v>
      </c>
      <c r="J8" s="102">
        <f>'add-ons calculations'!K$68</f>
        <v>319.11914157336292</v>
      </c>
      <c r="K8" s="102">
        <f t="shared" si="1"/>
        <v>44</v>
      </c>
      <c r="L8" s="102">
        <f>main!R$42</f>
        <v>0</v>
      </c>
      <c r="M8" s="102">
        <f>main!R$46/1000</f>
        <v>44</v>
      </c>
      <c r="N8">
        <v>0</v>
      </c>
      <c r="O8">
        <f t="shared" si="2"/>
        <v>30</v>
      </c>
      <c r="P8">
        <v>0</v>
      </c>
    </row>
    <row r="9" spans="1:16" x14ac:dyDescent="0.2">
      <c r="A9" s="188">
        <v>44651</v>
      </c>
      <c r="B9">
        <v>1.2413354024700425</v>
      </c>
      <c r="C9">
        <v>-21.727580027231852</v>
      </c>
      <c r="D9">
        <v>0</v>
      </c>
      <c r="E9">
        <v>0</v>
      </c>
      <c r="F9">
        <v>61.490790695815576</v>
      </c>
      <c r="G9">
        <v>216.21157783208582</v>
      </c>
      <c r="H9">
        <v>-333.15003590766503</v>
      </c>
      <c r="I9">
        <v>48.756826209861401</v>
      </c>
      <c r="J9" s="102">
        <f>'add-ons calculations'!L$68</f>
        <v>309.91961813965639</v>
      </c>
      <c r="K9" s="102">
        <f t="shared" si="1"/>
        <v>44</v>
      </c>
      <c r="L9" s="102">
        <f>main!S$42</f>
        <v>0</v>
      </c>
      <c r="M9" s="102">
        <f>main!S$46/1000</f>
        <v>44</v>
      </c>
      <c r="N9">
        <v>0</v>
      </c>
      <c r="O9">
        <f t="shared" si="2"/>
        <v>30</v>
      </c>
      <c r="P9">
        <v>0</v>
      </c>
    </row>
    <row r="10" spans="1:16" x14ac:dyDescent="0.2">
      <c r="A10" s="188">
        <v>44742</v>
      </c>
      <c r="B10">
        <v>42.711846116101725</v>
      </c>
      <c r="C10">
        <v>-23.239268439777305</v>
      </c>
      <c r="D10">
        <v>0</v>
      </c>
      <c r="E10">
        <v>0</v>
      </c>
      <c r="F10">
        <v>62.775946886300062</v>
      </c>
      <c r="G10">
        <v>215.39399255353351</v>
      </c>
      <c r="H10">
        <v>-334.75716524847383</v>
      </c>
      <c r="I10">
        <v>47.075168778347972</v>
      </c>
      <c r="J10" s="102">
        <f>'add-ons calculations'!M$68</f>
        <v>310.72329661221499</v>
      </c>
      <c r="K10" s="102">
        <f t="shared" si="1"/>
        <v>44</v>
      </c>
      <c r="L10" s="102">
        <f>main!T$42</f>
        <v>0</v>
      </c>
      <c r="M10" s="102">
        <f>main!T$46/1000</f>
        <v>44</v>
      </c>
      <c r="N10">
        <v>0</v>
      </c>
      <c r="O10">
        <f>26.5 + 7/4</f>
        <v>28.25</v>
      </c>
      <c r="P10">
        <v>0</v>
      </c>
    </row>
    <row r="11" spans="1:16" x14ac:dyDescent="0.2">
      <c r="A11" s="188">
        <v>44834</v>
      </c>
      <c r="B11">
        <v>42.101444272418718</v>
      </c>
      <c r="C11">
        <v>-24.640281923286409</v>
      </c>
      <c r="D11">
        <v>0</v>
      </c>
      <c r="E11">
        <v>0</v>
      </c>
      <c r="F11">
        <v>64.06110307678523</v>
      </c>
      <c r="G11">
        <v>213.074483197684</v>
      </c>
      <c r="H11">
        <v>-336.33915700835234</v>
      </c>
      <c r="I11">
        <v>45.38228634829386</v>
      </c>
      <c r="J11" s="102">
        <f>'add-ons calculations'!N$68</f>
        <v>311.53018979866386</v>
      </c>
      <c r="K11" s="102">
        <f t="shared" si="1"/>
        <v>44</v>
      </c>
      <c r="L11" s="102">
        <f>main!U$42</f>
        <v>0</v>
      </c>
      <c r="M11" s="102">
        <f>main!U$46/1000</f>
        <v>44</v>
      </c>
      <c r="N11">
        <v>0</v>
      </c>
      <c r="O11">
        <f t="shared" ref="O11:O13" si="3">26.5 + 7/4</f>
        <v>28.25</v>
      </c>
      <c r="P11">
        <v>0</v>
      </c>
    </row>
    <row r="12" spans="1:16" x14ac:dyDescent="0.2">
      <c r="A12" s="188">
        <v>44926</v>
      </c>
      <c r="B12">
        <v>44.076451080221716</v>
      </c>
      <c r="C12">
        <v>-27.257131749460996</v>
      </c>
      <c r="D12">
        <v>0</v>
      </c>
      <c r="E12">
        <v>0</v>
      </c>
      <c r="F12">
        <v>64.606030375998671</v>
      </c>
      <c r="G12">
        <v>215.81819168727702</v>
      </c>
      <c r="H12">
        <v>-337.91109373585869</v>
      </c>
      <c r="I12">
        <v>43.63461153540959</v>
      </c>
      <c r="J12" s="102">
        <f>'add-ons calculations'!O$68</f>
        <v>312.34031055785857</v>
      </c>
      <c r="K12" s="102">
        <f t="shared" si="1"/>
        <v>44</v>
      </c>
      <c r="L12" s="102">
        <f>main!V$42</f>
        <v>0</v>
      </c>
      <c r="M12" s="102">
        <f>main!V$46/1000</f>
        <v>44</v>
      </c>
      <c r="N12">
        <v>0</v>
      </c>
      <c r="O12">
        <f t="shared" si="3"/>
        <v>28.25</v>
      </c>
      <c r="P12">
        <v>0</v>
      </c>
    </row>
    <row r="13" spans="1:16" x14ac:dyDescent="0.2">
      <c r="A13" s="188">
        <v>45016</v>
      </c>
      <c r="B13">
        <v>43.593784943441761</v>
      </c>
      <c r="C13">
        <v>-29.750886613179148</v>
      </c>
      <c r="D13">
        <v>0</v>
      </c>
      <c r="E13">
        <v>0</v>
      </c>
      <c r="F13">
        <v>65.150957675211657</v>
      </c>
      <c r="G13">
        <v>217.24698825212386</v>
      </c>
      <c r="H13">
        <v>-339.47967878590765</v>
      </c>
      <c r="I13">
        <v>41.889691937128021</v>
      </c>
      <c r="J13" s="102">
        <f>'add-ons calculations'!P$68</f>
        <v>313.15367180009002</v>
      </c>
      <c r="K13" s="102">
        <f t="shared" si="1"/>
        <v>0</v>
      </c>
      <c r="L13">
        <v>0</v>
      </c>
      <c r="M13">
        <v>0</v>
      </c>
      <c r="N13">
        <v>0</v>
      </c>
      <c r="O13">
        <f t="shared" si="3"/>
        <v>28.25</v>
      </c>
      <c r="P13">
        <v>0</v>
      </c>
    </row>
    <row r="14" spans="1:16" x14ac:dyDescent="0.2">
      <c r="A14" s="188">
        <v>45107</v>
      </c>
      <c r="B14">
        <v>43.111118806662063</v>
      </c>
      <c r="C14">
        <v>-32.262750017380228</v>
      </c>
      <c r="D14">
        <v>0</v>
      </c>
      <c r="E14">
        <v>0</v>
      </c>
      <c r="F14">
        <v>65.695884974425098</v>
      </c>
      <c r="G14">
        <v>217.74761397828001</v>
      </c>
      <c r="H14">
        <v>-341.05329135214311</v>
      </c>
      <c r="I14">
        <v>56.635167119177311</v>
      </c>
      <c r="J14" s="102">
        <f>'add-ons calculations'!Q$68</f>
        <v>330.50545802602733</v>
      </c>
      <c r="K14" s="102">
        <f t="shared" si="1"/>
        <v>0</v>
      </c>
      <c r="L14">
        <v>0</v>
      </c>
      <c r="M14">
        <v>0</v>
      </c>
      <c r="N14">
        <v>0</v>
      </c>
      <c r="O14">
        <v>26.5</v>
      </c>
      <c r="P14">
        <v>0</v>
      </c>
    </row>
    <row r="15" spans="1:16" x14ac:dyDescent="0.2">
      <c r="A15" s="188">
        <v>45199</v>
      </c>
      <c r="B15">
        <v>42.628452669882108</v>
      </c>
      <c r="C15">
        <v>-34.7732802848098</v>
      </c>
      <c r="D15">
        <v>0</v>
      </c>
      <c r="E15">
        <v>0</v>
      </c>
      <c r="F15">
        <v>66.240812273638312</v>
      </c>
      <c r="G15">
        <v>217.18113308182137</v>
      </c>
      <c r="H15">
        <v>-342.64198646693649</v>
      </c>
      <c r="I15">
        <v>53.981408433973343</v>
      </c>
      <c r="J15" s="102">
        <f>'add-ons calculations'!R$68</f>
        <v>330.50545802602733</v>
      </c>
      <c r="K15" s="102">
        <f t="shared" si="1"/>
        <v>0</v>
      </c>
      <c r="L15">
        <v>0</v>
      </c>
      <c r="M15">
        <v>0</v>
      </c>
      <c r="N15">
        <v>0</v>
      </c>
      <c r="O15">
        <v>26.5</v>
      </c>
      <c r="P15">
        <v>0</v>
      </c>
    </row>
    <row r="16" spans="1:16" x14ac:dyDescent="0.2">
      <c r="A16" s="188">
        <v>45291</v>
      </c>
      <c r="B16">
        <v>42.880564855884273</v>
      </c>
      <c r="C16">
        <v>-35.787092763998118</v>
      </c>
      <c r="D16">
        <v>0</v>
      </c>
      <c r="E16">
        <v>0</v>
      </c>
      <c r="F16">
        <v>66.690005358941789</v>
      </c>
      <c r="G16">
        <v>218.27936612664553</v>
      </c>
      <c r="H16">
        <v>-344.24576413028785</v>
      </c>
      <c r="I16">
        <v>51.263606932646326</v>
      </c>
      <c r="J16" s="102">
        <f>'add-ons calculations'!S$68</f>
        <v>330.50545802602733</v>
      </c>
      <c r="K16" s="102">
        <f t="shared" si="1"/>
        <v>0</v>
      </c>
      <c r="L16">
        <v>0</v>
      </c>
      <c r="M16">
        <v>0</v>
      </c>
      <c r="N16">
        <v>0</v>
      </c>
      <c r="O16">
        <v>26.5</v>
      </c>
      <c r="P16">
        <v>0</v>
      </c>
    </row>
    <row r="17" spans="1:16" x14ac:dyDescent="0.2">
      <c r="A17" s="188">
        <v>45382</v>
      </c>
      <c r="B17">
        <v>43.132677041886438</v>
      </c>
      <c r="C17">
        <v>-36.854203293783854</v>
      </c>
      <c r="D17">
        <v>0</v>
      </c>
      <c r="E17">
        <v>0</v>
      </c>
      <c r="F17">
        <v>67.139198444245494</v>
      </c>
      <c r="G17">
        <v>219.51314431688729</v>
      </c>
      <c r="H17">
        <v>-345.85959682601151</v>
      </c>
      <c r="I17">
        <v>51.772414448603058</v>
      </c>
      <c r="J17" s="102">
        <f>'add-ons calculations'!T$68</f>
        <v>333.78582925174504</v>
      </c>
      <c r="K17" s="102">
        <f t="shared" si="1"/>
        <v>0</v>
      </c>
      <c r="L17">
        <v>0</v>
      </c>
      <c r="M17">
        <v>0</v>
      </c>
      <c r="N17">
        <v>0</v>
      </c>
      <c r="O17">
        <v>26.5</v>
      </c>
      <c r="P17">
        <v>0</v>
      </c>
    </row>
    <row r="18" spans="1:16" x14ac:dyDescent="0.2">
      <c r="A18" s="188">
        <v>45473</v>
      </c>
      <c r="B18">
        <v>43.384789227888604</v>
      </c>
      <c r="C18">
        <v>-37.969766596840145</v>
      </c>
      <c r="D18">
        <v>0</v>
      </c>
      <c r="E18">
        <v>0</v>
      </c>
      <c r="F18">
        <v>67.588391529548517</v>
      </c>
      <c r="G18">
        <v>220.69036950480972</v>
      </c>
      <c r="H18">
        <v>-347.47007784427768</v>
      </c>
      <c r="I18">
        <v>52.284929603149124</v>
      </c>
      <c r="J18" s="102">
        <f>'add-ons calculations'!U$68</f>
        <v>337.09010427322511</v>
      </c>
      <c r="K18" s="102">
        <f t="shared" si="1"/>
        <v>0</v>
      </c>
      <c r="L18">
        <v>0</v>
      </c>
      <c r="M18">
        <v>0</v>
      </c>
      <c r="N18">
        <v>0</v>
      </c>
      <c r="O18">
        <v>26.5</v>
      </c>
      <c r="P18">
        <v>0</v>
      </c>
    </row>
    <row r="19" spans="1:16" x14ac:dyDescent="0.2">
      <c r="A19" s="188">
        <v>45565</v>
      </c>
      <c r="B19">
        <v>43.63690141389074</v>
      </c>
      <c r="C19">
        <v>-39.017496017317853</v>
      </c>
      <c r="D19">
        <v>0</v>
      </c>
      <c r="E19">
        <v>0</v>
      </c>
      <c r="F19">
        <v>68.037584614852221</v>
      </c>
      <c r="G19">
        <v>221.94358636531365</v>
      </c>
      <c r="H19">
        <v>-349.08558637873045</v>
      </c>
      <c r="I19">
        <v>52.803713366615796</v>
      </c>
      <c r="J19" s="102">
        <f>'add-ons calculations'!V$68</f>
        <v>340.43479411501278</v>
      </c>
      <c r="K19" s="102">
        <f t="shared" si="1"/>
        <v>0</v>
      </c>
      <c r="L19">
        <v>0</v>
      </c>
      <c r="M19">
        <v>0</v>
      </c>
      <c r="N19">
        <v>0</v>
      </c>
      <c r="O19">
        <v>26.5</v>
      </c>
      <c r="P19">
        <v>0</v>
      </c>
    </row>
    <row r="20" spans="1:16" x14ac:dyDescent="0.2">
      <c r="A20" s="188">
        <v>45657</v>
      </c>
      <c r="B20">
        <v>44.285381796070624</v>
      </c>
      <c r="C20">
        <v>-39.156407046453182</v>
      </c>
      <c r="D20">
        <v>0</v>
      </c>
      <c r="E20">
        <v>0</v>
      </c>
      <c r="F20">
        <v>69.714050179812148</v>
      </c>
      <c r="G20">
        <v>227.10221498137116</v>
      </c>
      <c r="H20">
        <v>-350.7044465906398</v>
      </c>
      <c r="I20">
        <v>53.328135492352658</v>
      </c>
      <c r="J20" s="102">
        <f>'add-ons calculations'!W$68</f>
        <v>343.81583546649966</v>
      </c>
      <c r="K20" s="102">
        <f t="shared" si="1"/>
        <v>0</v>
      </c>
      <c r="L20">
        <v>0</v>
      </c>
      <c r="M20">
        <v>0</v>
      </c>
      <c r="N20">
        <v>0</v>
      </c>
      <c r="O20">
        <v>26.5</v>
      </c>
      <c r="P20">
        <v>0</v>
      </c>
    </row>
    <row r="21" spans="1:16" x14ac:dyDescent="0.2">
      <c r="A21" s="188">
        <v>45747</v>
      </c>
      <c r="B21">
        <v>44.933862178250251</v>
      </c>
      <c r="C21">
        <v>-39.290472798261362</v>
      </c>
      <c r="D21">
        <v>0</v>
      </c>
      <c r="E21">
        <v>0</v>
      </c>
      <c r="F21">
        <v>71.390515744772529</v>
      </c>
      <c r="G21">
        <v>231.46037596817609</v>
      </c>
      <c r="H21">
        <v>-352.32163096382084</v>
      </c>
      <c r="I21">
        <v>53.854882752932838</v>
      </c>
      <c r="J21" s="102">
        <f>'add-ons calculations'!X$68</f>
        <v>347.21186736980985</v>
      </c>
      <c r="K21" s="102">
        <f t="shared" si="1"/>
        <v>0</v>
      </c>
      <c r="L21">
        <v>0</v>
      </c>
      <c r="M21">
        <v>0</v>
      </c>
      <c r="N21">
        <v>0</v>
      </c>
      <c r="O21">
        <v>26.5</v>
      </c>
      <c r="P21">
        <v>0</v>
      </c>
    </row>
    <row r="22" spans="1:16" x14ac:dyDescent="0.2">
      <c r="A22" s="188">
        <v>45838</v>
      </c>
      <c r="B22">
        <v>45.582342560430135</v>
      </c>
      <c r="C22">
        <v>-39.419693272742563</v>
      </c>
      <c r="D22">
        <v>0</v>
      </c>
      <c r="E22">
        <v>0</v>
      </c>
      <c r="F22">
        <v>73.066981309732455</v>
      </c>
      <c r="G22">
        <v>234.81346689462407</v>
      </c>
      <c r="H22">
        <v>-353.91870527225819</v>
      </c>
      <c r="I22">
        <v>54.384605669423934</v>
      </c>
      <c r="J22" s="102">
        <f>'add-ons calculations'!Y$68</f>
        <v>350.62708384827192</v>
      </c>
      <c r="K22" s="102">
        <f t="shared" si="1"/>
        <v>0</v>
      </c>
      <c r="L22">
        <v>0</v>
      </c>
      <c r="M22">
        <v>0</v>
      </c>
      <c r="N22">
        <v>0</v>
      </c>
      <c r="O22">
        <v>26.5</v>
      </c>
      <c r="P22">
        <v>0</v>
      </c>
    </row>
    <row r="23" spans="1:16" x14ac:dyDescent="0.2">
      <c r="A23" s="188">
        <v>45930</v>
      </c>
      <c r="B23">
        <v>46.230822942609791</v>
      </c>
      <c r="C23">
        <v>-39.548913747223878</v>
      </c>
      <c r="D23">
        <v>0</v>
      </c>
      <c r="E23">
        <v>0</v>
      </c>
      <c r="F23">
        <v>74.743446874692609</v>
      </c>
      <c r="G23">
        <v>237.25850534730762</v>
      </c>
      <c r="H23">
        <v>-355.5040487095942</v>
      </c>
      <c r="I23">
        <v>54.916846529514942</v>
      </c>
      <c r="J23" s="102">
        <f>'add-ons calculations'!Z$68</f>
        <v>354.05853395040094</v>
      </c>
      <c r="K23" s="102">
        <f t="shared" si="1"/>
        <v>0</v>
      </c>
      <c r="L23">
        <v>0</v>
      </c>
      <c r="M23">
        <v>0</v>
      </c>
      <c r="N23">
        <v>0</v>
      </c>
      <c r="O23">
        <v>26.5</v>
      </c>
      <c r="P23">
        <v>0</v>
      </c>
    </row>
    <row r="24" spans="1:16" x14ac:dyDescent="0.2">
      <c r="A24" s="188">
        <v>46022</v>
      </c>
      <c r="B24">
        <v>46.876616670349648</v>
      </c>
      <c r="C24">
        <v>-39.683801722781766</v>
      </c>
      <c r="D24">
        <v>0</v>
      </c>
      <c r="E24">
        <v>0</v>
      </c>
      <c r="F24">
        <v>75.992920275214601</v>
      </c>
      <c r="G24">
        <v>238.39815679003004</v>
      </c>
      <c r="H24">
        <v>-357.07766127582966</v>
      </c>
      <c r="I24">
        <v>55.453351965988816</v>
      </c>
      <c r="J24" s="102">
        <f>'add-ons calculations'!AA$68</f>
        <v>357.51747852385279</v>
      </c>
      <c r="K24" s="102">
        <f t="shared" si="1"/>
        <v>0</v>
      </c>
      <c r="L24">
        <v>0</v>
      </c>
      <c r="M24">
        <v>0</v>
      </c>
      <c r="N24">
        <v>0</v>
      </c>
      <c r="O24">
        <v>26.5</v>
      </c>
      <c r="P2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7CCB5-9AFD-AA42-ADF6-76E6C38F7458}">
  <dimension ref="A1:AJ6"/>
  <sheetViews>
    <sheetView topLeftCell="M1" zoomScale="140" zoomScaleNormal="140" workbookViewId="0">
      <selection activeCell="M4" sqref="M4"/>
    </sheetView>
  </sheetViews>
  <sheetFormatPr baseColWidth="10" defaultColWidth="10.83203125" defaultRowHeight="15" x14ac:dyDescent="0.2"/>
  <cols>
    <col min="4" max="4" width="11.1640625" bestFit="1" customWidth="1"/>
    <col min="10" max="23" width="12.6640625" bestFit="1" customWidth="1"/>
  </cols>
  <sheetData>
    <row r="1" spans="1:36" x14ac:dyDescent="0.2">
      <c r="D1" s="352" t="s">
        <v>20</v>
      </c>
      <c r="E1" s="352"/>
      <c r="F1" s="352"/>
      <c r="G1" s="352"/>
      <c r="H1" s="352" t="s">
        <v>9</v>
      </c>
      <c r="I1" s="352"/>
      <c r="J1" s="352"/>
      <c r="K1" s="352"/>
      <c r="L1" s="352" t="s">
        <v>10</v>
      </c>
      <c r="M1" s="352"/>
      <c r="N1" s="352"/>
      <c r="O1" s="352"/>
      <c r="P1" s="352" t="s">
        <v>11</v>
      </c>
      <c r="Q1" s="352"/>
      <c r="R1" s="352"/>
      <c r="S1" s="352"/>
      <c r="T1" s="352" t="s">
        <v>260</v>
      </c>
      <c r="U1" s="352"/>
      <c r="V1" s="352"/>
      <c r="W1" s="352"/>
    </row>
    <row r="2" spans="1:36" x14ac:dyDescent="0.2">
      <c r="D2" s="197" t="s">
        <v>5</v>
      </c>
      <c r="E2" s="197" t="s">
        <v>6</v>
      </c>
      <c r="F2" s="197" t="s">
        <v>7</v>
      </c>
      <c r="G2" s="197" t="s">
        <v>8</v>
      </c>
      <c r="H2" s="197" t="s">
        <v>5</v>
      </c>
      <c r="I2" s="197" t="s">
        <v>6</v>
      </c>
      <c r="J2" s="197" t="s">
        <v>7</v>
      </c>
      <c r="K2" s="197" t="s">
        <v>8</v>
      </c>
      <c r="L2" t="s">
        <v>5</v>
      </c>
      <c r="M2" t="s">
        <v>6</v>
      </c>
      <c r="N2" t="s">
        <v>7</v>
      </c>
      <c r="O2" t="s">
        <v>8</v>
      </c>
      <c r="P2" t="s">
        <v>5</v>
      </c>
      <c r="Q2" t="s">
        <v>6</v>
      </c>
      <c r="R2" t="s">
        <v>7</v>
      </c>
      <c r="S2" t="s">
        <v>8</v>
      </c>
      <c r="T2" t="s">
        <v>5</v>
      </c>
      <c r="U2" t="s">
        <v>6</v>
      </c>
      <c r="V2" t="s">
        <v>7</v>
      </c>
      <c r="W2" t="s">
        <v>8</v>
      </c>
    </row>
    <row r="3" spans="1:36" s="35" customFormat="1" x14ac:dyDescent="0.2">
      <c r="A3" s="35" t="s">
        <v>14</v>
      </c>
      <c r="D3" s="197">
        <f>main!F34</f>
        <v>2220523</v>
      </c>
      <c r="E3" s="197">
        <f>main!G34</f>
        <v>2298792</v>
      </c>
      <c r="F3" s="197">
        <f>main!H34</f>
        <v>2315842</v>
      </c>
      <c r="G3" s="197">
        <f>main!I34</f>
        <v>2331428</v>
      </c>
      <c r="H3" s="197">
        <f>main!J34</f>
        <v>2347737</v>
      </c>
      <c r="I3" s="197">
        <f>main!K34</f>
        <v>2422546</v>
      </c>
      <c r="J3" s="197">
        <f>main!L34</f>
        <v>4815254</v>
      </c>
      <c r="K3" s="197">
        <f>main!M34</f>
        <v>3494888</v>
      </c>
      <c r="L3" s="255" t="str">
        <f>main!N34</f>
        <v>2918239</v>
      </c>
      <c r="M3" s="255" t="str">
        <f>main!O34</f>
        <v>5163185</v>
      </c>
      <c r="N3" s="255">
        <f>main!P34</f>
        <v>2749476.0727414312</v>
      </c>
      <c r="O3" s="255">
        <f>main!Q34</f>
        <v>2651823.3912212253</v>
      </c>
      <c r="P3" s="255">
        <f>main!R34</f>
        <v>2719329.4377647843</v>
      </c>
      <c r="Q3" s="255">
        <f>main!S34</f>
        <v>2776596.3725474421</v>
      </c>
      <c r="R3" s="255">
        <f>main!T34</f>
        <v>2835282.6832986092</v>
      </c>
      <c r="S3" s="255">
        <f>main!U34</f>
        <v>2895427.984567659</v>
      </c>
      <c r="T3" s="255">
        <f>main!V34</f>
        <v>0</v>
      </c>
      <c r="U3" s="255"/>
      <c r="V3" s="255"/>
      <c r="W3" s="255"/>
      <c r="AJ3" s="233"/>
    </row>
    <row r="4" spans="1:36" s="35" customFormat="1" x14ac:dyDescent="0.2">
      <c r="A4" s="35" t="s">
        <v>209</v>
      </c>
      <c r="D4" s="197">
        <f>main!F35</f>
        <v>753311</v>
      </c>
      <c r="E4" s="197">
        <f>main!G35</f>
        <v>767353</v>
      </c>
      <c r="F4" s="197">
        <f>main!H35</f>
        <v>779707</v>
      </c>
      <c r="G4" s="197">
        <f>main!I35</f>
        <v>789893</v>
      </c>
      <c r="H4" s="197">
        <f>main!J35</f>
        <v>797912</v>
      </c>
      <c r="I4" s="197">
        <f>main!K35</f>
        <v>804655</v>
      </c>
      <c r="J4" s="197">
        <f>main!L35</f>
        <v>824058</v>
      </c>
      <c r="K4" s="197">
        <f>main!M35</f>
        <v>842733</v>
      </c>
      <c r="L4" s="213" t="str">
        <f>main!N35</f>
        <v>860594</v>
      </c>
      <c r="M4" s="213" t="str">
        <f>main!O35</f>
        <v>880104</v>
      </c>
      <c r="N4" s="213">
        <f>main!P35</f>
        <v>902881.83575393062</v>
      </c>
      <c r="O4" s="213">
        <f>main!Q35</f>
        <v>925938.6110111312</v>
      </c>
      <c r="P4" s="213">
        <f>main!R35</f>
        <v>968216.38585153921</v>
      </c>
      <c r="Q4" s="213">
        <f>main!S35</f>
        <v>999876.62485549843</v>
      </c>
      <c r="R4" s="213">
        <f>main!T35</f>
        <v>1032572.1393912865</v>
      </c>
      <c r="S4" s="213">
        <f>main!U35</f>
        <v>1066336.7825017269</v>
      </c>
      <c r="T4" s="213">
        <f>main!V35</f>
        <v>1077082.3559680069</v>
      </c>
      <c r="U4" s="213">
        <f>main!W35</f>
        <v>1087936.2135627293</v>
      </c>
      <c r="V4" s="213">
        <f>main!X35</f>
        <v>1098899.4464749785</v>
      </c>
      <c r="W4" s="213">
        <f>main!Y35</f>
        <v>1109973.1568898512</v>
      </c>
      <c r="AJ4" s="233"/>
    </row>
    <row r="5" spans="1:36" s="35" customFormat="1" x14ac:dyDescent="0.2">
      <c r="A5" s="35" t="s">
        <v>15</v>
      </c>
      <c r="D5" s="197">
        <f>main!F97</f>
        <v>728844</v>
      </c>
      <c r="E5" s="197">
        <f>main!G97</f>
        <v>738714</v>
      </c>
      <c r="F5" s="197">
        <f>main!H97</f>
        <v>755204</v>
      </c>
      <c r="G5" s="197">
        <f>main!I97</f>
        <v>763370</v>
      </c>
      <c r="H5" s="197">
        <f>main!J97</f>
        <v>760967</v>
      </c>
      <c r="I5" s="197">
        <f>main!K97</f>
        <v>767087</v>
      </c>
      <c r="J5" s="197">
        <f>main!L97</f>
        <v>812158</v>
      </c>
      <c r="K5" s="197">
        <f>main!M97</f>
        <v>828480</v>
      </c>
      <c r="L5" s="262" t="str">
        <f>main!N97</f>
        <v>827577</v>
      </c>
      <c r="M5" s="262" t="str">
        <f>main!O97</f>
        <v>840323</v>
      </c>
      <c r="N5" s="262">
        <f>main!P97</f>
        <v>847224.19480316178</v>
      </c>
      <c r="O5" s="262">
        <f>main!Q97</f>
        <v>847953.57306406798</v>
      </c>
      <c r="P5" s="262">
        <f>main!R97</f>
        <v>849053.11079238413</v>
      </c>
      <c r="Q5" s="262">
        <f>main!S97</f>
        <v>850530.1564740889</v>
      </c>
      <c r="R5" s="262">
        <f>main!T97</f>
        <v>851875.63625646336</v>
      </c>
      <c r="S5" s="262">
        <f>main!U97</f>
        <v>853307.52299733902</v>
      </c>
      <c r="T5" s="262">
        <f>main!V97</f>
        <v>854801.12899428688</v>
      </c>
      <c r="U5" s="262"/>
      <c r="V5" s="262"/>
      <c r="W5" s="262"/>
      <c r="AJ5" s="258"/>
    </row>
    <row r="6" spans="1:36" s="35" customFormat="1" x14ac:dyDescent="0.2">
      <c r="A6" s="35" t="s">
        <v>208</v>
      </c>
      <c r="D6" s="197">
        <f>main!F100</f>
        <v>589819</v>
      </c>
      <c r="E6" s="197">
        <f>main!G100</f>
        <v>599372</v>
      </c>
      <c r="F6" s="197">
        <f>main!H100</f>
        <v>614976</v>
      </c>
      <c r="G6" s="197">
        <f>main!I100</f>
        <v>622265</v>
      </c>
      <c r="H6" s="197">
        <f>main!J100</f>
        <v>619632</v>
      </c>
      <c r="I6" s="197">
        <f>main!K100</f>
        <v>624096</v>
      </c>
      <c r="J6" s="197">
        <f>main!L100</f>
        <v>668823</v>
      </c>
      <c r="K6" s="197">
        <f>main!M100</f>
        <v>683703</v>
      </c>
      <c r="L6" s="35" t="str">
        <f>main!N100</f>
        <v>682428</v>
      </c>
      <c r="M6" s="35" t="str">
        <f>main!O100</f>
        <v>694419</v>
      </c>
      <c r="N6" s="35">
        <f>main!P100</f>
        <v>701348.54262191174</v>
      </c>
      <c r="O6" s="35">
        <f>main!Q100</f>
        <v>701348.54262191174</v>
      </c>
      <c r="P6" s="35">
        <f>main!R100</f>
        <v>701348.54262191174</v>
      </c>
      <c r="Q6" s="35">
        <f>main!S100</f>
        <v>701348.54262191174</v>
      </c>
      <c r="R6" s="35">
        <f>main!T100</f>
        <v>701348.54262191174</v>
      </c>
      <c r="S6" s="35">
        <f>main!U100</f>
        <v>701348.54262191174</v>
      </c>
      <c r="T6" s="35">
        <f>main!V100</f>
        <v>701348.54262191174</v>
      </c>
    </row>
  </sheetData>
  <mergeCells count="5">
    <mergeCell ref="D1:G1"/>
    <mergeCell ref="H1:K1"/>
    <mergeCell ref="L1:O1"/>
    <mergeCell ref="P1:S1"/>
    <mergeCell ref="T1:W1"/>
  </mergeCells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925F6-0F0F-EB4D-B82F-595726581F1A}">
  <dimension ref="A1:AB50"/>
  <sheetViews>
    <sheetView zoomScale="141" zoomScaleNormal="141" workbookViewId="0">
      <selection activeCell="E24" sqref="E24"/>
    </sheetView>
  </sheetViews>
  <sheetFormatPr baseColWidth="10" defaultColWidth="10.83203125" defaultRowHeight="15" x14ac:dyDescent="0.2"/>
  <cols>
    <col min="2" max="2" width="25.1640625" customWidth="1"/>
    <col min="7" max="7" width="10.83203125" style="146"/>
    <col min="11" max="11" width="10.83203125" style="146"/>
    <col min="15" max="15" width="10.83203125" style="146"/>
    <col min="19" max="19" width="10.83203125" style="146"/>
    <col min="23" max="23" width="10.83203125" style="146"/>
    <col min="27" max="27" width="12.1640625" style="146" bestFit="1" customWidth="1"/>
  </cols>
  <sheetData>
    <row r="1" spans="1:27" ht="19" x14ac:dyDescent="0.25">
      <c r="A1" s="360" t="s">
        <v>203</v>
      </c>
      <c r="B1" s="361"/>
      <c r="C1" s="35"/>
      <c r="I1" s="240"/>
      <c r="J1" s="368" t="s">
        <v>273</v>
      </c>
      <c r="V1" s="352"/>
      <c r="W1" s="352"/>
      <c r="X1" s="352"/>
      <c r="Y1" s="352"/>
    </row>
    <row r="2" spans="1:27" x14ac:dyDescent="0.2">
      <c r="A2" s="362" t="s">
        <v>189</v>
      </c>
      <c r="B2" s="126"/>
      <c r="C2" t="s">
        <v>190</v>
      </c>
      <c r="H2" s="95"/>
      <c r="I2" s="241"/>
      <c r="J2" s="368"/>
    </row>
    <row r="3" spans="1:27" x14ac:dyDescent="0.2">
      <c r="A3" s="363"/>
      <c r="B3" s="127"/>
      <c r="C3" t="s">
        <v>191</v>
      </c>
      <c r="H3" s="95"/>
      <c r="I3" s="241"/>
      <c r="J3" s="368"/>
    </row>
    <row r="4" spans="1:27" x14ac:dyDescent="0.2">
      <c r="A4" s="363"/>
      <c r="B4" s="128"/>
      <c r="C4" t="s">
        <v>192</v>
      </c>
      <c r="H4" s="95"/>
      <c r="I4" s="95"/>
      <c r="J4" s="95"/>
    </row>
    <row r="5" spans="1:27" x14ac:dyDescent="0.2">
      <c r="A5" s="364"/>
      <c r="B5" s="129"/>
      <c r="C5" t="s">
        <v>179</v>
      </c>
      <c r="H5" s="95"/>
      <c r="I5" s="95"/>
      <c r="J5" s="95"/>
    </row>
    <row r="6" spans="1:27" x14ac:dyDescent="0.2">
      <c r="H6" s="95"/>
      <c r="I6" s="95"/>
      <c r="J6" s="95"/>
    </row>
    <row r="7" spans="1:27" x14ac:dyDescent="0.2">
      <c r="C7" s="365" t="s">
        <v>159</v>
      </c>
      <c r="D7" s="366"/>
      <c r="E7" s="366"/>
      <c r="F7" s="367"/>
      <c r="G7" s="365" t="s">
        <v>163</v>
      </c>
      <c r="H7" s="366"/>
      <c r="I7" s="366"/>
      <c r="J7" s="367"/>
      <c r="K7" s="365" t="s">
        <v>174</v>
      </c>
      <c r="L7" s="366"/>
      <c r="M7" s="366"/>
      <c r="N7" s="366"/>
      <c r="O7" s="365" t="s">
        <v>264</v>
      </c>
      <c r="P7" s="366"/>
      <c r="Q7" s="366"/>
      <c r="R7" s="366"/>
      <c r="S7" s="365" t="s">
        <v>267</v>
      </c>
      <c r="T7" s="366"/>
      <c r="U7" s="366"/>
      <c r="V7" s="366"/>
      <c r="W7" s="365" t="s">
        <v>268</v>
      </c>
      <c r="X7" s="366"/>
      <c r="Y7" s="366"/>
      <c r="Z7" s="366"/>
      <c r="AA7" s="222" t="s">
        <v>269</v>
      </c>
    </row>
    <row r="8" spans="1:27" s="257" customFormat="1" x14ac:dyDescent="0.2">
      <c r="B8" s="257" t="s">
        <v>197</v>
      </c>
      <c r="C8" s="96" t="s">
        <v>5</v>
      </c>
      <c r="D8" s="96" t="s">
        <v>6</v>
      </c>
      <c r="E8" s="96" t="s">
        <v>7</v>
      </c>
      <c r="F8" s="96" t="s">
        <v>8</v>
      </c>
      <c r="G8" s="147" t="s">
        <v>5</v>
      </c>
      <c r="H8" s="96" t="s">
        <v>6</v>
      </c>
      <c r="I8" s="96" t="s">
        <v>7</v>
      </c>
      <c r="J8" s="96" t="s">
        <v>8</v>
      </c>
      <c r="K8" s="147" t="s">
        <v>5</v>
      </c>
      <c r="L8" s="96" t="s">
        <v>6</v>
      </c>
      <c r="M8" s="96" t="s">
        <v>7</v>
      </c>
      <c r="N8" s="96" t="s">
        <v>8</v>
      </c>
      <c r="O8" s="147" t="s">
        <v>5</v>
      </c>
      <c r="P8" s="96" t="s">
        <v>6</v>
      </c>
      <c r="Q8" s="96" t="s">
        <v>7</v>
      </c>
      <c r="R8" s="96" t="s">
        <v>8</v>
      </c>
      <c r="S8" s="147" t="s">
        <v>5</v>
      </c>
      <c r="T8" s="96" t="s">
        <v>6</v>
      </c>
      <c r="U8" s="96" t="s">
        <v>7</v>
      </c>
      <c r="V8" s="96" t="s">
        <v>8</v>
      </c>
      <c r="W8" s="147" t="s">
        <v>5</v>
      </c>
      <c r="X8" s="96" t="s">
        <v>6</v>
      </c>
      <c r="Y8" s="96" t="s">
        <v>7</v>
      </c>
      <c r="Z8" s="96" t="s">
        <v>8</v>
      </c>
      <c r="AA8" s="147" t="s">
        <v>5</v>
      </c>
    </row>
    <row r="9" spans="1:27" s="257" customFormat="1" ht="19" x14ac:dyDescent="0.25">
      <c r="A9" s="106" t="s">
        <v>162</v>
      </c>
      <c r="B9" s="106"/>
      <c r="C9" s="78"/>
      <c r="D9" s="78"/>
      <c r="E9" s="78"/>
      <c r="F9" s="78"/>
      <c r="G9" s="148"/>
      <c r="H9" s="78"/>
      <c r="I9" s="78"/>
      <c r="J9" s="78"/>
      <c r="K9" s="152"/>
      <c r="L9" s="78"/>
      <c r="M9" s="78"/>
      <c r="N9" s="78"/>
      <c r="O9" s="148"/>
      <c r="S9" s="148"/>
      <c r="W9" s="148"/>
      <c r="AA9" s="148"/>
    </row>
    <row r="10" spans="1:27" ht="16" x14ac:dyDescent="0.2">
      <c r="B10" s="86" t="s">
        <v>168</v>
      </c>
      <c r="D10" s="265">
        <v>624.1</v>
      </c>
      <c r="E10" s="265">
        <v>668.8</v>
      </c>
      <c r="F10" s="265">
        <v>699</v>
      </c>
      <c r="G10" s="266">
        <v>725.67515775001925</v>
      </c>
      <c r="H10" s="265">
        <v>752.35031550003862</v>
      </c>
      <c r="I10" s="265">
        <v>779.02547325005798</v>
      </c>
      <c r="J10" s="265">
        <v>805.70063100007712</v>
      </c>
      <c r="K10" s="266">
        <v>797.68095514365859</v>
      </c>
      <c r="L10" s="265">
        <v>789.66127928724018</v>
      </c>
      <c r="M10" s="265">
        <v>781.64160343082176</v>
      </c>
      <c r="N10" s="265">
        <v>773.62192757440323</v>
      </c>
      <c r="O10" s="266">
        <v>765.68096050565816</v>
      </c>
      <c r="P10" s="265">
        <v>757.73999343691298</v>
      </c>
      <c r="Q10" s="265">
        <v>749.7990263681678</v>
      </c>
      <c r="R10" s="265">
        <v>741.85805929942273</v>
      </c>
      <c r="S10" s="266">
        <v>750.21768215784016</v>
      </c>
      <c r="T10" s="265">
        <v>758.57730501625758</v>
      </c>
      <c r="U10" s="265">
        <v>766.93692787467512</v>
      </c>
      <c r="V10" s="265">
        <v>775.29655073309266</v>
      </c>
      <c r="W10" s="266">
        <v>785.88625590892332</v>
      </c>
      <c r="X10" s="265">
        <v>796.47596108475398</v>
      </c>
      <c r="Y10" s="265">
        <v>807.06566626058475</v>
      </c>
      <c r="Z10" s="265">
        <v>817.65537143641552</v>
      </c>
      <c r="AA10" s="266">
        <v>828.6749765144433</v>
      </c>
    </row>
    <row r="11" spans="1:27" ht="16" x14ac:dyDescent="0.2">
      <c r="B11" s="86" t="s">
        <v>169</v>
      </c>
      <c r="D11" s="265">
        <v>143</v>
      </c>
      <c r="E11" s="265">
        <v>143.40000000000009</v>
      </c>
      <c r="F11" s="265">
        <v>144.6</v>
      </c>
      <c r="G11" s="266">
        <v>120.03384224998069</v>
      </c>
      <c r="H11" s="265">
        <v>95.472956999961298</v>
      </c>
      <c r="I11" s="265">
        <v>70.917357431191931</v>
      </c>
      <c r="J11" s="265">
        <v>48.491913834578902</v>
      </c>
      <c r="K11" s="266">
        <v>62.918033777257392</v>
      </c>
      <c r="L11" s="265">
        <v>79.543699522884936</v>
      </c>
      <c r="M11" s="265">
        <v>96.719377529314102</v>
      </c>
      <c r="N11" s="265">
        <v>112.99031224028791</v>
      </c>
      <c r="O11" s="266">
        <v>128.20541540449631</v>
      </c>
      <c r="P11" s="265">
        <v>143.1671904459771</v>
      </c>
      <c r="Q11" s="265">
        <v>158.92513958745889</v>
      </c>
      <c r="R11" s="265">
        <v>174.61070926530419</v>
      </c>
      <c r="S11" s="266">
        <v>174.06806847962321</v>
      </c>
      <c r="T11" s="265">
        <v>173.95970447576121</v>
      </c>
      <c r="U11" s="265">
        <v>174.24942752189929</v>
      </c>
      <c r="V11" s="265">
        <v>175.11818627712921</v>
      </c>
      <c r="W11" s="266">
        <v>173.86543191040059</v>
      </c>
      <c r="X11" s="265">
        <v>172.54029808003551</v>
      </c>
      <c r="Y11" s="265">
        <v>171.50468210421619</v>
      </c>
      <c r="Z11" s="265">
        <v>170.79477371476079</v>
      </c>
      <c r="AA11" s="266">
        <v>169.9444832776542</v>
      </c>
    </row>
    <row r="12" spans="1:27" ht="16" x14ac:dyDescent="0.2">
      <c r="B12" s="86" t="s">
        <v>170</v>
      </c>
      <c r="D12" s="265">
        <v>1862.4</v>
      </c>
      <c r="E12" s="265">
        <v>1779.8</v>
      </c>
      <c r="F12" s="265">
        <v>1840.7</v>
      </c>
      <c r="G12" s="266">
        <v>1877.922058618492</v>
      </c>
      <c r="H12" s="265">
        <v>1909.0672334979879</v>
      </c>
      <c r="I12" s="265">
        <v>1939.424154981476</v>
      </c>
      <c r="J12" s="265">
        <v>1971.870864538103</v>
      </c>
      <c r="K12" s="266">
        <v>1993.602827351312</v>
      </c>
      <c r="L12" s="265">
        <v>2013.4924769947811</v>
      </c>
      <c r="M12" s="265">
        <v>2033.180480420667</v>
      </c>
      <c r="N12" s="265">
        <v>2053.766726088515</v>
      </c>
      <c r="O12" s="266">
        <v>2074.6554410827389</v>
      </c>
      <c r="P12" s="265">
        <v>2095.654144922918</v>
      </c>
      <c r="Q12" s="265">
        <v>2115.7821037326221</v>
      </c>
      <c r="R12" s="265">
        <v>2137.3490832768989</v>
      </c>
      <c r="S12" s="266">
        <v>2160.1442716010042</v>
      </c>
      <c r="T12" s="265">
        <v>2184.1035085447952</v>
      </c>
      <c r="U12" s="265">
        <v>2207.641121579094</v>
      </c>
      <c r="V12" s="265">
        <v>2230.977088395809</v>
      </c>
      <c r="W12" s="266">
        <v>2254.7438448591802</v>
      </c>
      <c r="X12" s="265">
        <v>2279.6563184679121</v>
      </c>
      <c r="Y12" s="265">
        <v>2304.862095665856</v>
      </c>
      <c r="Z12" s="265">
        <v>2330.315347767199</v>
      </c>
      <c r="AA12" s="266">
        <v>2355.9885775604512</v>
      </c>
    </row>
    <row r="13" spans="1:27" ht="16" x14ac:dyDescent="0.2">
      <c r="B13" s="86" t="s">
        <v>171</v>
      </c>
      <c r="D13" s="265">
        <v>62.7</v>
      </c>
      <c r="E13" s="265">
        <v>54.2</v>
      </c>
      <c r="F13" s="265">
        <v>62.633333333333333</v>
      </c>
      <c r="G13" s="266">
        <v>63.899884973907497</v>
      </c>
      <c r="H13" s="265">
        <v>64.959659038096376</v>
      </c>
      <c r="I13" s="265">
        <v>65.992611274880829</v>
      </c>
      <c r="J13" s="265">
        <v>67.096672542458393</v>
      </c>
      <c r="K13" s="266">
        <v>67.836144086364158</v>
      </c>
      <c r="L13" s="265">
        <v>68.512927405754951</v>
      </c>
      <c r="M13" s="265">
        <v>69.182849327437623</v>
      </c>
      <c r="N13" s="265">
        <v>69.883335657092758</v>
      </c>
      <c r="O13" s="266">
        <v>70.594114083310089</v>
      </c>
      <c r="P13" s="265">
        <v>71.308635090095464</v>
      </c>
      <c r="Q13" s="265">
        <v>71.993527334050356</v>
      </c>
      <c r="R13" s="265">
        <v>72.727385007104047</v>
      </c>
      <c r="S13" s="266">
        <v>73.503034829834391</v>
      </c>
      <c r="T13" s="265">
        <v>74.31829363024336</v>
      </c>
      <c r="U13" s="265">
        <v>75.11920587180812</v>
      </c>
      <c r="V13" s="265">
        <v>75.913256715664758</v>
      </c>
      <c r="W13" s="266">
        <v>76.721966000079647</v>
      </c>
      <c r="X13" s="265">
        <v>77.569660498745151</v>
      </c>
      <c r="Y13" s="265">
        <v>78.427335212258797</v>
      </c>
      <c r="Z13" s="265">
        <v>79.293430732050595</v>
      </c>
      <c r="AA13" s="266">
        <v>80.167011412978511</v>
      </c>
    </row>
    <row r="14" spans="1:27" ht="16" x14ac:dyDescent="0.2">
      <c r="B14" s="86" t="s">
        <v>172</v>
      </c>
      <c r="D14" s="265">
        <v>0.6</v>
      </c>
      <c r="E14" s="265">
        <v>0.6</v>
      </c>
      <c r="F14" s="265">
        <v>0.6</v>
      </c>
      <c r="G14" s="266">
        <v>0.60196494651670918</v>
      </c>
      <c r="H14" s="265">
        <v>0.60400462950948985</v>
      </c>
      <c r="I14" s="265">
        <v>0.60618755741474062</v>
      </c>
      <c r="J14" s="265">
        <v>0.6085448704308245</v>
      </c>
      <c r="K14" s="266">
        <v>0.61108591061725048</v>
      </c>
      <c r="L14" s="265">
        <v>0.613723485418602</v>
      </c>
      <c r="M14" s="265">
        <v>0.61640465649766174</v>
      </c>
      <c r="N14" s="265">
        <v>0.61912008179492095</v>
      </c>
      <c r="O14" s="266">
        <v>0.62186976131037952</v>
      </c>
      <c r="P14" s="265">
        <v>0.62465992308370988</v>
      </c>
      <c r="Q14" s="265">
        <v>0.62746254093638565</v>
      </c>
      <c r="R14" s="265">
        <v>0.63030564104693343</v>
      </c>
      <c r="S14" s="266">
        <v>0.63318922341535311</v>
      </c>
      <c r="T14" s="265">
        <v>0.63610394598213582</v>
      </c>
      <c r="U14" s="265">
        <v>0.6390248965885913</v>
      </c>
      <c r="V14" s="265">
        <v>0.64196141729422818</v>
      </c>
      <c r="W14" s="266">
        <v>0.64491350809904657</v>
      </c>
      <c r="X14" s="265">
        <v>0.64787182694353762</v>
      </c>
      <c r="Y14" s="265">
        <v>0.65081457568884715</v>
      </c>
      <c r="Z14" s="265">
        <v>0.6537604384539929</v>
      </c>
      <c r="AA14" s="266">
        <v>0.65670630121913887</v>
      </c>
    </row>
    <row r="15" spans="1:27" ht="16" x14ac:dyDescent="0.2">
      <c r="B15" s="86" t="s">
        <v>173</v>
      </c>
      <c r="D15" s="265">
        <v>804.7</v>
      </c>
      <c r="E15" s="265">
        <v>824.1</v>
      </c>
      <c r="F15" s="265">
        <v>842.7</v>
      </c>
      <c r="G15" s="266">
        <v>829.91020137042551</v>
      </c>
      <c r="H15" s="265">
        <v>817.12040274085098</v>
      </c>
      <c r="I15" s="265">
        <v>804.33060411127656</v>
      </c>
      <c r="J15" s="265">
        <v>791.54080548170202</v>
      </c>
      <c r="K15" s="266">
        <v>831.50700168084188</v>
      </c>
      <c r="L15" s="265">
        <v>871.47319787998163</v>
      </c>
      <c r="M15" s="265">
        <v>911.43939407912126</v>
      </c>
      <c r="N15" s="265">
        <v>951.405590278261</v>
      </c>
      <c r="O15" s="266">
        <v>961.1388873035537</v>
      </c>
      <c r="P15" s="265">
        <v>970.8721843288464</v>
      </c>
      <c r="Q15" s="265">
        <v>980.6054813541391</v>
      </c>
      <c r="R15" s="265">
        <v>990.3387783794318</v>
      </c>
      <c r="S15" s="266">
        <v>995.99576239925386</v>
      </c>
      <c r="T15" s="265">
        <v>1001.652746419076</v>
      </c>
      <c r="U15" s="265">
        <v>1007.309730438898</v>
      </c>
      <c r="V15" s="265">
        <v>1012.96671445872</v>
      </c>
      <c r="W15" s="266">
        <v>1042.6707682282611</v>
      </c>
      <c r="X15" s="265">
        <v>1072.3748219978011</v>
      </c>
      <c r="Y15" s="265">
        <v>1102.0788757673411</v>
      </c>
      <c r="Z15" s="265">
        <v>1131.7829295368811</v>
      </c>
      <c r="AA15" s="266">
        <v>1151.8062286849761</v>
      </c>
    </row>
    <row r="16" spans="1:27" ht="16" x14ac:dyDescent="0.2">
      <c r="B16" s="86" t="s">
        <v>164</v>
      </c>
      <c r="D16" s="265">
        <v>1617.8</v>
      </c>
      <c r="E16" s="265">
        <v>3991.2</v>
      </c>
      <c r="F16" s="265">
        <v>2671.1</v>
      </c>
      <c r="G16" s="266">
        <v>2333.9915869000388</v>
      </c>
      <c r="H16" s="265">
        <v>2068.5630978317022</v>
      </c>
      <c r="I16" s="265">
        <v>1854.7401002166671</v>
      </c>
      <c r="J16" s="265">
        <v>1705.479653085818</v>
      </c>
      <c r="K16" s="266">
        <v>1751.959108413354</v>
      </c>
      <c r="L16" s="265">
        <v>1769.6982583878359</v>
      </c>
      <c r="M16" s="265">
        <v>1769.1584086787691</v>
      </c>
      <c r="N16" s="265">
        <v>1743.308007766135</v>
      </c>
      <c r="O16" s="266">
        <v>1745.2651382913789</v>
      </c>
      <c r="P16" s="265">
        <v>1748.278899711572</v>
      </c>
      <c r="Q16" s="265">
        <v>1752.0152900787809</v>
      </c>
      <c r="R16" s="265">
        <v>1757.822159024543</v>
      </c>
      <c r="S16" s="266">
        <v>1775.5902086761339</v>
      </c>
      <c r="T16" s="265">
        <v>1792.663139384533</v>
      </c>
      <c r="U16" s="265">
        <v>1806.4949994790579</v>
      </c>
      <c r="V16" s="265">
        <v>1818.3401827003661</v>
      </c>
      <c r="W16" s="266">
        <v>1860.3070315426439</v>
      </c>
      <c r="X16" s="265">
        <v>1895.734539781108</v>
      </c>
      <c r="Y16" s="265">
        <v>1925.3690742770759</v>
      </c>
      <c r="Z16" s="265">
        <v>1948.5872272714889</v>
      </c>
      <c r="AA16" s="266">
        <v>1961.095884519679</v>
      </c>
    </row>
    <row r="17" spans="1:28" ht="16" x14ac:dyDescent="0.2">
      <c r="B17" s="86" t="s">
        <v>165</v>
      </c>
      <c r="D17" s="265">
        <v>3376.8</v>
      </c>
      <c r="E17" s="265">
        <v>3096.4</v>
      </c>
      <c r="F17" s="265">
        <v>3250.4</v>
      </c>
      <c r="G17" s="266">
        <v>3279.4707042488958</v>
      </c>
      <c r="H17" s="265">
        <v>3308.5414084977929</v>
      </c>
      <c r="I17" s="265">
        <v>3337.612112746689</v>
      </c>
      <c r="J17" s="265">
        <v>3366.6828169955852</v>
      </c>
      <c r="K17" s="266">
        <v>3414.9766574307191</v>
      </c>
      <c r="L17" s="265">
        <v>3463.270497865853</v>
      </c>
      <c r="M17" s="265">
        <v>3511.5643383009879</v>
      </c>
      <c r="N17" s="265">
        <v>3559.8581787361222</v>
      </c>
      <c r="O17" s="266">
        <v>3606.5959670229809</v>
      </c>
      <c r="P17" s="265">
        <v>3653.3337553098409</v>
      </c>
      <c r="Q17" s="265">
        <v>3700.0715435967008</v>
      </c>
      <c r="R17" s="265">
        <v>3746.8093318835622</v>
      </c>
      <c r="S17" s="266">
        <v>3782.1656535796728</v>
      </c>
      <c r="T17" s="265">
        <v>3817.5219752757839</v>
      </c>
      <c r="U17" s="265">
        <v>3852.8782969718959</v>
      </c>
      <c r="V17" s="265">
        <v>3888.234618668007</v>
      </c>
      <c r="W17" s="266">
        <v>3927.686912464862</v>
      </c>
      <c r="X17" s="265">
        <v>3967.1392062617178</v>
      </c>
      <c r="Y17" s="265">
        <v>4006.5915000585742</v>
      </c>
      <c r="Z17" s="265">
        <v>4046.0437938554301</v>
      </c>
      <c r="AA17" s="266">
        <v>4091.8476387732821</v>
      </c>
    </row>
    <row r="18" spans="1:28" ht="16" x14ac:dyDescent="0.2">
      <c r="B18" s="86" t="s">
        <v>166</v>
      </c>
      <c r="D18" s="265">
        <v>180.5</v>
      </c>
      <c r="E18" s="265">
        <v>171.5</v>
      </c>
      <c r="F18" s="265">
        <v>193.9</v>
      </c>
      <c r="G18" s="266">
        <v>203.46905965472101</v>
      </c>
      <c r="H18" s="265">
        <v>213.03811930944201</v>
      </c>
      <c r="I18" s="265">
        <v>222.60717896416301</v>
      </c>
      <c r="J18" s="265">
        <v>232.17623861888401</v>
      </c>
      <c r="K18" s="266">
        <v>272.74113487866401</v>
      </c>
      <c r="L18" s="265">
        <v>313.30603113844381</v>
      </c>
      <c r="M18" s="265">
        <v>353.87092739822373</v>
      </c>
      <c r="N18" s="265">
        <v>394.4358236580037</v>
      </c>
      <c r="O18" s="266">
        <v>417.68987091583182</v>
      </c>
      <c r="P18" s="265">
        <v>440.94391817365999</v>
      </c>
      <c r="Q18" s="265">
        <v>464.19796543148823</v>
      </c>
      <c r="R18" s="265">
        <v>487.45201268931629</v>
      </c>
      <c r="S18" s="266">
        <v>499.93126343802862</v>
      </c>
      <c r="T18" s="265">
        <v>512.4105141867409</v>
      </c>
      <c r="U18" s="265">
        <v>524.88976493545317</v>
      </c>
      <c r="V18" s="265">
        <v>537.36901568416533</v>
      </c>
      <c r="W18" s="266">
        <v>549.34569255866063</v>
      </c>
      <c r="X18" s="265">
        <v>561.32236943315593</v>
      </c>
      <c r="Y18" s="265">
        <v>573.29904630765122</v>
      </c>
      <c r="Z18" s="265">
        <v>585.27572318214641</v>
      </c>
      <c r="AA18" s="266">
        <v>587.36016206119621</v>
      </c>
    </row>
    <row r="19" spans="1:28" ht="16" x14ac:dyDescent="0.2">
      <c r="B19" s="86" t="s">
        <v>167</v>
      </c>
      <c r="D19" s="265">
        <v>74.5</v>
      </c>
      <c r="E19" s="265">
        <v>1085.9000000000001</v>
      </c>
      <c r="F19" s="265">
        <v>1211.7</v>
      </c>
      <c r="G19" s="266">
        <v>1215.6682094904941</v>
      </c>
      <c r="H19" s="265">
        <v>1219.787349294415</v>
      </c>
      <c r="I19" s="265">
        <v>1224.1957721990691</v>
      </c>
      <c r="J19" s="265">
        <v>1228.9563658350501</v>
      </c>
      <c r="K19" s="266">
        <v>1234.087996491538</v>
      </c>
      <c r="L19" s="265">
        <v>1239.414578802867</v>
      </c>
      <c r="M19" s="265">
        <v>1244.829203797028</v>
      </c>
      <c r="N19" s="265">
        <v>1250.313005184843</v>
      </c>
      <c r="O19" s="266">
        <v>1255.865982966312</v>
      </c>
      <c r="P19" s="265">
        <v>1261.5007146675521</v>
      </c>
      <c r="Q19" s="265">
        <v>1267.1606014210311</v>
      </c>
      <c r="R19" s="265">
        <v>1272.902242094282</v>
      </c>
      <c r="S19" s="266">
        <v>1278.725636687306</v>
      </c>
      <c r="T19" s="265">
        <v>1284.611918910924</v>
      </c>
      <c r="U19" s="265">
        <v>1290.51077866066</v>
      </c>
      <c r="V19" s="265">
        <v>1296.4410822256939</v>
      </c>
      <c r="W19" s="266">
        <v>1302.4028296060251</v>
      </c>
      <c r="X19" s="265">
        <v>1308.377154512475</v>
      </c>
      <c r="Y19" s="265">
        <v>1314.320035603628</v>
      </c>
      <c r="Z19" s="265">
        <v>1320.269205457839</v>
      </c>
      <c r="AA19" s="266">
        <v>1326.2183753120521</v>
      </c>
    </row>
    <row r="20" spans="1:28" x14ac:dyDescent="0.2">
      <c r="B20" t="s">
        <v>193</v>
      </c>
      <c r="D20" s="265">
        <v>627.79999999999995</v>
      </c>
      <c r="E20" s="265">
        <v>1396.9</v>
      </c>
      <c r="F20" s="265">
        <v>727.5</v>
      </c>
      <c r="G20" s="266">
        <v>733.04680766425781</v>
      </c>
      <c r="H20" s="265">
        <v>735.98902738182073</v>
      </c>
      <c r="I20" s="265">
        <v>739.36534509049943</v>
      </c>
      <c r="J20" s="265">
        <v>743.32046012066564</v>
      </c>
      <c r="K20" s="266">
        <v>749.02556575769893</v>
      </c>
      <c r="L20" s="265">
        <v>755.52366768540628</v>
      </c>
      <c r="M20" s="265">
        <v>762.10350317964219</v>
      </c>
      <c r="N20" s="265">
        <v>769.41290608618056</v>
      </c>
      <c r="O20" s="266">
        <v>776.13795670807622</v>
      </c>
      <c r="P20" s="265">
        <v>783.60728828800347</v>
      </c>
      <c r="Q20" s="265">
        <v>790.46038352082041</v>
      </c>
      <c r="R20" s="265">
        <v>798.06474350137887</v>
      </c>
      <c r="S20" s="266">
        <v>805.75664035773445</v>
      </c>
      <c r="T20" s="265">
        <v>813.52495973338114</v>
      </c>
      <c r="U20" s="265">
        <v>821.33843618411572</v>
      </c>
      <c r="V20" s="265">
        <v>829.20919608994689</v>
      </c>
      <c r="W20" s="266">
        <v>837.13753702857616</v>
      </c>
      <c r="X20" s="265">
        <v>845.80063209028697</v>
      </c>
      <c r="Y20" s="265">
        <v>853.79527583413812</v>
      </c>
      <c r="Z20" s="265">
        <v>861.83155348315586</v>
      </c>
      <c r="AA20" s="266">
        <v>869.9054194417273</v>
      </c>
    </row>
    <row r="21" spans="1:28" x14ac:dyDescent="0.2">
      <c r="H21" s="95"/>
      <c r="I21" s="95"/>
      <c r="J21" s="95"/>
    </row>
    <row r="22" spans="1:28" x14ac:dyDescent="0.2">
      <c r="E22" s="95"/>
      <c r="F22" s="95"/>
      <c r="H22" s="95"/>
      <c r="I22" s="95"/>
      <c r="J22" s="95"/>
      <c r="L22" s="95"/>
      <c r="M22" s="95"/>
      <c r="N22" s="95"/>
      <c r="P22" s="95"/>
      <c r="Q22" s="95"/>
      <c r="R22" s="95"/>
      <c r="T22" s="95"/>
      <c r="U22" s="95"/>
      <c r="V22" s="95"/>
      <c r="X22" s="95"/>
      <c r="Y22" s="95"/>
      <c r="Z22" s="95"/>
      <c r="AB22" s="95"/>
    </row>
    <row r="23" spans="1:28" ht="19" x14ac:dyDescent="0.25">
      <c r="A23" s="110" t="s">
        <v>182</v>
      </c>
      <c r="B23" s="110"/>
      <c r="E23" s="95"/>
      <c r="F23" s="95"/>
      <c r="H23" s="95"/>
      <c r="I23" s="95"/>
      <c r="J23" s="95"/>
      <c r="L23" s="95"/>
      <c r="M23" s="95"/>
      <c r="N23" s="95"/>
      <c r="P23" s="95"/>
      <c r="Q23" s="95"/>
      <c r="R23" s="95"/>
      <c r="T23" s="95"/>
      <c r="U23" s="95"/>
      <c r="V23" s="95"/>
      <c r="X23" s="95"/>
      <c r="Y23" s="95"/>
      <c r="Z23" s="95"/>
      <c r="AB23" s="95"/>
    </row>
    <row r="24" spans="1:28" x14ac:dyDescent="0.2">
      <c r="B24" t="s">
        <v>182</v>
      </c>
      <c r="D24" s="102">
        <f>main_nipas!I6/1000</f>
        <v>624.096</v>
      </c>
      <c r="E24" s="102">
        <f>main_nipas!J6/1000</f>
        <v>668.82299999999998</v>
      </c>
      <c r="F24" s="102">
        <f>main_nipas!K6/1000</f>
        <v>683.70299999999997</v>
      </c>
      <c r="G24" s="149">
        <f>main_nipas!L6/1000</f>
        <v>682.428</v>
      </c>
      <c r="H24" s="102">
        <f>main_nipas!M6/1000</f>
        <v>694.41899999999998</v>
      </c>
      <c r="I24" s="102">
        <f>main_nipas!N6/1000</f>
        <v>701.34854262191175</v>
      </c>
      <c r="J24" s="102">
        <f>main_nipas!O6/1000</f>
        <v>701.34854262191175</v>
      </c>
      <c r="K24" s="149">
        <f>main_nipas!P6/1000</f>
        <v>701.34854262191175</v>
      </c>
      <c r="L24" s="102">
        <f>main_nipas!Q6/1000</f>
        <v>701.34854262191175</v>
      </c>
      <c r="M24" s="102">
        <f>main_nipas!R6/1000</f>
        <v>701.34854262191175</v>
      </c>
      <c r="N24" s="102">
        <f>M24*(1+N26)</f>
        <v>694.15267695980833</v>
      </c>
      <c r="O24" s="149">
        <f t="shared" ref="O24:AA24" si="0">N24*(1+O26)</f>
        <v>687.02743483320262</v>
      </c>
      <c r="P24" s="102">
        <f t="shared" si="0"/>
        <v>679.90219270659679</v>
      </c>
      <c r="Q24" s="102">
        <f t="shared" si="0"/>
        <v>672.77695057999097</v>
      </c>
      <c r="R24" s="102">
        <f t="shared" si="0"/>
        <v>665.65170845338525</v>
      </c>
      <c r="S24" s="149">
        <f t="shared" si="0"/>
        <v>673.15260052832809</v>
      </c>
      <c r="T24" s="102">
        <f t="shared" si="0"/>
        <v>680.65349260327093</v>
      </c>
      <c r="U24" s="102">
        <f t="shared" si="0"/>
        <v>688.15438467821389</v>
      </c>
      <c r="V24" s="102">
        <f t="shared" si="0"/>
        <v>695.65527675315684</v>
      </c>
      <c r="W24" s="149">
        <f t="shared" si="0"/>
        <v>705.15716900053121</v>
      </c>
      <c r="X24" s="102">
        <f t="shared" si="0"/>
        <v>714.65906124790547</v>
      </c>
      <c r="Y24" s="102">
        <f t="shared" si="0"/>
        <v>724.16095349527995</v>
      </c>
      <c r="Z24" s="102">
        <f t="shared" si="0"/>
        <v>733.66284574265433</v>
      </c>
      <c r="AA24" s="149">
        <f t="shared" si="0"/>
        <v>743.55047701486546</v>
      </c>
      <c r="AB24" s="95"/>
    </row>
    <row r="25" spans="1:28" x14ac:dyDescent="0.2">
      <c r="B25" t="s">
        <v>175</v>
      </c>
      <c r="D25" s="102">
        <f>D10</f>
        <v>624.1</v>
      </c>
      <c r="E25" s="104">
        <f t="shared" ref="E25:AA25" si="1">E10</f>
        <v>668.8</v>
      </c>
      <c r="F25" s="104">
        <f t="shared" si="1"/>
        <v>699</v>
      </c>
      <c r="G25" s="149">
        <f t="shared" si="1"/>
        <v>725.67515775001925</v>
      </c>
      <c r="H25" s="104">
        <f t="shared" si="1"/>
        <v>752.35031550003862</v>
      </c>
      <c r="I25" s="104">
        <f t="shared" si="1"/>
        <v>779.02547325005798</v>
      </c>
      <c r="J25" s="104">
        <f t="shared" si="1"/>
        <v>805.70063100007712</v>
      </c>
      <c r="K25" s="149">
        <f t="shared" si="1"/>
        <v>797.68095514365859</v>
      </c>
      <c r="L25" s="104">
        <f t="shared" si="1"/>
        <v>789.66127928724018</v>
      </c>
      <c r="M25" s="223">
        <f t="shared" si="1"/>
        <v>781.64160343082176</v>
      </c>
      <c r="N25" s="104">
        <f t="shared" si="1"/>
        <v>773.62192757440323</v>
      </c>
      <c r="O25" s="149">
        <f t="shared" si="1"/>
        <v>765.68096050565816</v>
      </c>
      <c r="P25" s="104">
        <f t="shared" si="1"/>
        <v>757.73999343691298</v>
      </c>
      <c r="Q25" s="104">
        <f t="shared" si="1"/>
        <v>749.7990263681678</v>
      </c>
      <c r="R25" s="104">
        <f t="shared" si="1"/>
        <v>741.85805929942273</v>
      </c>
      <c r="S25" s="149">
        <f t="shared" si="1"/>
        <v>750.21768215784016</v>
      </c>
      <c r="T25" s="104">
        <f t="shared" si="1"/>
        <v>758.57730501625758</v>
      </c>
      <c r="U25" s="104">
        <f t="shared" si="1"/>
        <v>766.93692787467512</v>
      </c>
      <c r="V25" s="104">
        <f t="shared" si="1"/>
        <v>775.29655073309266</v>
      </c>
      <c r="W25" s="149">
        <f t="shared" si="1"/>
        <v>785.88625590892332</v>
      </c>
      <c r="X25" s="104">
        <f t="shared" si="1"/>
        <v>796.47596108475398</v>
      </c>
      <c r="Y25" s="104">
        <f t="shared" si="1"/>
        <v>807.06566626058475</v>
      </c>
      <c r="Z25" s="104">
        <f t="shared" si="1"/>
        <v>817.65537143641552</v>
      </c>
      <c r="AA25" s="149">
        <f t="shared" si="1"/>
        <v>828.6749765144433</v>
      </c>
      <c r="AB25" s="95"/>
    </row>
    <row r="26" spans="1:28" s="170" customFormat="1" ht="12" x14ac:dyDescent="0.15">
      <c r="B26" s="210" t="s">
        <v>271</v>
      </c>
      <c r="D26" s="228"/>
      <c r="E26" s="242"/>
      <c r="F26" s="242"/>
      <c r="G26" s="229"/>
      <c r="H26" s="242"/>
      <c r="I26" s="242"/>
      <c r="J26" s="242"/>
      <c r="K26" s="246"/>
      <c r="L26" s="230"/>
      <c r="M26" s="230"/>
      <c r="N26" s="230">
        <f t="shared" ref="N26:AA26" si="2">(N25/M25)-1</f>
        <v>-1.0260042225513799E-2</v>
      </c>
      <c r="O26" s="246">
        <f t="shared" si="2"/>
        <v>-1.0264661310264267E-2</v>
      </c>
      <c r="P26" s="230">
        <f t="shared" si="2"/>
        <v>-1.0371117316931744E-2</v>
      </c>
      <c r="Q26" s="230">
        <f t="shared" si="2"/>
        <v>-1.0479804599895837E-2</v>
      </c>
      <c r="R26" s="230">
        <f t="shared" si="2"/>
        <v>-1.0590794052119601E-2</v>
      </c>
      <c r="S26" s="246">
        <f t="shared" si="2"/>
        <v>1.1268493687743852E-2</v>
      </c>
      <c r="T26" s="230">
        <f t="shared" si="2"/>
        <v>1.1142929655260536E-2</v>
      </c>
      <c r="U26" s="230">
        <f t="shared" si="2"/>
        <v>1.1020133087475292E-2</v>
      </c>
      <c r="V26" s="230">
        <f t="shared" si="2"/>
        <v>1.090001348818026E-2</v>
      </c>
      <c r="W26" s="246">
        <f t="shared" si="2"/>
        <v>1.3658909182321821E-2</v>
      </c>
      <c r="X26" s="230">
        <f t="shared" si="2"/>
        <v>1.3474857329809131E-2</v>
      </c>
      <c r="Y26" s="230">
        <f t="shared" si="2"/>
        <v>1.3295699673607553E-2</v>
      </c>
      <c r="Z26" s="230">
        <f t="shared" si="2"/>
        <v>1.3121243559890861E-2</v>
      </c>
      <c r="AA26" s="246">
        <f t="shared" si="2"/>
        <v>1.3477077828852435E-2</v>
      </c>
      <c r="AB26" s="243"/>
    </row>
    <row r="27" spans="1:28" s="97" customFormat="1" x14ac:dyDescent="0.2">
      <c r="B27" s="99" t="s">
        <v>176</v>
      </c>
      <c r="D27" s="103"/>
      <c r="E27" s="217"/>
      <c r="F27" s="217">
        <f t="shared" ref="F27:AA27" si="3">F24-F25</f>
        <v>-15.297000000000025</v>
      </c>
      <c r="G27" s="150">
        <f t="shared" si="3"/>
        <v>-43.247157750019255</v>
      </c>
      <c r="H27" s="217">
        <f t="shared" si="3"/>
        <v>-57.931315500038636</v>
      </c>
      <c r="I27" s="217">
        <f t="shared" si="3"/>
        <v>-77.676930628146238</v>
      </c>
      <c r="J27" s="217">
        <f t="shared" si="3"/>
        <v>-104.35208837816538</v>
      </c>
      <c r="K27" s="150">
        <f t="shared" si="3"/>
        <v>-96.332412521746846</v>
      </c>
      <c r="L27" s="217">
        <f t="shared" si="3"/>
        <v>-88.31273666532843</v>
      </c>
      <c r="M27" s="239">
        <f t="shared" si="3"/>
        <v>-80.293060808910013</v>
      </c>
      <c r="N27" s="217">
        <f t="shared" si="3"/>
        <v>-79.469250614594898</v>
      </c>
      <c r="O27" s="150">
        <f t="shared" si="3"/>
        <v>-78.653525672455544</v>
      </c>
      <c r="P27" s="217">
        <f t="shared" si="3"/>
        <v>-77.837800730316189</v>
      </c>
      <c r="Q27" s="217">
        <f t="shared" si="3"/>
        <v>-77.022075788176835</v>
      </c>
      <c r="R27" s="217">
        <f t="shared" si="3"/>
        <v>-76.206350846037481</v>
      </c>
      <c r="S27" s="150">
        <f t="shared" si="3"/>
        <v>-77.065081629512065</v>
      </c>
      <c r="T27" s="217">
        <f t="shared" si="3"/>
        <v>-77.923812412986649</v>
      </c>
      <c r="U27" s="217">
        <f t="shared" si="3"/>
        <v>-78.782543196461233</v>
      </c>
      <c r="V27" s="217">
        <f t="shared" si="3"/>
        <v>-79.641273979935818</v>
      </c>
      <c r="W27" s="150">
        <f t="shared" si="3"/>
        <v>-80.729086908392105</v>
      </c>
      <c r="X27" s="217">
        <f t="shared" si="3"/>
        <v>-81.816899836848506</v>
      </c>
      <c r="Y27" s="217">
        <f t="shared" si="3"/>
        <v>-82.904712765304794</v>
      </c>
      <c r="Z27" s="217">
        <f t="shared" si="3"/>
        <v>-83.992525693761195</v>
      </c>
      <c r="AA27" s="150">
        <f t="shared" si="3"/>
        <v>-85.124499499577837</v>
      </c>
      <c r="AB27" s="244"/>
    </row>
    <row r="28" spans="1:28" x14ac:dyDescent="0.2">
      <c r="D28" s="102"/>
      <c r="E28" s="104"/>
      <c r="F28" s="104"/>
      <c r="G28" s="149"/>
      <c r="H28" s="104"/>
      <c r="I28" s="104"/>
      <c r="J28" s="104"/>
      <c r="K28" s="149"/>
      <c r="L28" s="104"/>
      <c r="M28" s="104"/>
      <c r="N28" s="104"/>
      <c r="P28" s="95"/>
      <c r="Q28" s="95"/>
      <c r="R28" s="95"/>
      <c r="T28" s="95"/>
      <c r="U28" s="95"/>
      <c r="V28" s="95"/>
      <c r="X28" s="95"/>
      <c r="Y28" s="95"/>
      <c r="Z28" s="95"/>
      <c r="AB28" s="95"/>
    </row>
    <row r="29" spans="1:28" x14ac:dyDescent="0.2">
      <c r="D29" s="102"/>
      <c r="E29" s="104"/>
      <c r="F29" s="104"/>
      <c r="G29" s="149"/>
      <c r="H29" s="104"/>
      <c r="I29" s="104"/>
      <c r="J29" s="104"/>
      <c r="K29" s="149"/>
      <c r="L29" s="104"/>
      <c r="M29" s="104"/>
      <c r="N29" s="104"/>
      <c r="P29" s="95"/>
      <c r="Q29" s="95"/>
      <c r="R29" s="95"/>
      <c r="T29" s="95"/>
      <c r="U29" s="95"/>
      <c r="V29" s="95"/>
      <c r="X29" s="95"/>
      <c r="Y29" s="95"/>
      <c r="Z29" s="95"/>
      <c r="AB29" s="95"/>
    </row>
    <row r="30" spans="1:28" ht="19" x14ac:dyDescent="0.25">
      <c r="A30" s="110" t="s">
        <v>185</v>
      </c>
      <c r="B30" s="110"/>
      <c r="D30" s="102"/>
      <c r="E30" s="104"/>
      <c r="F30" s="104"/>
      <c r="G30" s="149"/>
      <c r="H30" s="104"/>
      <c r="I30" s="104"/>
      <c r="J30" s="104"/>
      <c r="K30" s="149"/>
      <c r="L30" s="104"/>
      <c r="M30" s="104"/>
      <c r="N30" s="104"/>
      <c r="P30" s="95"/>
      <c r="Q30" s="95"/>
      <c r="R30" s="95"/>
      <c r="T30" s="95"/>
      <c r="U30" s="95"/>
      <c r="V30" s="95"/>
      <c r="X30" s="95"/>
      <c r="Y30" s="95"/>
      <c r="Z30" s="95"/>
      <c r="AB30" s="95"/>
    </row>
    <row r="31" spans="1:28" x14ac:dyDescent="0.2">
      <c r="B31" t="s">
        <v>185</v>
      </c>
      <c r="D31" s="102"/>
      <c r="E31" s="104">
        <f>main_nipas!J5/1000</f>
        <v>812.15800000000002</v>
      </c>
      <c r="F31" s="104">
        <f>main_nipas!K5/1000</f>
        <v>828.48</v>
      </c>
      <c r="G31" s="149">
        <f>main_nipas!L5/1000</f>
        <v>827.577</v>
      </c>
      <c r="H31" s="104">
        <f>main_nipas!M5/1000</f>
        <v>840.32299999999998</v>
      </c>
      <c r="I31" s="104">
        <f>main_nipas!N5/1000</f>
        <v>847.22419480316182</v>
      </c>
      <c r="J31" s="104">
        <f>main_nipas!O5/1000</f>
        <v>847.953573064068</v>
      </c>
      <c r="K31" s="149">
        <f>main_nipas!P5/1000</f>
        <v>849.05311079238413</v>
      </c>
      <c r="L31" s="104">
        <f>main_nipas!Q5/1000</f>
        <v>850.53015647408893</v>
      </c>
      <c r="M31" s="104">
        <f>L31*(1 + M33)</f>
        <v>1034.1830691495156</v>
      </c>
      <c r="N31" s="104">
        <f t="shared" ref="N31:AA31" si="4">M31*(1 + N33)</f>
        <v>1208.161910072331</v>
      </c>
      <c r="O31" s="149">
        <f t="shared" si="4"/>
        <v>1370.8511507368346</v>
      </c>
      <c r="P31" s="104">
        <f t="shared" si="4"/>
        <v>1530.8316513106058</v>
      </c>
      <c r="Q31" s="104">
        <f t="shared" si="4"/>
        <v>1699.3253350266777</v>
      </c>
      <c r="R31" s="104">
        <f t="shared" si="4"/>
        <v>1867.0450930025404</v>
      </c>
      <c r="S31" s="149">
        <f t="shared" si="4"/>
        <v>1861.2428439856753</v>
      </c>
      <c r="T31" s="104">
        <f t="shared" si="4"/>
        <v>1860.0841494100682</v>
      </c>
      <c r="U31" s="104">
        <f t="shared" si="4"/>
        <v>1863.1820464056068</v>
      </c>
      <c r="V31" s="104">
        <f t="shared" si="4"/>
        <v>1872.471349322821</v>
      </c>
      <c r="W31" s="149">
        <f t="shared" si="4"/>
        <v>1859.0761291614713</v>
      </c>
      <c r="X31" s="104">
        <f t="shared" si="4"/>
        <v>1844.9069832599123</v>
      </c>
      <c r="Y31" s="104">
        <f t="shared" si="4"/>
        <v>1833.8335403191893</v>
      </c>
      <c r="Z31" s="104">
        <f t="shared" si="4"/>
        <v>1826.2427632094063</v>
      </c>
      <c r="AA31" s="149">
        <f t="shared" si="4"/>
        <v>1817.1509349080004</v>
      </c>
      <c r="AB31" s="95"/>
    </row>
    <row r="32" spans="1:28" x14ac:dyDescent="0.2">
      <c r="B32" t="s">
        <v>175</v>
      </c>
      <c r="D32" s="102">
        <f>D11</f>
        <v>143</v>
      </c>
      <c r="E32" s="104">
        <f t="shared" ref="E32:AA32" si="5">E11</f>
        <v>143.40000000000009</v>
      </c>
      <c r="F32" s="104">
        <f t="shared" si="5"/>
        <v>144.6</v>
      </c>
      <c r="G32" s="149">
        <f t="shared" si="5"/>
        <v>120.03384224998069</v>
      </c>
      <c r="H32" s="104">
        <f t="shared" si="5"/>
        <v>95.472956999961298</v>
      </c>
      <c r="I32" s="104">
        <f t="shared" si="5"/>
        <v>70.917357431191931</v>
      </c>
      <c r="J32" s="104">
        <f t="shared" si="5"/>
        <v>48.491913834578902</v>
      </c>
      <c r="K32" s="149">
        <f t="shared" si="5"/>
        <v>62.918033777257392</v>
      </c>
      <c r="L32" s="223">
        <f t="shared" si="5"/>
        <v>79.543699522884936</v>
      </c>
      <c r="M32" s="104">
        <f t="shared" si="5"/>
        <v>96.719377529314102</v>
      </c>
      <c r="N32" s="104">
        <f t="shared" si="5"/>
        <v>112.99031224028791</v>
      </c>
      <c r="O32" s="149">
        <f t="shared" si="5"/>
        <v>128.20541540449631</v>
      </c>
      <c r="P32" s="104">
        <f t="shared" si="5"/>
        <v>143.1671904459771</v>
      </c>
      <c r="Q32" s="104">
        <f t="shared" si="5"/>
        <v>158.92513958745889</v>
      </c>
      <c r="R32" s="104">
        <f t="shared" si="5"/>
        <v>174.61070926530419</v>
      </c>
      <c r="S32" s="149">
        <f t="shared" si="5"/>
        <v>174.06806847962321</v>
      </c>
      <c r="T32" s="104">
        <f t="shared" si="5"/>
        <v>173.95970447576121</v>
      </c>
      <c r="U32" s="104">
        <f t="shared" si="5"/>
        <v>174.24942752189929</v>
      </c>
      <c r="V32" s="104">
        <f t="shared" si="5"/>
        <v>175.11818627712921</v>
      </c>
      <c r="W32" s="149">
        <f t="shared" si="5"/>
        <v>173.86543191040059</v>
      </c>
      <c r="X32" s="104">
        <f t="shared" si="5"/>
        <v>172.54029808003551</v>
      </c>
      <c r="Y32" s="104">
        <f t="shared" si="5"/>
        <v>171.50468210421619</v>
      </c>
      <c r="Z32" s="104">
        <f t="shared" si="5"/>
        <v>170.79477371476079</v>
      </c>
      <c r="AA32" s="149">
        <f t="shared" si="5"/>
        <v>169.9444832776542</v>
      </c>
      <c r="AB32" s="95"/>
    </row>
    <row r="33" spans="1:28" s="170" customFormat="1" ht="12" x14ac:dyDescent="0.15">
      <c r="B33" s="210" t="s">
        <v>271</v>
      </c>
      <c r="D33" s="228"/>
      <c r="E33" s="242"/>
      <c r="F33" s="242"/>
      <c r="G33" s="229"/>
      <c r="H33" s="242"/>
      <c r="I33" s="242"/>
      <c r="J33" s="242"/>
      <c r="K33" s="246"/>
      <c r="L33" s="230"/>
      <c r="M33" s="230">
        <f t="shared" ref="M33:AA33" si="6">(M32/L32)-1</f>
        <v>0.2159275732641488</v>
      </c>
      <c r="N33" s="230">
        <f t="shared" si="6"/>
        <v>0.16822828192874106</v>
      </c>
      <c r="O33" s="246">
        <f t="shared" si="6"/>
        <v>0.13465847524920194</v>
      </c>
      <c r="P33" s="230">
        <f t="shared" si="6"/>
        <v>0.11670158389390517</v>
      </c>
      <c r="Q33" s="230">
        <f t="shared" si="6"/>
        <v>0.11006676245021318</v>
      </c>
      <c r="R33" s="230">
        <f t="shared" si="6"/>
        <v>9.8697850563870704E-2</v>
      </c>
      <c r="S33" s="246">
        <f t="shared" si="6"/>
        <v>-3.1077176649944027E-3</v>
      </c>
      <c r="T33" s="230">
        <f t="shared" si="6"/>
        <v>-6.2253809563395102E-4</v>
      </c>
      <c r="U33" s="230">
        <f t="shared" si="6"/>
        <v>1.6654606709707309E-3</v>
      </c>
      <c r="V33" s="230">
        <f t="shared" si="6"/>
        <v>4.9857194229274704E-3</v>
      </c>
      <c r="W33" s="246">
        <f t="shared" si="6"/>
        <v>-7.1537650849472501E-3</v>
      </c>
      <c r="X33" s="230">
        <f t="shared" si="6"/>
        <v>-7.6216060651318474E-3</v>
      </c>
      <c r="Y33" s="230">
        <f t="shared" si="6"/>
        <v>-6.0021686953325437E-3</v>
      </c>
      <c r="Z33" s="230">
        <f t="shared" si="6"/>
        <v>-4.1392945122280533E-3</v>
      </c>
      <c r="AA33" s="246">
        <f t="shared" si="6"/>
        <v>-4.9784335820874936E-3</v>
      </c>
      <c r="AB33" s="243"/>
    </row>
    <row r="34" spans="1:28" s="97" customFormat="1" x14ac:dyDescent="0.2">
      <c r="B34" s="99" t="s">
        <v>176</v>
      </c>
      <c r="D34" s="103"/>
      <c r="E34" s="217"/>
      <c r="F34" s="217">
        <f t="shared" ref="F34:AA34" si="7">F31-F32</f>
        <v>683.88</v>
      </c>
      <c r="G34" s="150">
        <f t="shared" si="7"/>
        <v>707.5431577500193</v>
      </c>
      <c r="H34" s="217">
        <f t="shared" si="7"/>
        <v>744.85004300003868</v>
      </c>
      <c r="I34" s="217">
        <f t="shared" si="7"/>
        <v>776.30683737196989</v>
      </c>
      <c r="J34" s="217">
        <f t="shared" si="7"/>
        <v>799.4616592294891</v>
      </c>
      <c r="K34" s="150">
        <f t="shared" si="7"/>
        <v>786.13507701512674</v>
      </c>
      <c r="L34" s="239">
        <f t="shared" si="7"/>
        <v>770.98645695120399</v>
      </c>
      <c r="M34" s="217">
        <f t="shared" si="7"/>
        <v>937.46369162020153</v>
      </c>
      <c r="N34" s="217">
        <f t="shared" si="7"/>
        <v>1095.1715978320431</v>
      </c>
      <c r="O34" s="150">
        <f t="shared" si="7"/>
        <v>1242.6457353323383</v>
      </c>
      <c r="P34" s="150">
        <f t="shared" si="7"/>
        <v>1387.6644608646288</v>
      </c>
      <c r="Q34" s="150">
        <f t="shared" si="7"/>
        <v>1540.4001954392188</v>
      </c>
      <c r="R34" s="150">
        <f t="shared" si="7"/>
        <v>1692.4343837372362</v>
      </c>
      <c r="S34" s="150">
        <f t="shared" si="7"/>
        <v>1687.1747755060521</v>
      </c>
      <c r="T34" s="150">
        <f t="shared" si="7"/>
        <v>1686.1244449343071</v>
      </c>
      <c r="U34" s="150">
        <f t="shared" si="7"/>
        <v>1688.9326188837076</v>
      </c>
      <c r="V34" s="150">
        <f t="shared" si="7"/>
        <v>1697.3531630456919</v>
      </c>
      <c r="W34" s="150">
        <f t="shared" si="7"/>
        <v>1685.2106972510708</v>
      </c>
      <c r="X34" s="150">
        <f t="shared" si="7"/>
        <v>1672.3666851798769</v>
      </c>
      <c r="Y34" s="150">
        <f t="shared" si="7"/>
        <v>1662.328858214973</v>
      </c>
      <c r="Z34" s="150">
        <f t="shared" si="7"/>
        <v>1655.4479894946455</v>
      </c>
      <c r="AA34" s="150">
        <f t="shared" si="7"/>
        <v>1647.2064516303462</v>
      </c>
      <c r="AB34" s="244"/>
    </row>
    <row r="35" spans="1:28" s="97" customFormat="1" x14ac:dyDescent="0.2">
      <c r="B35" s="99"/>
      <c r="D35" s="103"/>
      <c r="E35" s="217"/>
      <c r="F35" s="217"/>
      <c r="G35" s="150"/>
      <c r="H35" s="217"/>
      <c r="I35" s="217"/>
      <c r="J35" s="217"/>
      <c r="K35" s="150"/>
      <c r="L35" s="217"/>
      <c r="M35" s="217"/>
      <c r="N35" s="217"/>
      <c r="O35" s="181"/>
      <c r="P35" s="244"/>
      <c r="Q35" s="244"/>
      <c r="R35" s="244"/>
      <c r="S35" s="181"/>
      <c r="T35" s="244"/>
      <c r="U35" s="244"/>
      <c r="V35" s="244"/>
      <c r="W35" s="181"/>
      <c r="X35" s="244"/>
      <c r="Y35" s="244"/>
      <c r="Z35" s="244"/>
      <c r="AA35" s="181"/>
      <c r="AB35" s="244"/>
    </row>
    <row r="36" spans="1:28" s="97" customFormat="1" x14ac:dyDescent="0.2">
      <c r="B36" s="99"/>
      <c r="D36" s="103"/>
      <c r="E36" s="217"/>
      <c r="F36" s="217"/>
      <c r="G36" s="150"/>
      <c r="H36" s="217"/>
      <c r="I36" s="217"/>
      <c r="J36" s="217"/>
      <c r="K36" s="150"/>
      <c r="L36" s="217"/>
      <c r="M36" s="217"/>
      <c r="N36" s="217"/>
      <c r="O36" s="181"/>
      <c r="P36" s="244"/>
      <c r="Q36" s="244"/>
      <c r="R36" s="244"/>
      <c r="S36" s="181"/>
      <c r="T36" s="244"/>
      <c r="U36" s="244"/>
      <c r="V36" s="244"/>
      <c r="W36" s="181"/>
      <c r="X36" s="244"/>
      <c r="Y36" s="244"/>
      <c r="Z36" s="244"/>
      <c r="AA36" s="181"/>
      <c r="AB36" s="244"/>
    </row>
    <row r="37" spans="1:28" ht="19" x14ac:dyDescent="0.25">
      <c r="A37" s="105" t="s">
        <v>186</v>
      </c>
      <c r="B37" s="105"/>
      <c r="D37" s="102"/>
      <c r="E37" s="104"/>
      <c r="F37" s="104"/>
      <c r="G37" s="149"/>
      <c r="H37" s="104"/>
      <c r="I37" s="104"/>
      <c r="J37" s="104"/>
      <c r="K37" s="149"/>
      <c r="L37" s="104"/>
      <c r="M37" s="104"/>
      <c r="N37" s="104"/>
      <c r="P37" s="95"/>
      <c r="Q37" s="95"/>
      <c r="R37" s="95"/>
      <c r="T37" s="95"/>
      <c r="U37" s="95"/>
      <c r="V37" s="95"/>
      <c r="X37" s="95"/>
      <c r="Y37" s="95"/>
      <c r="Z37" s="95"/>
      <c r="AB37" s="95"/>
    </row>
    <row r="38" spans="1:28" x14ac:dyDescent="0.2">
      <c r="B38" t="s">
        <v>186</v>
      </c>
      <c r="D38" s="102"/>
      <c r="E38" s="104">
        <f>main_nipas!J4/1000</f>
        <v>824.05799999999999</v>
      </c>
      <c r="F38" s="104">
        <f>main_nipas!K4/1000</f>
        <v>842.73299999999995</v>
      </c>
      <c r="G38" s="149">
        <f>main_nipas!L4/1000</f>
        <v>860.59400000000005</v>
      </c>
      <c r="H38" s="104">
        <f>main_nipas!M4/1000</f>
        <v>880.10400000000004</v>
      </c>
      <c r="I38" s="104">
        <f>main_nipas!N4/1000</f>
        <v>902.88183575393066</v>
      </c>
      <c r="J38" s="104">
        <f>main_nipas!O4/1000</f>
        <v>925.93861101113123</v>
      </c>
      <c r="K38" s="149">
        <f t="shared" ref="K38:AA38" si="8">J38*(1+K40)</f>
        <v>972.69077329985782</v>
      </c>
      <c r="L38" s="149">
        <f t="shared" si="8"/>
        <v>1019.4429355885843</v>
      </c>
      <c r="M38" s="149">
        <f t="shared" si="8"/>
        <v>1066.1950978773107</v>
      </c>
      <c r="N38" s="149">
        <f t="shared" si="8"/>
        <v>1112.947260166037</v>
      </c>
      <c r="O38" s="149">
        <f t="shared" si="8"/>
        <v>1124.3331994198873</v>
      </c>
      <c r="P38" s="149">
        <f t="shared" si="8"/>
        <v>1135.7191386737375</v>
      </c>
      <c r="Q38" s="149">
        <f t="shared" si="8"/>
        <v>1147.1050779275877</v>
      </c>
      <c r="R38" s="149">
        <f t="shared" si="8"/>
        <v>1158.4910171814379</v>
      </c>
      <c r="S38" s="149">
        <f t="shared" si="8"/>
        <v>1165.108515470283</v>
      </c>
      <c r="T38" s="149">
        <f t="shared" si="8"/>
        <v>1171.7260137591281</v>
      </c>
      <c r="U38" s="149">
        <f t="shared" si="8"/>
        <v>1178.343512047973</v>
      </c>
      <c r="V38" s="149">
        <f t="shared" si="8"/>
        <v>1184.9610103368179</v>
      </c>
      <c r="W38" s="149">
        <f t="shared" si="8"/>
        <v>1219.7085939083695</v>
      </c>
      <c r="X38" s="149">
        <f t="shared" si="8"/>
        <v>1254.4561774799199</v>
      </c>
      <c r="Y38" s="149">
        <f t="shared" si="8"/>
        <v>1289.2037610514706</v>
      </c>
      <c r="Z38" s="149">
        <f t="shared" si="8"/>
        <v>1323.951344623021</v>
      </c>
      <c r="AA38" s="149">
        <f t="shared" si="8"/>
        <v>1347.3744526581963</v>
      </c>
      <c r="AB38" s="95"/>
    </row>
    <row r="39" spans="1:28" x14ac:dyDescent="0.2">
      <c r="B39" t="s">
        <v>175</v>
      </c>
      <c r="D39" s="102">
        <f>D15</f>
        <v>804.7</v>
      </c>
      <c r="E39" s="102">
        <f t="shared" ref="E39:AA39" si="9">E15</f>
        <v>824.1</v>
      </c>
      <c r="F39" s="102">
        <f t="shared" si="9"/>
        <v>842.7</v>
      </c>
      <c r="G39" s="149">
        <f t="shared" si="9"/>
        <v>829.91020137042551</v>
      </c>
      <c r="H39" s="102">
        <f t="shared" si="9"/>
        <v>817.12040274085098</v>
      </c>
      <c r="I39" s="102">
        <f t="shared" si="9"/>
        <v>804.33060411127656</v>
      </c>
      <c r="J39" s="102">
        <f t="shared" si="9"/>
        <v>791.54080548170202</v>
      </c>
      <c r="K39" s="149">
        <f t="shared" si="9"/>
        <v>831.50700168084188</v>
      </c>
      <c r="L39" s="102">
        <f t="shared" si="9"/>
        <v>871.47319787998163</v>
      </c>
      <c r="M39" s="102">
        <f t="shared" si="9"/>
        <v>911.43939407912126</v>
      </c>
      <c r="N39" s="102">
        <f t="shared" si="9"/>
        <v>951.405590278261</v>
      </c>
      <c r="O39" s="149">
        <f t="shared" si="9"/>
        <v>961.1388873035537</v>
      </c>
      <c r="P39" s="102">
        <f t="shared" si="9"/>
        <v>970.8721843288464</v>
      </c>
      <c r="Q39" s="102">
        <f t="shared" si="9"/>
        <v>980.6054813541391</v>
      </c>
      <c r="R39" s="102">
        <f t="shared" si="9"/>
        <v>990.3387783794318</v>
      </c>
      <c r="S39" s="149">
        <f t="shared" si="9"/>
        <v>995.99576239925386</v>
      </c>
      <c r="T39" s="102">
        <f t="shared" si="9"/>
        <v>1001.652746419076</v>
      </c>
      <c r="U39" s="102">
        <f t="shared" si="9"/>
        <v>1007.309730438898</v>
      </c>
      <c r="V39" s="102">
        <f t="shared" si="9"/>
        <v>1012.96671445872</v>
      </c>
      <c r="W39" s="149">
        <f t="shared" si="9"/>
        <v>1042.6707682282611</v>
      </c>
      <c r="X39" s="102">
        <f t="shared" si="9"/>
        <v>1072.3748219978011</v>
      </c>
      <c r="Y39" s="102">
        <f t="shared" si="9"/>
        <v>1102.0788757673411</v>
      </c>
      <c r="Z39" s="102">
        <f t="shared" si="9"/>
        <v>1131.7829295368811</v>
      </c>
      <c r="AA39" s="149">
        <f t="shared" si="9"/>
        <v>1151.8062286849761</v>
      </c>
      <c r="AB39" s="95"/>
    </row>
    <row r="40" spans="1:28" s="170" customFormat="1" ht="12" x14ac:dyDescent="0.15">
      <c r="B40" s="210" t="s">
        <v>271</v>
      </c>
      <c r="D40" s="228"/>
      <c r="E40" s="242"/>
      <c r="F40" s="242"/>
      <c r="G40" s="229"/>
      <c r="H40" s="242"/>
      <c r="I40" s="242"/>
      <c r="J40" s="242"/>
      <c r="K40" s="246">
        <f t="shared" ref="K40:AA40" si="10">(K39/J39)-1</f>
        <v>5.0491643541760167E-2</v>
      </c>
      <c r="L40" s="230">
        <f t="shared" si="10"/>
        <v>4.8064774100940122E-2</v>
      </c>
      <c r="M40" s="230">
        <f t="shared" si="10"/>
        <v>4.5860499549917E-2</v>
      </c>
      <c r="N40" s="230">
        <f t="shared" si="10"/>
        <v>4.3849537839561803E-2</v>
      </c>
      <c r="O40" s="246">
        <f t="shared" si="10"/>
        <v>1.0230439178359196E-2</v>
      </c>
      <c r="P40" s="230">
        <f t="shared" si="10"/>
        <v>1.0126837186454019E-2</v>
      </c>
      <c r="Q40" s="230">
        <f t="shared" si="10"/>
        <v>1.002531247923355E-2</v>
      </c>
      <c r="R40" s="230">
        <f t="shared" si="10"/>
        <v>9.925803200540706E-3</v>
      </c>
      <c r="S40" s="246">
        <f t="shared" si="10"/>
        <v>5.7121705655907018E-3</v>
      </c>
      <c r="T40" s="230">
        <f t="shared" si="10"/>
        <v>5.6797269962223229E-3</v>
      </c>
      <c r="U40" s="230">
        <f t="shared" si="10"/>
        <v>5.6476498866955271E-3</v>
      </c>
      <c r="V40" s="230">
        <f t="shared" si="10"/>
        <v>5.6159330629688142E-3</v>
      </c>
      <c r="W40" s="246">
        <f t="shared" si="10"/>
        <v>2.9323820166601733E-2</v>
      </c>
      <c r="X40" s="230">
        <f t="shared" si="10"/>
        <v>2.8488430552257693E-2</v>
      </c>
      <c r="Y40" s="230">
        <f t="shared" si="10"/>
        <v>2.7699320387066129E-2</v>
      </c>
      <c r="Z40" s="230">
        <f t="shared" si="10"/>
        <v>2.6952747596090232E-2</v>
      </c>
      <c r="AA40" s="246">
        <f t="shared" si="10"/>
        <v>1.7691819363531591E-2</v>
      </c>
      <c r="AB40" s="243"/>
    </row>
    <row r="41" spans="1:28" s="97" customFormat="1" x14ac:dyDescent="0.2">
      <c r="B41" s="99" t="s">
        <v>176</v>
      </c>
      <c r="D41" s="103"/>
      <c r="E41" s="217"/>
      <c r="F41" s="217">
        <f t="shared" ref="F41:AA41" si="11">F38-F39</f>
        <v>3.2999999999901775E-2</v>
      </c>
      <c r="G41" s="150">
        <f t="shared" si="11"/>
        <v>30.68379862957454</v>
      </c>
      <c r="H41" s="217">
        <f t="shared" si="11"/>
        <v>62.983597259149064</v>
      </c>
      <c r="I41" s="217">
        <f t="shared" si="11"/>
        <v>98.551231642654102</v>
      </c>
      <c r="J41" s="239">
        <f t="shared" si="11"/>
        <v>134.39780552942921</v>
      </c>
      <c r="K41" s="150">
        <f t="shared" si="11"/>
        <v>141.18377161901594</v>
      </c>
      <c r="L41" s="217">
        <f t="shared" si="11"/>
        <v>147.96973770860268</v>
      </c>
      <c r="M41" s="217">
        <f t="shared" si="11"/>
        <v>154.75570379818942</v>
      </c>
      <c r="N41" s="217">
        <f t="shared" si="11"/>
        <v>161.54166988777604</v>
      </c>
      <c r="O41" s="150">
        <f t="shared" si="11"/>
        <v>163.19431211633355</v>
      </c>
      <c r="P41" s="217">
        <f t="shared" si="11"/>
        <v>164.84695434489106</v>
      </c>
      <c r="Q41" s="217">
        <f t="shared" si="11"/>
        <v>166.49959657344857</v>
      </c>
      <c r="R41" s="217">
        <f t="shared" si="11"/>
        <v>168.15223880200608</v>
      </c>
      <c r="S41" s="150">
        <f t="shared" si="11"/>
        <v>169.11275307102915</v>
      </c>
      <c r="T41" s="217">
        <f t="shared" si="11"/>
        <v>170.0732673400521</v>
      </c>
      <c r="U41" s="217">
        <f t="shared" si="11"/>
        <v>171.03378160907505</v>
      </c>
      <c r="V41" s="217">
        <f t="shared" si="11"/>
        <v>171.99429587809789</v>
      </c>
      <c r="W41" s="150">
        <f t="shared" si="11"/>
        <v>177.03782568010843</v>
      </c>
      <c r="X41" s="217">
        <f t="shared" si="11"/>
        <v>182.08135548211885</v>
      </c>
      <c r="Y41" s="217">
        <f t="shared" si="11"/>
        <v>187.1248852841295</v>
      </c>
      <c r="Z41" s="217">
        <f t="shared" si="11"/>
        <v>192.16841508613993</v>
      </c>
      <c r="AA41" s="150">
        <f t="shared" si="11"/>
        <v>195.56822397322026</v>
      </c>
      <c r="AB41" s="244"/>
    </row>
    <row r="42" spans="1:28" x14ac:dyDescent="0.2">
      <c r="D42" s="102"/>
      <c r="E42" s="104"/>
      <c r="F42" s="104"/>
      <c r="G42" s="149"/>
      <c r="H42" s="104"/>
      <c r="I42" s="104"/>
      <c r="J42" s="104"/>
      <c r="K42" s="149"/>
      <c r="L42" s="104"/>
      <c r="M42" s="104"/>
      <c r="N42" s="104"/>
      <c r="P42" s="95"/>
      <c r="Q42" s="95"/>
      <c r="R42" s="95"/>
      <c r="T42" s="95"/>
      <c r="U42" s="95"/>
      <c r="V42" s="95"/>
      <c r="X42" s="95"/>
      <c r="Y42" s="95"/>
      <c r="Z42" s="95"/>
      <c r="AB42" s="95"/>
    </row>
    <row r="43" spans="1:28" x14ac:dyDescent="0.2">
      <c r="D43" s="102"/>
      <c r="E43" s="104"/>
      <c r="F43" s="104"/>
      <c r="G43" s="149"/>
      <c r="H43" s="104"/>
      <c r="I43" s="104"/>
      <c r="J43" s="104"/>
      <c r="K43" s="149"/>
      <c r="L43" s="104"/>
      <c r="M43" s="104"/>
      <c r="N43" s="104"/>
      <c r="P43" s="95"/>
      <c r="Q43" s="95"/>
      <c r="R43" s="95"/>
      <c r="T43" s="95"/>
      <c r="U43" s="95"/>
      <c r="V43" s="95"/>
      <c r="X43" s="95"/>
      <c r="Y43" s="95"/>
      <c r="Z43" s="95"/>
      <c r="AB43" s="95"/>
    </row>
    <row r="44" spans="1:28" ht="19" x14ac:dyDescent="0.25">
      <c r="A44" s="105" t="s">
        <v>187</v>
      </c>
      <c r="B44" s="105"/>
      <c r="D44" s="102"/>
      <c r="E44" s="104"/>
      <c r="F44" s="104"/>
      <c r="G44" s="149"/>
      <c r="H44" s="104"/>
      <c r="I44" s="104"/>
      <c r="J44" s="104"/>
      <c r="K44" s="149"/>
      <c r="L44" s="104"/>
      <c r="M44" s="104"/>
      <c r="N44" s="104"/>
      <c r="P44" s="95"/>
      <c r="Q44" s="95"/>
      <c r="R44" s="95"/>
      <c r="T44" s="95"/>
      <c r="U44" s="95"/>
      <c r="V44" s="95"/>
      <c r="X44" s="95"/>
      <c r="Y44" s="95"/>
      <c r="Z44" s="95"/>
      <c r="AB44" s="95"/>
    </row>
    <row r="45" spans="1:28" ht="16" x14ac:dyDescent="0.2">
      <c r="B45" s="86" t="s">
        <v>187</v>
      </c>
      <c r="D45" s="102">
        <f>main_nipas!I3/1000</f>
        <v>2422.5459999999998</v>
      </c>
      <c r="E45" s="102">
        <f>main_nipas!J3/1000</f>
        <v>4815.2539999999999</v>
      </c>
      <c r="F45" s="102">
        <f>main_nipas!K3/1000</f>
        <v>3494.8879999999999</v>
      </c>
      <c r="G45" s="149">
        <f>main_nipas!L3/1000</f>
        <v>2918.239</v>
      </c>
      <c r="H45" s="102">
        <f>main_nipas!M3/1000</f>
        <v>5163.1850000000004</v>
      </c>
      <c r="I45" s="102">
        <f>main_nipas!N3/1000</f>
        <v>2749.4760727414314</v>
      </c>
      <c r="J45" s="102">
        <f>main_nipas!O3/1000</f>
        <v>2651.8233912212254</v>
      </c>
      <c r="K45" s="263">
        <f>main_nipas!P3/1000</f>
        <v>2719.3294377647844</v>
      </c>
      <c r="L45" s="104">
        <f>K45*(1+L47)</f>
        <v>2746.8635237459466</v>
      </c>
      <c r="M45" s="104">
        <f t="shared" ref="M45:AA45" si="12">L45*(1+M47)</f>
        <v>2746.0255879751949</v>
      </c>
      <c r="N45" s="104">
        <f t="shared" si="12"/>
        <v>2705.901502976767</v>
      </c>
      <c r="O45" s="104">
        <f t="shared" si="12"/>
        <v>2708.9392922866236</v>
      </c>
      <c r="P45" s="104">
        <f t="shared" si="12"/>
        <v>2713.6171469859569</v>
      </c>
      <c r="Q45" s="104">
        <f t="shared" si="12"/>
        <v>2719.4166409739951</v>
      </c>
      <c r="R45" s="104">
        <f t="shared" si="12"/>
        <v>2728.4298591419433</v>
      </c>
      <c r="S45" s="104">
        <f t="shared" si="12"/>
        <v>2756.0088021875922</v>
      </c>
      <c r="T45" s="104">
        <f t="shared" si="12"/>
        <v>2782.5088060069247</v>
      </c>
      <c r="U45" s="104">
        <f t="shared" si="12"/>
        <v>2803.9781337745972</v>
      </c>
      <c r="V45" s="104">
        <f t="shared" si="12"/>
        <v>2822.363811428108</v>
      </c>
      <c r="W45" s="104">
        <f t="shared" si="12"/>
        <v>2887.503281247346</v>
      </c>
      <c r="X45" s="104">
        <f t="shared" si="12"/>
        <v>2942.4926160993214</v>
      </c>
      <c r="Y45" s="104">
        <f t="shared" si="12"/>
        <v>2988.4903004301636</v>
      </c>
      <c r="Z45" s="104">
        <f t="shared" si="12"/>
        <v>3024.5287025966472</v>
      </c>
      <c r="AA45" s="104">
        <f t="shared" si="12"/>
        <v>3043.9442013480525</v>
      </c>
      <c r="AB45" s="95"/>
    </row>
    <row r="46" spans="1:28" x14ac:dyDescent="0.2">
      <c r="B46" t="s">
        <v>175</v>
      </c>
      <c r="D46" s="102">
        <f>D16</f>
        <v>1617.8</v>
      </c>
      <c r="E46" s="102">
        <f t="shared" ref="E46:AA46" si="13">E16</f>
        <v>3991.2</v>
      </c>
      <c r="F46" s="102">
        <f t="shared" si="13"/>
        <v>2671.1</v>
      </c>
      <c r="G46" s="149">
        <f t="shared" si="13"/>
        <v>2333.9915869000388</v>
      </c>
      <c r="H46" s="102">
        <f t="shared" si="13"/>
        <v>2068.5630978317022</v>
      </c>
      <c r="I46" s="102">
        <f t="shared" si="13"/>
        <v>1854.7401002166671</v>
      </c>
      <c r="J46" s="102">
        <f t="shared" si="13"/>
        <v>1705.479653085818</v>
      </c>
      <c r="K46" s="263">
        <f t="shared" si="13"/>
        <v>1751.959108413354</v>
      </c>
      <c r="L46" s="102">
        <f t="shared" si="13"/>
        <v>1769.6982583878359</v>
      </c>
      <c r="M46" s="102">
        <f t="shared" si="13"/>
        <v>1769.1584086787691</v>
      </c>
      <c r="N46" s="102">
        <f t="shared" si="13"/>
        <v>1743.308007766135</v>
      </c>
      <c r="O46" s="149">
        <f t="shared" si="13"/>
        <v>1745.2651382913789</v>
      </c>
      <c r="P46" s="102">
        <f t="shared" si="13"/>
        <v>1748.278899711572</v>
      </c>
      <c r="Q46" s="102">
        <f t="shared" si="13"/>
        <v>1752.0152900787809</v>
      </c>
      <c r="R46" s="102">
        <f t="shared" si="13"/>
        <v>1757.822159024543</v>
      </c>
      <c r="S46" s="149">
        <f t="shared" si="13"/>
        <v>1775.5902086761339</v>
      </c>
      <c r="T46" s="102">
        <f t="shared" si="13"/>
        <v>1792.663139384533</v>
      </c>
      <c r="U46" s="102">
        <f t="shared" si="13"/>
        <v>1806.4949994790579</v>
      </c>
      <c r="V46" s="102">
        <f t="shared" si="13"/>
        <v>1818.3401827003661</v>
      </c>
      <c r="W46" s="149">
        <f t="shared" si="13"/>
        <v>1860.3070315426439</v>
      </c>
      <c r="X46" s="102">
        <f t="shared" si="13"/>
        <v>1895.734539781108</v>
      </c>
      <c r="Y46" s="102">
        <f t="shared" si="13"/>
        <v>1925.3690742770759</v>
      </c>
      <c r="Z46" s="102">
        <f t="shared" si="13"/>
        <v>1948.5872272714889</v>
      </c>
      <c r="AA46" s="149">
        <f t="shared" si="13"/>
        <v>1961.095884519679</v>
      </c>
      <c r="AB46" s="95"/>
    </row>
    <row r="47" spans="1:28" s="170" customFormat="1" ht="12" x14ac:dyDescent="0.15">
      <c r="B47" s="210" t="s">
        <v>271</v>
      </c>
      <c r="D47" s="228"/>
      <c r="E47" s="242"/>
      <c r="F47" s="242"/>
      <c r="G47" s="229"/>
      <c r="H47" s="242"/>
      <c r="I47" s="242"/>
      <c r="J47" s="242"/>
      <c r="K47" s="246"/>
      <c r="L47" s="230">
        <f t="shared" ref="L47" si="14">(L46/K46)-1</f>
        <v>1.0125321926347519E-2</v>
      </c>
      <c r="M47" s="230">
        <f t="shared" ref="M47" si="15">(M46/L46)-1</f>
        <v>-3.0505183949192105E-4</v>
      </c>
      <c r="N47" s="230">
        <f t="shared" ref="N47" si="16">(N46/M46)-1</f>
        <v>-1.461169377813909E-2</v>
      </c>
      <c r="O47" s="246">
        <f t="shared" ref="O47" si="17">(O46/N46)-1</f>
        <v>1.1226533214585555E-3</v>
      </c>
      <c r="P47" s="230">
        <f t="shared" ref="P47" si="18">(P46/O46)-1</f>
        <v>1.7268215321963876E-3</v>
      </c>
      <c r="Q47" s="230">
        <f t="shared" ref="Q47" si="19">(Q46/P46)-1</f>
        <v>2.1371820982483136E-3</v>
      </c>
      <c r="R47" s="230">
        <f t="shared" ref="R47" si="20">(R46/Q46)-1</f>
        <v>3.3143939888224949E-3</v>
      </c>
      <c r="S47" s="246">
        <f t="shared" ref="S47" si="21">(S46/R46)-1</f>
        <v>1.0107990481500684E-2</v>
      </c>
      <c r="T47" s="230">
        <f t="shared" ref="T47" si="22">(T46/S46)-1</f>
        <v>9.6153552914264306E-3</v>
      </c>
      <c r="U47" s="230">
        <f t="shared" ref="U47" si="23">(U46/T46)-1</f>
        <v>7.7158166476685164E-3</v>
      </c>
      <c r="V47" s="230">
        <f t="shared" ref="V47" si="24">(V46/U46)-1</f>
        <v>6.5569975143711101E-3</v>
      </c>
      <c r="W47" s="246">
        <f t="shared" ref="W47" si="25">(W46/V46)-1</f>
        <v>2.3079756605254076E-2</v>
      </c>
      <c r="X47" s="230">
        <f t="shared" ref="X47" si="26">(X46/W46)-1</f>
        <v>1.904390384907928E-2</v>
      </c>
      <c r="Y47" s="230">
        <f t="shared" ref="Y47" si="27">(Y46/X46)-1</f>
        <v>1.5632217419739414E-2</v>
      </c>
      <c r="Z47" s="230">
        <f t="shared" ref="Z47" si="28">(Z46/Y46)-1</f>
        <v>1.2059066131583585E-2</v>
      </c>
      <c r="AA47" s="246">
        <f t="shared" ref="AA47" si="29">(AA46/Z46)-1</f>
        <v>6.4193468340163484E-3</v>
      </c>
      <c r="AB47" s="243"/>
    </row>
    <row r="48" spans="1:28" s="97" customFormat="1" x14ac:dyDescent="0.2">
      <c r="B48" s="99" t="s">
        <v>176</v>
      </c>
      <c r="D48" s="103"/>
      <c r="E48" s="217"/>
      <c r="F48" s="217">
        <f t="shared" ref="F48:AA48" si="30">F45-F46</f>
        <v>823.78800000000001</v>
      </c>
      <c r="G48" s="150">
        <f t="shared" si="30"/>
        <v>584.24741309996125</v>
      </c>
      <c r="H48" s="217">
        <f t="shared" si="30"/>
        <v>3094.6219021682982</v>
      </c>
      <c r="I48" s="217">
        <f t="shared" si="30"/>
        <v>894.73597252476429</v>
      </c>
      <c r="J48" s="217">
        <f t="shared" si="30"/>
        <v>946.34373813540742</v>
      </c>
      <c r="K48" s="264">
        <f t="shared" si="30"/>
        <v>967.37032935143043</v>
      </c>
      <c r="L48" s="217">
        <f t="shared" si="30"/>
        <v>977.16526535811067</v>
      </c>
      <c r="M48" s="217">
        <f t="shared" si="30"/>
        <v>976.86717929642577</v>
      </c>
      <c r="N48" s="217">
        <f t="shared" si="30"/>
        <v>962.593495210632</v>
      </c>
      <c r="O48" s="150">
        <f t="shared" si="30"/>
        <v>963.67415399524475</v>
      </c>
      <c r="P48" s="217">
        <f t="shared" si="30"/>
        <v>965.33824727438491</v>
      </c>
      <c r="Q48" s="217">
        <f t="shared" si="30"/>
        <v>967.40135089521414</v>
      </c>
      <c r="R48" s="217">
        <f t="shared" si="30"/>
        <v>970.60770011740033</v>
      </c>
      <c r="S48" s="150">
        <f t="shared" si="30"/>
        <v>980.41859351145831</v>
      </c>
      <c r="T48" s="217">
        <f t="shared" si="30"/>
        <v>989.84566662239172</v>
      </c>
      <c r="U48" s="217">
        <f t="shared" si="30"/>
        <v>997.48313429553923</v>
      </c>
      <c r="V48" s="217">
        <f t="shared" si="30"/>
        <v>1004.0236287277419</v>
      </c>
      <c r="W48" s="150">
        <f t="shared" si="30"/>
        <v>1027.196249704702</v>
      </c>
      <c r="X48" s="217">
        <f t="shared" si="30"/>
        <v>1046.7580763182134</v>
      </c>
      <c r="Y48" s="217">
        <f t="shared" si="30"/>
        <v>1063.1212261530877</v>
      </c>
      <c r="Z48" s="217">
        <f t="shared" si="30"/>
        <v>1075.9414753251583</v>
      </c>
      <c r="AA48" s="150">
        <f t="shared" si="30"/>
        <v>1082.8483168283735</v>
      </c>
      <c r="AB48" s="244"/>
    </row>
    <row r="49" spans="2:28" s="97" customFormat="1" x14ac:dyDescent="0.2">
      <c r="B49" s="99"/>
      <c r="D49" s="103"/>
      <c r="E49" s="217"/>
      <c r="F49" s="217"/>
      <c r="G49" s="150"/>
      <c r="H49" s="217"/>
      <c r="I49" s="217"/>
      <c r="J49" s="217"/>
      <c r="K49" s="150"/>
      <c r="L49" s="217"/>
      <c r="M49" s="217"/>
      <c r="N49" s="217"/>
      <c r="O49" s="181"/>
      <c r="P49" s="244"/>
      <c r="Q49" s="244"/>
      <c r="R49" s="244"/>
      <c r="S49" s="181"/>
      <c r="T49" s="244"/>
      <c r="U49" s="244"/>
      <c r="V49" s="244"/>
      <c r="W49" s="181"/>
      <c r="X49" s="244"/>
      <c r="Y49" s="244"/>
      <c r="Z49" s="244"/>
      <c r="AA49" s="181"/>
      <c r="AB49" s="244"/>
    </row>
    <row r="50" spans="2:28" s="97" customFormat="1" x14ac:dyDescent="0.2">
      <c r="B50" s="99"/>
      <c r="D50" s="103"/>
      <c r="E50" s="217"/>
      <c r="F50" s="217"/>
      <c r="G50" s="150"/>
      <c r="H50" s="217"/>
      <c r="I50" s="217"/>
      <c r="J50" s="217"/>
      <c r="K50" s="150"/>
      <c r="L50" s="217"/>
      <c r="M50" s="217"/>
      <c r="N50" s="217"/>
      <c r="O50" s="181"/>
      <c r="P50" s="244"/>
      <c r="Q50" s="244"/>
      <c r="R50" s="244"/>
      <c r="S50" s="181"/>
      <c r="T50" s="244"/>
      <c r="U50" s="244"/>
      <c r="V50" s="244"/>
      <c r="W50" s="181"/>
      <c r="X50" s="244"/>
      <c r="Y50" s="244"/>
      <c r="Z50" s="244"/>
      <c r="AA50" s="181"/>
      <c r="AB50" s="244"/>
    </row>
  </sheetData>
  <mergeCells count="10">
    <mergeCell ref="A1:B1"/>
    <mergeCell ref="J1:J3"/>
    <mergeCell ref="V1:Y1"/>
    <mergeCell ref="A2:A5"/>
    <mergeCell ref="C7:F7"/>
    <mergeCell ref="G7:J7"/>
    <mergeCell ref="K7:N7"/>
    <mergeCell ref="O7:R7"/>
    <mergeCell ref="S7:V7"/>
    <mergeCell ref="W7:Z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1FBF1-BB27-2541-88CA-5AE1F2ACBE56}">
  <dimension ref="A1:I23"/>
  <sheetViews>
    <sheetView workbookViewId="0">
      <selection activeCell="J11" sqref="J11"/>
    </sheetView>
  </sheetViews>
  <sheetFormatPr baseColWidth="10" defaultColWidth="10.83203125" defaultRowHeight="15" x14ac:dyDescent="0.2"/>
  <cols>
    <col min="1" max="1" width="10.5" bestFit="1" customWidth="1"/>
    <col min="2" max="2" width="23.1640625" bestFit="1" customWidth="1"/>
    <col min="3" max="3" width="23.5" bestFit="1" customWidth="1"/>
    <col min="4" max="4" width="23" bestFit="1" customWidth="1"/>
    <col min="5" max="5" width="24.33203125" bestFit="1" customWidth="1"/>
    <col min="6" max="6" width="25.1640625" bestFit="1" customWidth="1"/>
    <col min="7" max="7" width="25.5" bestFit="1" customWidth="1"/>
    <col min="8" max="8" width="20.5" bestFit="1" customWidth="1"/>
    <col min="9" max="9" width="18.33203125" customWidth="1"/>
  </cols>
  <sheetData>
    <row r="1" spans="1:9" x14ac:dyDescent="0.2">
      <c r="A1" s="259" t="s">
        <v>250</v>
      </c>
      <c r="B1" s="259" t="s">
        <v>243</v>
      </c>
      <c r="C1" s="259" t="s">
        <v>244</v>
      </c>
      <c r="D1" s="259" t="s">
        <v>245</v>
      </c>
      <c r="E1" s="259" t="s">
        <v>246</v>
      </c>
      <c r="F1" s="259" t="s">
        <v>247</v>
      </c>
      <c r="G1" s="259" t="s">
        <v>248</v>
      </c>
      <c r="H1" s="259" t="s">
        <v>249</v>
      </c>
      <c r="I1" s="259" t="s">
        <v>280</v>
      </c>
    </row>
    <row r="2" spans="1:9" x14ac:dyDescent="0.2">
      <c r="A2" s="260">
        <v>44104</v>
      </c>
      <c r="B2" s="261">
        <f t="array" ref="B2:B23">TRANSPOSE('add-ons calculations nipas'!F27:AA27)</f>
        <v>-15.297000000000025</v>
      </c>
      <c r="C2" s="259">
        <f t="array" ref="C2:C23">TRANSPOSE('add-ons calculations nipas'!F34:AA34)</f>
        <v>683.88</v>
      </c>
      <c r="D2" s="259">
        <f t="array" ref="D2:D23">TRANSPOSE('add-ons calculations'!F37:AA37)</f>
        <v>4.8999999999978172E-2</v>
      </c>
      <c r="E2" s="259">
        <f t="array" ref="E2:E23">TRANSPOSE('add-ons calculations'!F43:AA43)</f>
        <v>0</v>
      </c>
      <c r="F2" s="259">
        <f t="array" ref="F2:F23">TRANSPOSE('add-ons calculations nipas'!F41:AA41)</f>
        <v>3.2999999999901775E-2</v>
      </c>
      <c r="G2" s="259">
        <f t="array" ref="G2:G23">TRANSPOSE('add-ons calculations nipas'!F48:AA48)</f>
        <v>823.78800000000001</v>
      </c>
      <c r="H2" s="259">
        <f t="array" ref="H2:H23">TRANSPOSE('add-ons calculations'!F64:AA64)</f>
        <v>0.57999999999992724</v>
      </c>
      <c r="I2" s="259">
        <f t="array" ref="I2:I23">TRANSPOSE('add-ons calculations'!F71:AA71)</f>
        <v>49.271999999999991</v>
      </c>
    </row>
    <row r="3" spans="1:9" x14ac:dyDescent="0.2">
      <c r="A3" s="260">
        <v>44196</v>
      </c>
      <c r="B3" s="259">
        <v>-43.247157750019255</v>
      </c>
      <c r="C3" s="259">
        <v>707.5431577500193</v>
      </c>
      <c r="D3" s="259">
        <v>-1907.1</v>
      </c>
      <c r="E3" s="259">
        <v>-4.3178334742540159</v>
      </c>
      <c r="F3" s="259">
        <v>30.68379862957454</v>
      </c>
      <c r="G3" s="259">
        <v>584.24741309996125</v>
      </c>
      <c r="H3" s="259">
        <v>0.60700000000008458</v>
      </c>
      <c r="I3" s="259">
        <v>68.24199999999999</v>
      </c>
    </row>
    <row r="4" spans="1:9" x14ac:dyDescent="0.2">
      <c r="A4" s="260">
        <v>44286</v>
      </c>
      <c r="B4" s="259">
        <v>-57.931315500038636</v>
      </c>
      <c r="C4" s="259">
        <v>744.85004300003868</v>
      </c>
      <c r="D4" s="259">
        <v>-1965.1</v>
      </c>
      <c r="E4" s="259">
        <v>-2.6050070145439435</v>
      </c>
      <c r="F4" s="259">
        <v>62.983597259149064</v>
      </c>
      <c r="G4" s="259">
        <v>3094.6219021682982</v>
      </c>
      <c r="H4" s="259">
        <v>2.5690000000000168</v>
      </c>
      <c r="I4" s="259">
        <v>60.199795999999935</v>
      </c>
    </row>
    <row r="5" spans="1:9" x14ac:dyDescent="0.2">
      <c r="A5" s="260">
        <v>44377</v>
      </c>
      <c r="B5" s="259">
        <v>-77.676930628146238</v>
      </c>
      <c r="C5" s="259">
        <v>776.30683737196989</v>
      </c>
      <c r="D5" s="259">
        <v>-27.737459527982537</v>
      </c>
      <c r="E5" s="259">
        <v>-2.6317117073143947</v>
      </c>
      <c r="F5" s="259">
        <v>98.551231642654102</v>
      </c>
      <c r="G5" s="259">
        <v>894.73597252476429</v>
      </c>
      <c r="H5" s="259">
        <v>442.79632714447837</v>
      </c>
      <c r="I5" s="259">
        <v>67.261751256205002</v>
      </c>
    </row>
    <row r="6" spans="1:9" x14ac:dyDescent="0.2">
      <c r="A6" s="260">
        <v>44469</v>
      </c>
      <c r="B6" s="259">
        <v>-104.35208837816538</v>
      </c>
      <c r="C6" s="259">
        <v>799.4616592294891</v>
      </c>
      <c r="D6" s="259">
        <v>-28.139041961662997</v>
      </c>
      <c r="E6" s="259">
        <v>-2.6698135814636288</v>
      </c>
      <c r="F6" s="259">
        <v>134.39780552942921</v>
      </c>
      <c r="G6" s="259">
        <v>946.34373813540742</v>
      </c>
      <c r="H6" s="259">
        <v>-299.1009571770893</v>
      </c>
      <c r="I6" s="259">
        <v>63.106744514582999</v>
      </c>
    </row>
    <row r="7" spans="1:9" x14ac:dyDescent="0.2">
      <c r="A7" s="260">
        <v>44561</v>
      </c>
      <c r="B7" s="259">
        <v>-96.332412521746846</v>
      </c>
      <c r="C7" s="259">
        <v>786.13507701512674</v>
      </c>
      <c r="D7" s="259">
        <v>-28.5131067004138</v>
      </c>
      <c r="E7" s="259">
        <v>-2.7053045950249697</v>
      </c>
      <c r="F7" s="259">
        <v>141.18377161901594</v>
      </c>
      <c r="G7" s="259">
        <v>967.37032935143043</v>
      </c>
      <c r="H7" s="259">
        <v>-305.73747330127003</v>
      </c>
      <c r="I7" s="259">
        <v>60.548462812038906</v>
      </c>
    </row>
    <row r="8" spans="1:9" x14ac:dyDescent="0.2">
      <c r="A8" s="260">
        <v>44651</v>
      </c>
      <c r="B8" s="259">
        <v>-88.31273666532843</v>
      </c>
      <c r="C8" s="259">
        <v>770.98645695120399</v>
      </c>
      <c r="D8" s="259">
        <v>0</v>
      </c>
      <c r="E8" s="259">
        <v>0</v>
      </c>
      <c r="F8" s="259">
        <v>147.96973770860268</v>
      </c>
      <c r="G8" s="259">
        <v>977.16526535811067</v>
      </c>
      <c r="H8" s="259">
        <v>-333.15003590766503</v>
      </c>
      <c r="I8" s="259">
        <v>48.756826209861401</v>
      </c>
    </row>
    <row r="9" spans="1:9" x14ac:dyDescent="0.2">
      <c r="A9" s="260">
        <v>44742</v>
      </c>
      <c r="B9" s="259">
        <v>-80.293060808910013</v>
      </c>
      <c r="C9" s="259">
        <v>937.46369162020153</v>
      </c>
      <c r="D9" s="259">
        <v>0</v>
      </c>
      <c r="E9" s="259">
        <v>0</v>
      </c>
      <c r="F9" s="259">
        <v>154.75570379818942</v>
      </c>
      <c r="G9" s="259">
        <v>976.86717929642577</v>
      </c>
      <c r="H9" s="259">
        <v>-334.75716524847383</v>
      </c>
      <c r="I9" s="259">
        <v>47.075168778347972</v>
      </c>
    </row>
    <row r="10" spans="1:9" x14ac:dyDescent="0.2">
      <c r="A10" s="260">
        <v>44834</v>
      </c>
      <c r="B10" s="259">
        <v>-79.469250614594898</v>
      </c>
      <c r="C10" s="259">
        <v>1095.1715978320431</v>
      </c>
      <c r="D10" s="259">
        <v>0</v>
      </c>
      <c r="E10" s="259">
        <v>0</v>
      </c>
      <c r="F10" s="259">
        <v>161.54166988777604</v>
      </c>
      <c r="G10" s="259">
        <v>962.593495210632</v>
      </c>
      <c r="H10" s="259">
        <v>-336.33915700835234</v>
      </c>
      <c r="I10" s="259">
        <v>45.38228634829386</v>
      </c>
    </row>
    <row r="11" spans="1:9" x14ac:dyDescent="0.2">
      <c r="A11" s="260">
        <v>44926</v>
      </c>
      <c r="B11" s="259">
        <v>-78.653525672455544</v>
      </c>
      <c r="C11" s="259">
        <v>1242.6457353323383</v>
      </c>
      <c r="D11" s="259">
        <v>0</v>
      </c>
      <c r="E11" s="259">
        <v>0</v>
      </c>
      <c r="F11" s="259">
        <v>163.19431211633355</v>
      </c>
      <c r="G11" s="259">
        <v>963.67415399524475</v>
      </c>
      <c r="H11" s="259">
        <v>-337.91109373585869</v>
      </c>
      <c r="I11" s="259">
        <v>43.63461153540959</v>
      </c>
    </row>
    <row r="12" spans="1:9" x14ac:dyDescent="0.2">
      <c r="A12" s="260">
        <v>45016</v>
      </c>
      <c r="B12" s="259">
        <v>-77.837800730316189</v>
      </c>
      <c r="C12" s="259">
        <v>1387.6644608646288</v>
      </c>
      <c r="D12" s="259">
        <v>0</v>
      </c>
      <c r="E12" s="259">
        <v>0</v>
      </c>
      <c r="F12" s="259">
        <v>164.84695434489106</v>
      </c>
      <c r="G12" s="259">
        <v>965.33824727438491</v>
      </c>
      <c r="H12" s="259">
        <v>-339.47967878590765</v>
      </c>
      <c r="I12" s="259">
        <v>41.889691937128021</v>
      </c>
    </row>
    <row r="13" spans="1:9" x14ac:dyDescent="0.2">
      <c r="A13" s="260">
        <v>45107</v>
      </c>
      <c r="B13" s="259">
        <v>-77.022075788176835</v>
      </c>
      <c r="C13" s="259">
        <v>1540.4001954392188</v>
      </c>
      <c r="D13" s="259">
        <v>0</v>
      </c>
      <c r="E13" s="259">
        <v>0</v>
      </c>
      <c r="F13" s="259">
        <v>166.49959657344857</v>
      </c>
      <c r="G13" s="259">
        <v>967.40135089521414</v>
      </c>
      <c r="H13" s="259">
        <v>-341.05329135214311</v>
      </c>
      <c r="I13" s="259">
        <v>56.635167119177311</v>
      </c>
    </row>
    <row r="14" spans="1:9" x14ac:dyDescent="0.2">
      <c r="A14" s="260">
        <v>45199</v>
      </c>
      <c r="B14" s="259">
        <v>-76.206350846037481</v>
      </c>
      <c r="C14" s="259">
        <v>1692.4343837372362</v>
      </c>
      <c r="D14" s="259">
        <v>0</v>
      </c>
      <c r="E14" s="259">
        <v>0</v>
      </c>
      <c r="F14" s="259">
        <v>168.15223880200608</v>
      </c>
      <c r="G14" s="259">
        <v>970.60770011740033</v>
      </c>
      <c r="H14" s="259">
        <v>-342.64198646693649</v>
      </c>
      <c r="I14" s="259">
        <v>53.981408433973343</v>
      </c>
    </row>
    <row r="15" spans="1:9" x14ac:dyDescent="0.2">
      <c r="A15" s="260">
        <v>45291</v>
      </c>
      <c r="B15" s="259">
        <v>-77.065081629512065</v>
      </c>
      <c r="C15" s="259">
        <v>1687.1747755060521</v>
      </c>
      <c r="D15" s="259">
        <v>0</v>
      </c>
      <c r="E15" s="259">
        <v>0</v>
      </c>
      <c r="F15" s="259">
        <v>169.11275307102915</v>
      </c>
      <c r="G15" s="259">
        <v>980.41859351145831</v>
      </c>
      <c r="H15" s="259">
        <v>-344.24576413028785</v>
      </c>
      <c r="I15" s="259">
        <v>51.263606932646326</v>
      </c>
    </row>
    <row r="16" spans="1:9" x14ac:dyDescent="0.2">
      <c r="A16" s="260">
        <v>45382</v>
      </c>
      <c r="B16" s="259">
        <v>-77.923812412986649</v>
      </c>
      <c r="C16" s="259">
        <v>1686.1244449343071</v>
      </c>
      <c r="D16" s="259">
        <v>0</v>
      </c>
      <c r="E16" s="259">
        <v>0</v>
      </c>
      <c r="F16" s="259">
        <v>170.0732673400521</v>
      </c>
      <c r="G16" s="259">
        <v>989.84566662239172</v>
      </c>
      <c r="H16" s="259">
        <v>-345.85959682601151</v>
      </c>
      <c r="I16" s="259">
        <v>51.772414448603058</v>
      </c>
    </row>
    <row r="17" spans="1:9" x14ac:dyDescent="0.2">
      <c r="A17" s="260">
        <v>45473</v>
      </c>
      <c r="B17" s="259">
        <v>-78.782543196461233</v>
      </c>
      <c r="C17" s="259">
        <v>1688.9326188837076</v>
      </c>
      <c r="D17" s="259">
        <v>0</v>
      </c>
      <c r="E17" s="259">
        <v>0</v>
      </c>
      <c r="F17" s="259">
        <v>171.03378160907505</v>
      </c>
      <c r="G17" s="259">
        <v>997.48313429553923</v>
      </c>
      <c r="H17" s="259">
        <v>-347.47007784427768</v>
      </c>
      <c r="I17" s="259">
        <v>52.284929603149124</v>
      </c>
    </row>
    <row r="18" spans="1:9" x14ac:dyDescent="0.2">
      <c r="A18" s="260">
        <v>45565</v>
      </c>
      <c r="B18" s="259">
        <v>-79.641273979935818</v>
      </c>
      <c r="C18" s="259">
        <v>1697.3531630456919</v>
      </c>
      <c r="D18" s="259">
        <v>0</v>
      </c>
      <c r="E18" s="259">
        <v>0</v>
      </c>
      <c r="F18" s="259">
        <v>171.99429587809789</v>
      </c>
      <c r="G18" s="259">
        <v>1004.0236287277419</v>
      </c>
      <c r="H18" s="259">
        <v>-349.08558637873045</v>
      </c>
      <c r="I18" s="259">
        <v>52.803713366615796</v>
      </c>
    </row>
    <row r="19" spans="1:9" x14ac:dyDescent="0.2">
      <c r="A19" s="260">
        <v>45657</v>
      </c>
      <c r="B19" s="259">
        <v>-80.729086908392105</v>
      </c>
      <c r="C19" s="259">
        <v>1685.2106972510708</v>
      </c>
      <c r="D19" s="259">
        <v>0</v>
      </c>
      <c r="E19" s="259">
        <v>0</v>
      </c>
      <c r="F19" s="259">
        <v>177.03782568010843</v>
      </c>
      <c r="G19" s="259">
        <v>1027.196249704702</v>
      </c>
      <c r="H19" s="259">
        <v>-350.7044465906398</v>
      </c>
      <c r="I19" s="259">
        <v>53.328135492352658</v>
      </c>
    </row>
    <row r="20" spans="1:9" x14ac:dyDescent="0.2">
      <c r="A20" s="260">
        <v>45747</v>
      </c>
      <c r="B20" s="259">
        <v>-81.816899836848506</v>
      </c>
      <c r="C20" s="259">
        <v>1672.3666851798769</v>
      </c>
      <c r="D20" s="259">
        <v>0</v>
      </c>
      <c r="E20" s="259">
        <v>0</v>
      </c>
      <c r="F20" s="259">
        <v>182.08135548211885</v>
      </c>
      <c r="G20" s="259">
        <v>1046.7580763182134</v>
      </c>
      <c r="H20" s="259">
        <v>-352.32163096382084</v>
      </c>
      <c r="I20" s="259">
        <v>53.854882752932838</v>
      </c>
    </row>
    <row r="21" spans="1:9" x14ac:dyDescent="0.2">
      <c r="A21" s="260">
        <v>45838</v>
      </c>
      <c r="B21" s="259">
        <v>-82.904712765304794</v>
      </c>
      <c r="C21" s="259">
        <v>1662.328858214973</v>
      </c>
      <c r="D21" s="259">
        <v>0</v>
      </c>
      <c r="E21" s="259">
        <v>0</v>
      </c>
      <c r="F21" s="259">
        <v>187.1248852841295</v>
      </c>
      <c r="G21" s="259">
        <v>1063.1212261530877</v>
      </c>
      <c r="H21" s="259">
        <v>-353.91870527225819</v>
      </c>
      <c r="I21" s="259">
        <v>54.384605669423934</v>
      </c>
    </row>
    <row r="22" spans="1:9" x14ac:dyDescent="0.2">
      <c r="A22" s="260">
        <v>45930</v>
      </c>
      <c r="B22" s="259">
        <v>-83.992525693761195</v>
      </c>
      <c r="C22" s="259">
        <v>1655.4479894946455</v>
      </c>
      <c r="D22" s="259">
        <v>0</v>
      </c>
      <c r="E22" s="259">
        <v>0</v>
      </c>
      <c r="F22" s="259">
        <v>192.16841508613993</v>
      </c>
      <c r="G22" s="259">
        <v>1075.9414753251583</v>
      </c>
      <c r="H22" s="259">
        <v>-355.5040487095942</v>
      </c>
      <c r="I22" s="259">
        <v>54.916846529514942</v>
      </c>
    </row>
    <row r="23" spans="1:9" x14ac:dyDescent="0.2">
      <c r="A23" s="260">
        <v>46022</v>
      </c>
      <c r="B23" s="259">
        <v>-85.124499499577837</v>
      </c>
      <c r="C23" s="259">
        <v>1647.2064516303462</v>
      </c>
      <c r="D23" s="259">
        <v>0</v>
      </c>
      <c r="E23" s="259">
        <v>0</v>
      </c>
      <c r="F23" s="259">
        <v>195.56822397322026</v>
      </c>
      <c r="G23" s="259">
        <v>1082.8483168283735</v>
      </c>
      <c r="H23" s="259">
        <v>-357.07766127582966</v>
      </c>
      <c r="I23" s="259">
        <v>55.453351965988816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CD553-49A9-442A-A3CE-215FCFDE89C7}">
  <dimension ref="A1:K34"/>
  <sheetViews>
    <sheetView workbookViewId="0">
      <selection activeCell="B1" sqref="B1"/>
    </sheetView>
  </sheetViews>
  <sheetFormatPr baseColWidth="10" defaultColWidth="8.83203125" defaultRowHeight="15" x14ac:dyDescent="0.2"/>
  <cols>
    <col min="11" max="11" width="9.5" bestFit="1" customWidth="1"/>
  </cols>
  <sheetData>
    <row r="1" spans="1:11" s="297" customFormat="1" x14ac:dyDescent="0.2">
      <c r="A1" s="350" t="s">
        <v>312</v>
      </c>
      <c r="B1" s="350" t="s">
        <v>313</v>
      </c>
      <c r="C1" s="350" t="s">
        <v>314</v>
      </c>
      <c r="D1" s="350" t="s">
        <v>315</v>
      </c>
      <c r="E1" s="350" t="s">
        <v>316</v>
      </c>
      <c r="F1" s="350" t="s">
        <v>317</v>
      </c>
      <c r="G1" s="350" t="s">
        <v>318</v>
      </c>
      <c r="H1" s="350" t="s">
        <v>319</v>
      </c>
      <c r="I1" s="350" t="s">
        <v>320</v>
      </c>
      <c r="J1" s="350" t="s">
        <v>363</v>
      </c>
      <c r="K1" s="350" t="s">
        <v>400</v>
      </c>
    </row>
    <row r="2" spans="1:11" x14ac:dyDescent="0.2">
      <c r="A2" t="s">
        <v>282</v>
      </c>
      <c r="B2" t="s">
        <v>401</v>
      </c>
      <c r="C2" t="s">
        <v>402</v>
      </c>
      <c r="D2" t="s">
        <v>403</v>
      </c>
      <c r="E2" t="s">
        <v>404</v>
      </c>
      <c r="F2" t="s">
        <v>405</v>
      </c>
      <c r="G2" t="s">
        <v>406</v>
      </c>
      <c r="H2" t="s">
        <v>407</v>
      </c>
      <c r="I2" t="s">
        <v>408</v>
      </c>
      <c r="J2" t="s">
        <v>409</v>
      </c>
      <c r="K2" t="s">
        <v>410</v>
      </c>
    </row>
    <row r="3" spans="1:11" x14ac:dyDescent="0.2">
      <c r="A3" t="s">
        <v>283</v>
      </c>
      <c r="B3" t="s">
        <v>411</v>
      </c>
      <c r="C3" t="s">
        <v>412</v>
      </c>
      <c r="D3" t="s">
        <v>413</v>
      </c>
      <c r="E3" t="s">
        <v>414</v>
      </c>
      <c r="F3" t="s">
        <v>415</v>
      </c>
      <c r="G3" t="s">
        <v>416</v>
      </c>
      <c r="H3" t="s">
        <v>417</v>
      </c>
      <c r="I3" t="s">
        <v>418</v>
      </c>
      <c r="J3" t="s">
        <v>419</v>
      </c>
      <c r="K3" t="s">
        <v>420</v>
      </c>
    </row>
    <row r="4" spans="1:11" x14ac:dyDescent="0.2">
      <c r="A4" t="s">
        <v>284</v>
      </c>
      <c r="B4" t="s">
        <v>421</v>
      </c>
      <c r="C4" t="s">
        <v>422</v>
      </c>
      <c r="D4" t="s">
        <v>423</v>
      </c>
      <c r="E4" t="s">
        <v>424</v>
      </c>
      <c r="F4" t="s">
        <v>425</v>
      </c>
      <c r="G4" t="s">
        <v>426</v>
      </c>
      <c r="H4" t="s">
        <v>427</v>
      </c>
      <c r="I4" t="s">
        <v>428</v>
      </c>
      <c r="J4" t="s">
        <v>429</v>
      </c>
      <c r="K4" t="s">
        <v>430</v>
      </c>
    </row>
    <row r="5" spans="1:11" x14ac:dyDescent="0.2">
      <c r="A5" t="s">
        <v>285</v>
      </c>
      <c r="B5" t="s">
        <v>431</v>
      </c>
      <c r="C5" t="s">
        <v>432</v>
      </c>
      <c r="D5" t="s">
        <v>433</v>
      </c>
      <c r="E5" t="s">
        <v>434</v>
      </c>
      <c r="F5" t="s">
        <v>435</v>
      </c>
      <c r="G5" t="s">
        <v>436</v>
      </c>
      <c r="H5" t="s">
        <v>437</v>
      </c>
      <c r="I5" t="s">
        <v>438</v>
      </c>
      <c r="J5" t="s">
        <v>439</v>
      </c>
      <c r="K5" t="s">
        <v>440</v>
      </c>
    </row>
    <row r="6" spans="1:11" x14ac:dyDescent="0.2">
      <c r="A6" t="s">
        <v>286</v>
      </c>
      <c r="B6" t="s">
        <v>441</v>
      </c>
      <c r="C6" t="s">
        <v>442</v>
      </c>
      <c r="D6" t="s">
        <v>443</v>
      </c>
      <c r="E6" t="s">
        <v>444</v>
      </c>
      <c r="F6" t="s">
        <v>445</v>
      </c>
      <c r="G6" t="s">
        <v>446</v>
      </c>
      <c r="H6" t="s">
        <v>447</v>
      </c>
      <c r="I6" t="s">
        <v>448</v>
      </c>
      <c r="J6" t="s">
        <v>449</v>
      </c>
      <c r="K6" t="s">
        <v>450</v>
      </c>
    </row>
    <row r="7" spans="1:11" x14ac:dyDescent="0.2">
      <c r="A7" t="s">
        <v>287</v>
      </c>
      <c r="B7" t="s">
        <v>451</v>
      </c>
      <c r="C7" t="s">
        <v>452</v>
      </c>
      <c r="D7" t="s">
        <v>453</v>
      </c>
      <c r="E7" t="s">
        <v>454</v>
      </c>
      <c r="F7" t="s">
        <v>455</v>
      </c>
      <c r="G7" t="s">
        <v>456</v>
      </c>
      <c r="H7" t="s">
        <v>457</v>
      </c>
      <c r="I7" t="s">
        <v>458</v>
      </c>
      <c r="J7" t="s">
        <v>459</v>
      </c>
      <c r="K7" t="s">
        <v>460</v>
      </c>
    </row>
    <row r="8" spans="1:11" x14ac:dyDescent="0.2">
      <c r="A8" t="s">
        <v>288</v>
      </c>
      <c r="B8" t="s">
        <v>461</v>
      </c>
      <c r="C8" t="s">
        <v>462</v>
      </c>
      <c r="D8" t="s">
        <v>463</v>
      </c>
      <c r="E8" t="s">
        <v>464</v>
      </c>
      <c r="F8" t="s">
        <v>465</v>
      </c>
      <c r="G8" t="s">
        <v>466</v>
      </c>
      <c r="H8" t="s">
        <v>467</v>
      </c>
      <c r="I8" t="s">
        <v>468</v>
      </c>
      <c r="J8" t="s">
        <v>469</v>
      </c>
      <c r="K8" t="s">
        <v>470</v>
      </c>
    </row>
    <row r="9" spans="1:11" x14ac:dyDescent="0.2">
      <c r="A9" t="s">
        <v>289</v>
      </c>
      <c r="B9" t="s">
        <v>471</v>
      </c>
      <c r="C9" t="s">
        <v>472</v>
      </c>
      <c r="D9" t="s">
        <v>473</v>
      </c>
      <c r="E9" t="s">
        <v>474</v>
      </c>
      <c r="F9" t="s">
        <v>475</v>
      </c>
      <c r="G9" t="s">
        <v>476</v>
      </c>
      <c r="H9" t="s">
        <v>477</v>
      </c>
      <c r="I9" t="s">
        <v>478</v>
      </c>
      <c r="J9" t="s">
        <v>479</v>
      </c>
      <c r="K9" t="s">
        <v>480</v>
      </c>
    </row>
    <row r="10" spans="1:11" x14ac:dyDescent="0.2">
      <c r="A10" t="s">
        <v>321</v>
      </c>
      <c r="B10" t="s">
        <v>481</v>
      </c>
      <c r="C10" t="s">
        <v>482</v>
      </c>
      <c r="D10" t="s">
        <v>483</v>
      </c>
      <c r="E10" t="s">
        <v>484</v>
      </c>
      <c r="F10" t="s">
        <v>485</v>
      </c>
      <c r="G10" t="s">
        <v>486</v>
      </c>
      <c r="H10" t="s">
        <v>487</v>
      </c>
      <c r="I10" t="s">
        <v>488</v>
      </c>
      <c r="J10" t="s">
        <v>489</v>
      </c>
      <c r="K10" t="s">
        <v>490</v>
      </c>
    </row>
    <row r="11" spans="1:11" x14ac:dyDescent="0.2">
      <c r="A11" t="s">
        <v>322</v>
      </c>
      <c r="B11" t="s">
        <v>491</v>
      </c>
      <c r="C11" t="s">
        <v>492</v>
      </c>
      <c r="D11" t="s">
        <v>493</v>
      </c>
      <c r="E11" t="s">
        <v>494</v>
      </c>
      <c r="F11" t="s">
        <v>495</v>
      </c>
      <c r="G11" t="s">
        <v>496</v>
      </c>
      <c r="H11" t="s">
        <v>497</v>
      </c>
      <c r="I11" t="s">
        <v>498</v>
      </c>
      <c r="J11" t="s">
        <v>499</v>
      </c>
      <c r="K11" t="s">
        <v>500</v>
      </c>
    </row>
    <row r="12" spans="1:11" x14ac:dyDescent="0.2">
      <c r="A12" t="s">
        <v>291</v>
      </c>
      <c r="B12" t="s">
        <v>501</v>
      </c>
      <c r="C12" t="s">
        <v>502</v>
      </c>
      <c r="D12" t="s">
        <v>503</v>
      </c>
      <c r="E12" t="s">
        <v>504</v>
      </c>
      <c r="F12" t="s">
        <v>505</v>
      </c>
      <c r="G12" t="s">
        <v>506</v>
      </c>
      <c r="H12" t="s">
        <v>507</v>
      </c>
      <c r="I12" t="s">
        <v>508</v>
      </c>
      <c r="J12" t="s">
        <v>509</v>
      </c>
      <c r="K12" t="s">
        <v>510</v>
      </c>
    </row>
    <row r="13" spans="1:11" x14ac:dyDescent="0.2">
      <c r="A13" t="s">
        <v>292</v>
      </c>
      <c r="B13" t="s">
        <v>511</v>
      </c>
      <c r="C13" t="s">
        <v>512</v>
      </c>
      <c r="D13" t="s">
        <v>513</v>
      </c>
      <c r="E13" t="s">
        <v>514</v>
      </c>
      <c r="F13" t="s">
        <v>515</v>
      </c>
      <c r="G13" t="s">
        <v>516</v>
      </c>
      <c r="H13" t="s">
        <v>517</v>
      </c>
      <c r="I13" t="s">
        <v>518</v>
      </c>
      <c r="J13" t="s">
        <v>519</v>
      </c>
      <c r="K13" t="s">
        <v>520</v>
      </c>
    </row>
    <row r="14" spans="1:11" x14ac:dyDescent="0.2">
      <c r="A14" t="s">
        <v>293</v>
      </c>
      <c r="B14" t="s">
        <v>521</v>
      </c>
      <c r="C14" t="s">
        <v>522</v>
      </c>
      <c r="D14" t="s">
        <v>523</v>
      </c>
      <c r="E14" t="s">
        <v>524</v>
      </c>
      <c r="F14" t="s">
        <v>525</v>
      </c>
      <c r="G14" t="s">
        <v>526</v>
      </c>
      <c r="H14" t="s">
        <v>527</v>
      </c>
      <c r="I14" t="s">
        <v>528</v>
      </c>
      <c r="J14" t="s">
        <v>529</v>
      </c>
      <c r="K14" t="s">
        <v>530</v>
      </c>
    </row>
    <row r="15" spans="1:11" x14ac:dyDescent="0.2">
      <c r="A15" t="s">
        <v>294</v>
      </c>
      <c r="H15" t="s">
        <v>531</v>
      </c>
      <c r="I15" t="s">
        <v>532</v>
      </c>
      <c r="J15" t="s">
        <v>533</v>
      </c>
      <c r="K15" t="s">
        <v>534</v>
      </c>
    </row>
    <row r="16" spans="1:11" x14ac:dyDescent="0.2">
      <c r="A16" t="s">
        <v>295</v>
      </c>
      <c r="B16" t="s">
        <v>535</v>
      </c>
      <c r="C16" t="s">
        <v>536</v>
      </c>
      <c r="D16" t="s">
        <v>537</v>
      </c>
      <c r="E16" t="s">
        <v>538</v>
      </c>
      <c r="F16" t="s">
        <v>539</v>
      </c>
      <c r="G16" t="s">
        <v>540</v>
      </c>
      <c r="H16" t="s">
        <v>541</v>
      </c>
      <c r="I16" t="s">
        <v>542</v>
      </c>
      <c r="J16" t="s">
        <v>543</v>
      </c>
      <c r="K16" t="s">
        <v>544</v>
      </c>
    </row>
    <row r="17" spans="1:11" x14ac:dyDescent="0.2">
      <c r="A17" t="s">
        <v>296</v>
      </c>
      <c r="H17" t="s">
        <v>545</v>
      </c>
      <c r="I17" t="s">
        <v>546</v>
      </c>
      <c r="J17" t="s">
        <v>547</v>
      </c>
      <c r="K17" t="s">
        <v>547</v>
      </c>
    </row>
    <row r="18" spans="1:11" x14ac:dyDescent="0.2">
      <c r="A18" t="s">
        <v>297</v>
      </c>
      <c r="H18" t="s">
        <v>548</v>
      </c>
      <c r="I18" t="s">
        <v>549</v>
      </c>
      <c r="J18" t="s">
        <v>550</v>
      </c>
      <c r="K18" t="s">
        <v>551</v>
      </c>
    </row>
    <row r="19" spans="1:11" x14ac:dyDescent="0.2">
      <c r="A19" t="s">
        <v>298</v>
      </c>
      <c r="B19" t="s">
        <v>552</v>
      </c>
      <c r="C19" t="s">
        <v>553</v>
      </c>
      <c r="D19" t="s">
        <v>554</v>
      </c>
      <c r="E19" t="s">
        <v>555</v>
      </c>
      <c r="F19" t="s">
        <v>556</v>
      </c>
      <c r="G19" t="s">
        <v>557</v>
      </c>
      <c r="H19" t="s">
        <v>558</v>
      </c>
      <c r="I19" t="s">
        <v>559</v>
      </c>
      <c r="J19" t="s">
        <v>560</v>
      </c>
      <c r="K19" t="s">
        <v>561</v>
      </c>
    </row>
    <row r="20" spans="1:11" x14ac:dyDescent="0.2">
      <c r="A20" t="s">
        <v>299</v>
      </c>
      <c r="H20" t="s">
        <v>562</v>
      </c>
      <c r="I20" t="s">
        <v>563</v>
      </c>
      <c r="J20" t="s">
        <v>564</v>
      </c>
      <c r="K20" t="s">
        <v>565</v>
      </c>
    </row>
    <row r="21" spans="1:11" x14ac:dyDescent="0.2">
      <c r="A21" t="s">
        <v>300</v>
      </c>
      <c r="H21" t="s">
        <v>566</v>
      </c>
      <c r="I21" t="s">
        <v>567</v>
      </c>
      <c r="J21" t="s">
        <v>568</v>
      </c>
      <c r="K21" t="s">
        <v>569</v>
      </c>
    </row>
    <row r="22" spans="1:11" x14ac:dyDescent="0.2">
      <c r="A22" t="s">
        <v>301</v>
      </c>
      <c r="H22" t="s">
        <v>570</v>
      </c>
      <c r="I22" t="s">
        <v>570</v>
      </c>
      <c r="J22" t="s">
        <v>570</v>
      </c>
      <c r="K22" t="s">
        <v>570</v>
      </c>
    </row>
    <row r="23" spans="1:11" x14ac:dyDescent="0.2">
      <c r="A23" t="s">
        <v>302</v>
      </c>
      <c r="H23" t="s">
        <v>571</v>
      </c>
      <c r="I23" t="s">
        <v>571</v>
      </c>
      <c r="J23" t="s">
        <v>571</v>
      </c>
      <c r="K23" t="s">
        <v>572</v>
      </c>
    </row>
    <row r="24" spans="1:11" x14ac:dyDescent="0.2">
      <c r="A24" t="s">
        <v>303</v>
      </c>
      <c r="B24" t="s">
        <v>573</v>
      </c>
      <c r="C24" t="s">
        <v>574</v>
      </c>
      <c r="D24" t="s">
        <v>575</v>
      </c>
      <c r="E24" t="s">
        <v>576</v>
      </c>
      <c r="F24" t="s">
        <v>577</v>
      </c>
      <c r="G24" t="s">
        <v>578</v>
      </c>
      <c r="H24" t="s">
        <v>579</v>
      </c>
      <c r="I24" t="s">
        <v>580</v>
      </c>
      <c r="J24" t="s">
        <v>581</v>
      </c>
      <c r="K24" t="s">
        <v>582</v>
      </c>
    </row>
    <row r="25" spans="1:11" x14ac:dyDescent="0.2">
      <c r="A25" t="s">
        <v>306</v>
      </c>
      <c r="B25" t="s">
        <v>583</v>
      </c>
      <c r="C25" t="s">
        <v>584</v>
      </c>
      <c r="D25" t="s">
        <v>585</v>
      </c>
      <c r="E25" t="s">
        <v>586</v>
      </c>
      <c r="F25" t="s">
        <v>587</v>
      </c>
      <c r="G25" t="s">
        <v>588</v>
      </c>
      <c r="H25" t="s">
        <v>589</v>
      </c>
      <c r="I25" t="s">
        <v>590</v>
      </c>
      <c r="J25" t="s">
        <v>591</v>
      </c>
      <c r="K25" t="s">
        <v>592</v>
      </c>
    </row>
    <row r="26" spans="1:11" x14ac:dyDescent="0.2">
      <c r="A26" t="s">
        <v>305</v>
      </c>
      <c r="B26" t="s">
        <v>593</v>
      </c>
      <c r="C26" t="s">
        <v>594</v>
      </c>
      <c r="D26" t="s">
        <v>595</v>
      </c>
      <c r="E26" t="s">
        <v>596</v>
      </c>
      <c r="F26" t="s">
        <v>597</v>
      </c>
      <c r="G26" t="s">
        <v>598</v>
      </c>
      <c r="H26" t="s">
        <v>599</v>
      </c>
      <c r="I26" t="s">
        <v>600</v>
      </c>
      <c r="J26" t="s">
        <v>601</v>
      </c>
      <c r="K26" t="s">
        <v>602</v>
      </c>
    </row>
    <row r="27" spans="1:11" x14ac:dyDescent="0.2">
      <c r="A27" t="s">
        <v>307</v>
      </c>
      <c r="B27" t="s">
        <v>603</v>
      </c>
      <c r="C27" t="s">
        <v>604</v>
      </c>
      <c r="D27" t="s">
        <v>605</v>
      </c>
      <c r="E27" t="s">
        <v>606</v>
      </c>
      <c r="F27" t="s">
        <v>607</v>
      </c>
      <c r="G27" t="s">
        <v>608</v>
      </c>
      <c r="H27" t="s">
        <v>609</v>
      </c>
      <c r="I27" t="s">
        <v>610</v>
      </c>
      <c r="J27" t="s">
        <v>611</v>
      </c>
      <c r="K27" t="s">
        <v>612</v>
      </c>
    </row>
    <row r="28" spans="1:11" x14ac:dyDescent="0.2">
      <c r="A28" t="s">
        <v>308</v>
      </c>
      <c r="B28" t="s">
        <v>613</v>
      </c>
      <c r="C28" t="s">
        <v>614</v>
      </c>
      <c r="D28" t="s">
        <v>615</v>
      </c>
      <c r="E28" t="s">
        <v>616</v>
      </c>
      <c r="F28" t="s">
        <v>617</v>
      </c>
      <c r="G28" t="s">
        <v>618</v>
      </c>
      <c r="H28" t="s">
        <v>619</v>
      </c>
      <c r="I28" t="s">
        <v>620</v>
      </c>
      <c r="J28" t="s">
        <v>621</v>
      </c>
      <c r="K28" t="s">
        <v>622</v>
      </c>
    </row>
    <row r="29" spans="1:11" x14ac:dyDescent="0.2">
      <c r="A29" t="s">
        <v>309</v>
      </c>
      <c r="B29" t="s">
        <v>623</v>
      </c>
      <c r="C29" t="s">
        <v>624</v>
      </c>
      <c r="D29" t="s">
        <v>625</v>
      </c>
      <c r="E29" t="s">
        <v>626</v>
      </c>
      <c r="F29" t="s">
        <v>627</v>
      </c>
      <c r="G29" t="s">
        <v>628</v>
      </c>
      <c r="H29" t="s">
        <v>629</v>
      </c>
      <c r="I29" t="s">
        <v>630</v>
      </c>
      <c r="J29" t="s">
        <v>631</v>
      </c>
      <c r="K29" t="s">
        <v>632</v>
      </c>
    </row>
    <row r="30" spans="1:11" x14ac:dyDescent="0.2">
      <c r="A30" t="s">
        <v>310</v>
      </c>
      <c r="B30" t="s">
        <v>633</v>
      </c>
      <c r="C30" t="s">
        <v>634</v>
      </c>
      <c r="D30" t="s">
        <v>635</v>
      </c>
      <c r="E30" t="s">
        <v>636</v>
      </c>
      <c r="F30" t="s">
        <v>637</v>
      </c>
      <c r="G30" t="s">
        <v>638</v>
      </c>
      <c r="H30" t="s">
        <v>639</v>
      </c>
      <c r="I30" t="s">
        <v>640</v>
      </c>
      <c r="J30" t="s">
        <v>641</v>
      </c>
      <c r="K30" t="s">
        <v>642</v>
      </c>
    </row>
    <row r="31" spans="1:11" x14ac:dyDescent="0.2">
      <c r="A31" t="s">
        <v>311</v>
      </c>
      <c r="B31" t="s">
        <v>643</v>
      </c>
      <c r="C31" t="s">
        <v>644</v>
      </c>
      <c r="D31" t="s">
        <v>645</v>
      </c>
      <c r="E31" t="s">
        <v>646</v>
      </c>
      <c r="F31" t="s">
        <v>647</v>
      </c>
      <c r="G31" t="s">
        <v>648</v>
      </c>
      <c r="H31" t="s">
        <v>649</v>
      </c>
      <c r="I31" t="s">
        <v>650</v>
      </c>
      <c r="J31" t="s">
        <v>651</v>
      </c>
      <c r="K31" t="s">
        <v>652</v>
      </c>
    </row>
    <row r="32" spans="1:11" x14ac:dyDescent="0.2">
      <c r="A32" t="s">
        <v>290</v>
      </c>
      <c r="B32" t="s">
        <v>653</v>
      </c>
      <c r="C32" t="s">
        <v>654</v>
      </c>
      <c r="D32" t="s">
        <v>655</v>
      </c>
      <c r="E32" t="s">
        <v>656</v>
      </c>
      <c r="F32" t="s">
        <v>657</v>
      </c>
      <c r="G32" t="s">
        <v>658</v>
      </c>
      <c r="H32" t="s">
        <v>659</v>
      </c>
      <c r="I32" t="s">
        <v>660</v>
      </c>
      <c r="J32" t="s">
        <v>661</v>
      </c>
      <c r="K32" t="s">
        <v>662</v>
      </c>
    </row>
    <row r="33" spans="1:11" x14ac:dyDescent="0.2">
      <c r="A33" t="s">
        <v>324</v>
      </c>
      <c r="H33" t="s">
        <v>663</v>
      </c>
      <c r="I33" t="s">
        <v>664</v>
      </c>
      <c r="J33" t="s">
        <v>665</v>
      </c>
      <c r="K33" t="s">
        <v>666</v>
      </c>
    </row>
    <row r="34" spans="1:11" x14ac:dyDescent="0.2">
      <c r="A34" t="s">
        <v>304</v>
      </c>
      <c r="H34" t="s">
        <v>667</v>
      </c>
      <c r="I34" t="s">
        <v>668</v>
      </c>
      <c r="J34" t="s">
        <v>669</v>
      </c>
      <c r="K34" t="s">
        <v>670</v>
      </c>
    </row>
  </sheetData>
  <phoneticPr fontId="3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6A138-E000-4F43-8051-048875C71ACF}">
  <dimension ref="A1:B10"/>
  <sheetViews>
    <sheetView workbookViewId="0">
      <selection activeCell="B3" sqref="B3"/>
    </sheetView>
  </sheetViews>
  <sheetFormatPr baseColWidth="10" defaultColWidth="10.83203125" defaultRowHeight="15" x14ac:dyDescent="0.2"/>
  <sheetData>
    <row r="1" spans="1:2" x14ac:dyDescent="0.2">
      <c r="A1" t="s">
        <v>250</v>
      </c>
      <c r="B1" t="s">
        <v>281</v>
      </c>
    </row>
    <row r="2" spans="1:2" x14ac:dyDescent="0.2">
      <c r="A2" s="188">
        <v>44104</v>
      </c>
      <c r="B2">
        <v>337800</v>
      </c>
    </row>
    <row r="3" spans="1:2" x14ac:dyDescent="0.2">
      <c r="A3" s="188">
        <v>44196</v>
      </c>
      <c r="B3">
        <v>244000</v>
      </c>
    </row>
    <row r="4" spans="1:2" x14ac:dyDescent="0.2">
      <c r="A4" s="188">
        <v>44286</v>
      </c>
      <c r="B4">
        <v>152000</v>
      </c>
    </row>
    <row r="5" spans="1:2" x14ac:dyDescent="0.2">
      <c r="A5" s="188">
        <v>44377</v>
      </c>
      <c r="B5">
        <v>44000</v>
      </c>
    </row>
    <row r="6" spans="1:2" x14ac:dyDescent="0.2">
      <c r="A6" s="188">
        <v>44469</v>
      </c>
      <c r="B6">
        <v>44000</v>
      </c>
    </row>
    <row r="7" spans="1:2" x14ac:dyDescent="0.2">
      <c r="A7" s="188">
        <v>44561</v>
      </c>
      <c r="B7">
        <v>44000</v>
      </c>
    </row>
    <row r="8" spans="1:2" x14ac:dyDescent="0.2">
      <c r="A8" s="188">
        <v>44651</v>
      </c>
      <c r="B8">
        <v>44000</v>
      </c>
    </row>
    <row r="9" spans="1:2" x14ac:dyDescent="0.2">
      <c r="A9" s="188">
        <v>44742</v>
      </c>
      <c r="B9">
        <v>44000</v>
      </c>
    </row>
    <row r="10" spans="1:2" x14ac:dyDescent="0.2">
      <c r="A10" s="188">
        <v>44834</v>
      </c>
      <c r="B10">
        <v>44000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15D66-99E1-48A7-908E-6DD000577D4F}">
  <dimension ref="A2:P28"/>
  <sheetViews>
    <sheetView zoomScale="120" zoomScaleNormal="120" workbookViewId="0">
      <selection activeCell="E10" sqref="E10"/>
    </sheetView>
  </sheetViews>
  <sheetFormatPr baseColWidth="10" defaultColWidth="12" defaultRowHeight="16" x14ac:dyDescent="0.2"/>
  <cols>
    <col min="1" max="1" width="24.6640625" style="157" customWidth="1"/>
    <col min="2" max="2" width="16.6640625" style="157" customWidth="1"/>
    <col min="3" max="3" width="7.5" style="157" bestFit="1" customWidth="1"/>
    <col min="4" max="16384" width="12" style="157"/>
  </cols>
  <sheetData>
    <row r="2" spans="1:16" x14ac:dyDescent="0.2">
      <c r="B2" s="157" t="s">
        <v>226</v>
      </c>
    </row>
    <row r="3" spans="1:16" x14ac:dyDescent="0.2">
      <c r="B3" s="157" t="s">
        <v>227</v>
      </c>
    </row>
    <row r="4" spans="1:16" x14ac:dyDescent="0.2">
      <c r="A4" s="157" t="s">
        <v>228</v>
      </c>
      <c r="C4" s="157" t="s">
        <v>229</v>
      </c>
      <c r="D4" s="157">
        <v>1</v>
      </c>
      <c r="E4" s="157">
        <v>2</v>
      </c>
      <c r="F4" s="157">
        <v>3</v>
      </c>
      <c r="G4" s="157">
        <v>4</v>
      </c>
      <c r="H4" s="157">
        <v>5</v>
      </c>
      <c r="I4" s="157">
        <v>6</v>
      </c>
      <c r="J4" s="157">
        <v>7</v>
      </c>
      <c r="K4" s="157">
        <v>8</v>
      </c>
      <c r="L4" s="157">
        <v>9</v>
      </c>
      <c r="M4" s="157">
        <v>10</v>
      </c>
      <c r="N4" s="157">
        <v>11</v>
      </c>
      <c r="O4" s="157">
        <v>12</v>
      </c>
    </row>
    <row r="5" spans="1:16" x14ac:dyDescent="0.2">
      <c r="A5" s="157" t="s">
        <v>230</v>
      </c>
      <c r="B5" s="157">
        <v>0.4</v>
      </c>
      <c r="C5" s="158">
        <v>0.9</v>
      </c>
      <c r="D5" s="157">
        <f>1/12</f>
        <v>8.3333333333333329E-2</v>
      </c>
      <c r="E5" s="157">
        <f>D5</f>
        <v>8.3333333333333329E-2</v>
      </c>
      <c r="F5" s="157">
        <f t="shared" ref="F5:O5" si="0">E5</f>
        <v>8.3333333333333329E-2</v>
      </c>
      <c r="G5" s="157">
        <f t="shared" si="0"/>
        <v>8.3333333333333329E-2</v>
      </c>
      <c r="H5" s="157">
        <f t="shared" si="0"/>
        <v>8.3333333333333329E-2</v>
      </c>
      <c r="I5" s="157">
        <f t="shared" si="0"/>
        <v>8.3333333333333329E-2</v>
      </c>
      <c r="J5" s="157">
        <f t="shared" si="0"/>
        <v>8.3333333333333329E-2</v>
      </c>
      <c r="K5" s="157">
        <f t="shared" si="0"/>
        <v>8.3333333333333329E-2</v>
      </c>
      <c r="L5" s="157">
        <f t="shared" si="0"/>
        <v>8.3333333333333329E-2</v>
      </c>
      <c r="M5" s="157">
        <f t="shared" si="0"/>
        <v>8.3333333333333329E-2</v>
      </c>
      <c r="N5" s="157">
        <f t="shared" si="0"/>
        <v>8.3333333333333329E-2</v>
      </c>
      <c r="O5" s="157">
        <f t="shared" si="0"/>
        <v>8.3333333333333329E-2</v>
      </c>
      <c r="P5" s="157">
        <f>SUM(D5:O5)</f>
        <v>1</v>
      </c>
    </row>
    <row r="6" spans="1:16" x14ac:dyDescent="0.2">
      <c r="A6" s="157" t="s">
        <v>13</v>
      </c>
      <c r="B6" s="157">
        <v>0.9</v>
      </c>
      <c r="C6" s="158">
        <f>1-C5</f>
        <v>9.9999999999999978E-2</v>
      </c>
      <c r="D6" s="159">
        <f>D16</f>
        <v>0.35</v>
      </c>
      <c r="E6" s="159">
        <v>0.2</v>
      </c>
      <c r="F6" s="159">
        <v>0.15</v>
      </c>
      <c r="G6" s="159">
        <v>0.1</v>
      </c>
      <c r="H6" s="157">
        <v>0.05</v>
      </c>
      <c r="I6" s="159">
        <v>0.05</v>
      </c>
      <c r="J6" s="159">
        <v>0.05</v>
      </c>
      <c r="K6" s="159">
        <v>0.05</v>
      </c>
      <c r="P6" s="157">
        <f>SUM(D6:O6)</f>
        <v>1.0000000000000002</v>
      </c>
    </row>
    <row r="7" spans="1:16" x14ac:dyDescent="0.2">
      <c r="B7" s="157" t="s">
        <v>231</v>
      </c>
      <c r="D7" s="157">
        <f>SUMPRODUCT(C5:C6,B5:B6)</f>
        <v>0.45</v>
      </c>
      <c r="E7" s="157">
        <f>SUMPRODUCT(E5:E6,$C5:$C6)</f>
        <v>9.5000000000000001E-2</v>
      </c>
      <c r="F7" s="157">
        <f t="shared" ref="F7:O7" si="1">SUMPRODUCT(F5:F6,$C5:$C6)</f>
        <v>0.09</v>
      </c>
      <c r="G7" s="157">
        <f t="shared" si="1"/>
        <v>8.4999999999999992E-2</v>
      </c>
      <c r="H7" s="157">
        <f t="shared" si="1"/>
        <v>0.08</v>
      </c>
      <c r="I7" s="157">
        <f t="shared" si="1"/>
        <v>0.08</v>
      </c>
      <c r="J7" s="157">
        <f t="shared" si="1"/>
        <v>0.08</v>
      </c>
      <c r="K7" s="157">
        <f t="shared" si="1"/>
        <v>0.08</v>
      </c>
      <c r="L7" s="157">
        <f t="shared" si="1"/>
        <v>7.4999999999999997E-2</v>
      </c>
      <c r="M7" s="157">
        <f t="shared" si="1"/>
        <v>7.4999999999999997E-2</v>
      </c>
      <c r="N7" s="157">
        <f t="shared" si="1"/>
        <v>7.4999999999999997E-2</v>
      </c>
      <c r="O7" s="157">
        <f t="shared" si="1"/>
        <v>7.4999999999999997E-2</v>
      </c>
    </row>
    <row r="8" spans="1:16" x14ac:dyDescent="0.2">
      <c r="B8" s="160" t="s">
        <v>232</v>
      </c>
      <c r="C8" s="160"/>
      <c r="D8" s="161">
        <f>SUMPRODUCT(B5:B6,C5:C6)</f>
        <v>0.45</v>
      </c>
    </row>
    <row r="9" spans="1:16" x14ac:dyDescent="0.2">
      <c r="B9" s="157" t="s">
        <v>233</v>
      </c>
      <c r="D9" s="162">
        <f>SUMPRODUCT(D5:D6,$C5:$C6)</f>
        <v>0.10999999999999999</v>
      </c>
      <c r="E9" s="162">
        <f t="shared" ref="E9:O9" si="2">SUMPRODUCT(E5:E6,$C5:$C6)</f>
        <v>9.5000000000000001E-2</v>
      </c>
      <c r="F9" s="162">
        <f t="shared" si="2"/>
        <v>0.09</v>
      </c>
      <c r="G9" s="162">
        <f t="shared" si="2"/>
        <v>8.4999999999999992E-2</v>
      </c>
      <c r="H9" s="162">
        <f t="shared" si="2"/>
        <v>0.08</v>
      </c>
      <c r="I9" s="162">
        <f t="shared" si="2"/>
        <v>0.08</v>
      </c>
      <c r="J9" s="162">
        <f t="shared" si="2"/>
        <v>0.08</v>
      </c>
      <c r="K9" s="162">
        <f t="shared" si="2"/>
        <v>0.08</v>
      </c>
      <c r="L9" s="162">
        <f t="shared" si="2"/>
        <v>7.4999999999999997E-2</v>
      </c>
      <c r="M9" s="162">
        <f t="shared" si="2"/>
        <v>7.4999999999999997E-2</v>
      </c>
      <c r="N9" s="162">
        <f t="shared" si="2"/>
        <v>7.4999999999999997E-2</v>
      </c>
      <c r="O9" s="162">
        <f t="shared" si="2"/>
        <v>7.4999999999999997E-2</v>
      </c>
      <c r="P9" s="158">
        <f>SUM(D9:O9)</f>
        <v>0.99999999999999978</v>
      </c>
    </row>
    <row r="11" spans="1:16" x14ac:dyDescent="0.2">
      <c r="D11" s="163"/>
    </row>
    <row r="14" spans="1:16" x14ac:dyDescent="0.2">
      <c r="A14" s="157" t="s">
        <v>234</v>
      </c>
      <c r="C14" s="157" t="s">
        <v>229</v>
      </c>
      <c r="D14" s="157">
        <v>1</v>
      </c>
      <c r="E14" s="157">
        <v>2</v>
      </c>
      <c r="F14" s="157">
        <v>3</v>
      </c>
      <c r="G14" s="157">
        <v>4</v>
      </c>
      <c r="H14" s="157">
        <v>5</v>
      </c>
      <c r="I14" s="157">
        <v>6</v>
      </c>
      <c r="J14" s="157">
        <v>7</v>
      </c>
      <c r="K14" s="157">
        <v>8</v>
      </c>
    </row>
    <row r="15" spans="1:16" x14ac:dyDescent="0.2">
      <c r="A15" s="157" t="s">
        <v>155</v>
      </c>
      <c r="B15" s="157">
        <v>0.9</v>
      </c>
      <c r="C15" s="158">
        <f>D28</f>
        <v>0.62091040922434837</v>
      </c>
      <c r="D15" s="157">
        <v>0.25</v>
      </c>
      <c r="E15" s="157">
        <v>0.25</v>
      </c>
      <c r="F15" s="157">
        <v>0.25</v>
      </c>
      <c r="G15" s="157">
        <v>0.25</v>
      </c>
      <c r="L15" s="157">
        <f>SUM(D15:K15)</f>
        <v>1</v>
      </c>
    </row>
    <row r="16" spans="1:16" x14ac:dyDescent="0.2">
      <c r="A16" s="267" t="s">
        <v>140</v>
      </c>
      <c r="B16" s="157">
        <v>0.9</v>
      </c>
      <c r="C16" s="158">
        <f>D26</f>
        <v>0.18843065822516181</v>
      </c>
      <c r="D16" s="159">
        <v>0.35</v>
      </c>
      <c r="E16" s="159">
        <v>0.35</v>
      </c>
      <c r="F16" s="159">
        <v>0.1</v>
      </c>
      <c r="G16" s="159">
        <v>0.1</v>
      </c>
      <c r="H16" s="157">
        <v>0.05</v>
      </c>
      <c r="I16" s="159">
        <v>0.05</v>
      </c>
      <c r="J16" s="159">
        <v>0</v>
      </c>
      <c r="K16" s="159">
        <v>0</v>
      </c>
      <c r="L16" s="157">
        <f>SUM(D16:K16)</f>
        <v>1</v>
      </c>
    </row>
    <row r="17" spans="1:12" x14ac:dyDescent="0.2">
      <c r="A17" s="157" t="s">
        <v>19</v>
      </c>
      <c r="B17" s="157">
        <v>0.7</v>
      </c>
      <c r="C17" s="158">
        <f>D27</f>
        <v>0.19065893255048985</v>
      </c>
      <c r="D17" s="164">
        <v>0.35</v>
      </c>
      <c r="E17" s="164">
        <v>0.15</v>
      </c>
      <c r="F17" s="164">
        <f>(1-D17-E17)/6</f>
        <v>8.3333333333333329E-2</v>
      </c>
      <c r="G17" s="164">
        <f>F17</f>
        <v>8.3333333333333329E-2</v>
      </c>
      <c r="H17" s="164">
        <f t="shared" ref="H17:K17" si="3">G17</f>
        <v>8.3333333333333329E-2</v>
      </c>
      <c r="I17" s="164">
        <f t="shared" si="3"/>
        <v>8.3333333333333329E-2</v>
      </c>
      <c r="J17" s="164">
        <f t="shared" si="3"/>
        <v>8.3333333333333329E-2</v>
      </c>
      <c r="K17" s="164">
        <f t="shared" si="3"/>
        <v>8.3333333333333329E-2</v>
      </c>
      <c r="L17" s="157">
        <f>SUM(D17:K17)</f>
        <v>1.0000000000000002</v>
      </c>
    </row>
    <row r="18" spans="1:12" x14ac:dyDescent="0.2">
      <c r="B18" s="157" t="s">
        <v>231</v>
      </c>
      <c r="D18" s="157">
        <f>D15*$C$15+D16*$C$16+D17*$C17</f>
        <v>0.2879089590775652</v>
      </c>
      <c r="E18" s="157">
        <f t="shared" ref="E18:K18" si="4">E15*$C$15+E16*$C$16+E17*$C17</f>
        <v>0.2497771725674672</v>
      </c>
      <c r="F18" s="157">
        <f t="shared" si="4"/>
        <v>0.18995891250781077</v>
      </c>
      <c r="G18" s="157">
        <f t="shared" si="4"/>
        <v>0.18995891250781077</v>
      </c>
      <c r="H18" s="157">
        <f t="shared" si="4"/>
        <v>2.5309777290465581E-2</v>
      </c>
      <c r="I18" s="157">
        <f t="shared" si="4"/>
        <v>2.5309777290465581E-2</v>
      </c>
      <c r="J18" s="157">
        <f t="shared" si="4"/>
        <v>1.5888244379207488E-2</v>
      </c>
      <c r="K18" s="157">
        <f t="shared" si="4"/>
        <v>1.5888244379207488E-2</v>
      </c>
    </row>
    <row r="19" spans="1:12" x14ac:dyDescent="0.2">
      <c r="B19" s="157" t="s">
        <v>235</v>
      </c>
      <c r="D19" s="157">
        <f>SUMPRODUCT(C15:C17,B15:B17)</f>
        <v>0.86186821348990206</v>
      </c>
    </row>
    <row r="20" spans="1:12" x14ac:dyDescent="0.2">
      <c r="B20" s="161" t="s">
        <v>233</v>
      </c>
      <c r="C20" s="161"/>
      <c r="D20" s="165">
        <f>SUMPRODUCT(D15:D17,$C15:$C17)</f>
        <v>0.2879089590775652</v>
      </c>
      <c r="E20" s="165">
        <f t="shared" ref="E20:K20" si="5">SUMPRODUCT(E15:E17,$C15:$C17)</f>
        <v>0.2497771725674672</v>
      </c>
      <c r="F20" s="165">
        <f t="shared" si="5"/>
        <v>0.18995891250781077</v>
      </c>
      <c r="G20" s="165">
        <f t="shared" si="5"/>
        <v>0.18995891250781077</v>
      </c>
      <c r="H20" s="165">
        <f t="shared" si="5"/>
        <v>2.5309777290465581E-2</v>
      </c>
      <c r="I20" s="165">
        <f t="shared" si="5"/>
        <v>2.5309777290465581E-2</v>
      </c>
      <c r="J20" s="165">
        <f t="shared" si="5"/>
        <v>1.5888244379207488E-2</v>
      </c>
      <c r="K20" s="165">
        <f t="shared" si="5"/>
        <v>1.5888244379207488E-2</v>
      </c>
      <c r="L20" s="163">
        <f>SUM(D20:K20)</f>
        <v>1</v>
      </c>
    </row>
    <row r="21" spans="1:12" x14ac:dyDescent="0.2">
      <c r="B21" s="161"/>
      <c r="C21" s="161"/>
      <c r="D21" s="166">
        <v>0.2879089590775652</v>
      </c>
      <c r="E21" s="166">
        <v>0.2497771725674672</v>
      </c>
      <c r="F21" s="166">
        <v>0.18995891250781077</v>
      </c>
      <c r="G21" s="166">
        <v>0.18995891250781077</v>
      </c>
      <c r="H21" s="166">
        <v>2.5309777290465581E-2</v>
      </c>
      <c r="I21" s="166">
        <v>2.5309777290465581E-2</v>
      </c>
      <c r="J21" s="166">
        <v>1.5888244379207488E-2</v>
      </c>
      <c r="K21" s="166">
        <v>1.5888244379207488E-2</v>
      </c>
      <c r="L21" s="163">
        <f>SUM(D21:K21)</f>
        <v>1</v>
      </c>
    </row>
    <row r="22" spans="1:12" x14ac:dyDescent="0.2">
      <c r="A22" s="157" t="s">
        <v>236</v>
      </c>
    </row>
    <row r="23" spans="1:12" x14ac:dyDescent="0.2">
      <c r="A23" s="157" t="s">
        <v>237</v>
      </c>
    </row>
    <row r="24" spans="1:12" x14ac:dyDescent="0.2">
      <c r="C24" s="157" t="s">
        <v>110</v>
      </c>
    </row>
    <row r="25" spans="1:12" x14ac:dyDescent="0.2">
      <c r="B25" s="157" t="s">
        <v>33</v>
      </c>
      <c r="C25" s="157">
        <v>5654.6</v>
      </c>
    </row>
    <row r="26" spans="1:12" x14ac:dyDescent="0.2">
      <c r="B26" s="157" t="s">
        <v>238</v>
      </c>
      <c r="C26" s="157">
        <v>1065.5</v>
      </c>
      <c r="D26" s="157">
        <f>C26/C25</f>
        <v>0.18843065822516181</v>
      </c>
    </row>
    <row r="27" spans="1:12" x14ac:dyDescent="0.2">
      <c r="B27" s="157" t="s">
        <v>239</v>
      </c>
      <c r="C27" s="157">
        <v>1078.0999999999999</v>
      </c>
      <c r="D27" s="157">
        <f>C27/C25</f>
        <v>0.19065893255048985</v>
      </c>
    </row>
    <row r="28" spans="1:12" x14ac:dyDescent="0.2">
      <c r="B28" s="157" t="s">
        <v>155</v>
      </c>
      <c r="D28" s="157">
        <f>1-D27-D26</f>
        <v>0.62091040922434837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770F9-06FB-4DC0-BB6E-D3D452EF4E7C}">
  <dimension ref="A2:P28"/>
  <sheetViews>
    <sheetView zoomScale="120" zoomScaleNormal="120" workbookViewId="0">
      <selection activeCell="B16" sqref="B16"/>
    </sheetView>
  </sheetViews>
  <sheetFormatPr baseColWidth="10" defaultColWidth="12" defaultRowHeight="16" x14ac:dyDescent="0.2"/>
  <cols>
    <col min="1" max="1" width="24.6640625" style="157" customWidth="1"/>
    <col min="2" max="2" width="16.6640625" style="157" customWidth="1"/>
    <col min="3" max="3" width="7.5" style="157" bestFit="1" customWidth="1"/>
    <col min="4" max="16384" width="12" style="157"/>
  </cols>
  <sheetData>
    <row r="2" spans="1:16" x14ac:dyDescent="0.2">
      <c r="B2" s="157" t="s">
        <v>226</v>
      </c>
    </row>
    <row r="3" spans="1:16" x14ac:dyDescent="0.2">
      <c r="B3" s="157" t="s">
        <v>227</v>
      </c>
    </row>
    <row r="4" spans="1:16" x14ac:dyDescent="0.2">
      <c r="A4" s="157" t="s">
        <v>228</v>
      </c>
      <c r="C4" s="157" t="s">
        <v>229</v>
      </c>
      <c r="D4" s="157">
        <v>1</v>
      </c>
      <c r="E4" s="157">
        <v>2</v>
      </c>
      <c r="F4" s="157">
        <v>3</v>
      </c>
      <c r="G4" s="157">
        <v>4</v>
      </c>
      <c r="H4" s="157">
        <v>5</v>
      </c>
      <c r="I4" s="157">
        <v>6</v>
      </c>
      <c r="J4" s="157">
        <v>7</v>
      </c>
      <c r="K4" s="157">
        <v>8</v>
      </c>
      <c r="L4" s="157">
        <v>9</v>
      </c>
      <c r="M4" s="157">
        <v>10</v>
      </c>
      <c r="N4" s="157">
        <v>11</v>
      </c>
      <c r="O4" s="157">
        <v>12</v>
      </c>
    </row>
    <row r="5" spans="1:16" x14ac:dyDescent="0.2">
      <c r="A5" s="157" t="s">
        <v>230</v>
      </c>
      <c r="B5" s="157">
        <v>0.4</v>
      </c>
      <c r="C5" s="158">
        <v>0.75</v>
      </c>
      <c r="D5" s="157">
        <f>1/12</f>
        <v>8.3333333333333329E-2</v>
      </c>
      <c r="E5" s="157">
        <f>D5</f>
        <v>8.3333333333333329E-2</v>
      </c>
      <c r="F5" s="157">
        <f t="shared" ref="F5:O5" si="0">E5</f>
        <v>8.3333333333333329E-2</v>
      </c>
      <c r="G5" s="157">
        <f t="shared" si="0"/>
        <v>8.3333333333333329E-2</v>
      </c>
      <c r="H5" s="157">
        <f t="shared" si="0"/>
        <v>8.3333333333333329E-2</v>
      </c>
      <c r="I5" s="157">
        <f t="shared" si="0"/>
        <v>8.3333333333333329E-2</v>
      </c>
      <c r="J5" s="157">
        <f t="shared" si="0"/>
        <v>8.3333333333333329E-2</v>
      </c>
      <c r="K5" s="157">
        <f t="shared" si="0"/>
        <v>8.3333333333333329E-2</v>
      </c>
      <c r="L5" s="157">
        <f t="shared" si="0"/>
        <v>8.3333333333333329E-2</v>
      </c>
      <c r="M5" s="157">
        <f t="shared" si="0"/>
        <v>8.3333333333333329E-2</v>
      </c>
      <c r="N5" s="157">
        <f t="shared" si="0"/>
        <v>8.3333333333333329E-2</v>
      </c>
      <c r="O5" s="157">
        <f t="shared" si="0"/>
        <v>8.3333333333333329E-2</v>
      </c>
      <c r="P5" s="157">
        <f>SUM(D5:O5)</f>
        <v>1</v>
      </c>
    </row>
    <row r="6" spans="1:16" x14ac:dyDescent="0.2">
      <c r="A6" s="157" t="s">
        <v>13</v>
      </c>
      <c r="B6" s="157">
        <v>0.9</v>
      </c>
      <c r="C6" s="158">
        <f>1-C5</f>
        <v>0.25</v>
      </c>
      <c r="D6" s="159">
        <f>D16</f>
        <v>0.35</v>
      </c>
      <c r="E6" s="159">
        <v>0.2</v>
      </c>
      <c r="F6" s="159">
        <v>0.15</v>
      </c>
      <c r="G6" s="159">
        <v>0.1</v>
      </c>
      <c r="H6" s="157">
        <v>0.05</v>
      </c>
      <c r="I6" s="159">
        <v>0.05</v>
      </c>
      <c r="J6" s="159">
        <v>0.05</v>
      </c>
      <c r="K6" s="159">
        <v>0.05</v>
      </c>
      <c r="P6" s="157">
        <f>SUM(D6:O6)</f>
        <v>1.0000000000000002</v>
      </c>
    </row>
    <row r="7" spans="1:16" x14ac:dyDescent="0.2">
      <c r="B7" s="157" t="s">
        <v>231</v>
      </c>
      <c r="D7" s="157">
        <f>SUMPRODUCT(C5:C6,B5:B6)</f>
        <v>0.52500000000000002</v>
      </c>
      <c r="E7" s="157">
        <f>SUMPRODUCT(E5:E6,$C5:$C6)</f>
        <v>0.1125</v>
      </c>
      <c r="F7" s="157">
        <f t="shared" ref="F7:O7" si="1">SUMPRODUCT(F5:F6,$C5:$C6)</f>
        <v>0.1</v>
      </c>
      <c r="G7" s="157">
        <f t="shared" si="1"/>
        <v>8.7499999999999994E-2</v>
      </c>
      <c r="H7" s="157">
        <f t="shared" si="1"/>
        <v>7.4999999999999997E-2</v>
      </c>
      <c r="I7" s="157">
        <f t="shared" si="1"/>
        <v>7.4999999999999997E-2</v>
      </c>
      <c r="J7" s="157">
        <f t="shared" si="1"/>
        <v>7.4999999999999997E-2</v>
      </c>
      <c r="K7" s="157">
        <f t="shared" si="1"/>
        <v>7.4999999999999997E-2</v>
      </c>
      <c r="L7" s="157">
        <f t="shared" si="1"/>
        <v>6.25E-2</v>
      </c>
      <c r="M7" s="157">
        <f t="shared" si="1"/>
        <v>6.25E-2</v>
      </c>
      <c r="N7" s="157">
        <f t="shared" si="1"/>
        <v>6.25E-2</v>
      </c>
      <c r="O7" s="157">
        <f t="shared" si="1"/>
        <v>6.25E-2</v>
      </c>
    </row>
    <row r="8" spans="1:16" x14ac:dyDescent="0.2">
      <c r="B8" s="160" t="s">
        <v>232</v>
      </c>
      <c r="C8" s="160"/>
      <c r="D8" s="161">
        <f>SUMPRODUCT(B5:B6,C5:C6)</f>
        <v>0.52500000000000002</v>
      </c>
    </row>
    <row r="9" spans="1:16" x14ac:dyDescent="0.2">
      <c r="B9" s="157" t="s">
        <v>233</v>
      </c>
      <c r="D9" s="162">
        <f>SUMPRODUCT(D5:D6,$C5:$C6)</f>
        <v>0.15</v>
      </c>
      <c r="E9" s="162">
        <f t="shared" ref="E9:O9" si="2">SUMPRODUCT(E5:E6,$C5:$C6)</f>
        <v>0.1125</v>
      </c>
      <c r="F9" s="162">
        <f t="shared" si="2"/>
        <v>0.1</v>
      </c>
      <c r="G9" s="162">
        <f t="shared" si="2"/>
        <v>8.7499999999999994E-2</v>
      </c>
      <c r="H9" s="162">
        <f t="shared" si="2"/>
        <v>7.4999999999999997E-2</v>
      </c>
      <c r="I9" s="162">
        <f t="shared" si="2"/>
        <v>7.4999999999999997E-2</v>
      </c>
      <c r="J9" s="162">
        <f t="shared" si="2"/>
        <v>7.4999999999999997E-2</v>
      </c>
      <c r="K9" s="162">
        <f t="shared" si="2"/>
        <v>7.4999999999999997E-2</v>
      </c>
      <c r="L9" s="162">
        <f t="shared" si="2"/>
        <v>6.25E-2</v>
      </c>
      <c r="M9" s="162">
        <f t="shared" si="2"/>
        <v>6.25E-2</v>
      </c>
      <c r="N9" s="162">
        <f t="shared" si="2"/>
        <v>6.25E-2</v>
      </c>
      <c r="O9" s="162">
        <f t="shared" si="2"/>
        <v>6.25E-2</v>
      </c>
      <c r="P9" s="158">
        <f>SUM(D9:O9)</f>
        <v>0.99999999999999989</v>
      </c>
    </row>
    <row r="11" spans="1:16" x14ac:dyDescent="0.2">
      <c r="D11" s="163"/>
    </row>
    <row r="14" spans="1:16" x14ac:dyDescent="0.2">
      <c r="A14" s="157" t="s">
        <v>234</v>
      </c>
      <c r="C14" s="157" t="s">
        <v>229</v>
      </c>
      <c r="D14" s="157">
        <v>1</v>
      </c>
      <c r="E14" s="157">
        <v>2</v>
      </c>
      <c r="F14" s="157">
        <v>3</v>
      </c>
      <c r="G14" s="157">
        <v>4</v>
      </c>
      <c r="H14" s="157">
        <v>5</v>
      </c>
      <c r="I14" s="157">
        <v>6</v>
      </c>
      <c r="J14" s="157">
        <v>7</v>
      </c>
      <c r="K14" s="157">
        <v>8</v>
      </c>
    </row>
    <row r="15" spans="1:16" x14ac:dyDescent="0.2">
      <c r="A15" s="157" t="s">
        <v>155</v>
      </c>
      <c r="B15" s="157">
        <v>0.9</v>
      </c>
      <c r="C15" s="158">
        <f>D28</f>
        <v>0.62091040922434837</v>
      </c>
      <c r="D15" s="157">
        <v>0.25</v>
      </c>
      <c r="E15" s="157">
        <v>0.25</v>
      </c>
      <c r="F15" s="157">
        <v>0.25</v>
      </c>
      <c r="G15" s="157">
        <v>0.25</v>
      </c>
      <c r="L15" s="157">
        <f>SUM(D15:K15)</f>
        <v>1</v>
      </c>
    </row>
    <row r="16" spans="1:16" x14ac:dyDescent="0.2">
      <c r="A16" s="267" t="s">
        <v>140</v>
      </c>
      <c r="B16" s="157">
        <v>0.9</v>
      </c>
      <c r="C16" s="158">
        <f>D26</f>
        <v>0.18843065822516181</v>
      </c>
      <c r="D16" s="159">
        <v>0.35</v>
      </c>
      <c r="E16" s="159">
        <v>0.35</v>
      </c>
      <c r="F16" s="159">
        <v>0.1</v>
      </c>
      <c r="G16" s="159">
        <v>0.1</v>
      </c>
      <c r="H16" s="157">
        <v>0.05</v>
      </c>
      <c r="I16" s="159">
        <v>0.05</v>
      </c>
      <c r="J16" s="159">
        <v>0</v>
      </c>
      <c r="K16" s="159">
        <v>0</v>
      </c>
      <c r="L16" s="157">
        <f>SUM(D16:K16)</f>
        <v>1</v>
      </c>
    </row>
    <row r="17" spans="1:12" x14ac:dyDescent="0.2">
      <c r="A17" s="157" t="s">
        <v>19</v>
      </c>
      <c r="B17" s="157">
        <v>0.7</v>
      </c>
      <c r="C17" s="158">
        <f>D27</f>
        <v>0.19065893255048985</v>
      </c>
      <c r="D17" s="164">
        <v>0.35</v>
      </c>
      <c r="E17" s="164">
        <v>0.15</v>
      </c>
      <c r="F17" s="164">
        <f>(1-D17-E17)/6</f>
        <v>8.3333333333333329E-2</v>
      </c>
      <c r="G17" s="164">
        <f>F17</f>
        <v>8.3333333333333329E-2</v>
      </c>
      <c r="H17" s="164">
        <f t="shared" ref="H17:K17" si="3">G17</f>
        <v>8.3333333333333329E-2</v>
      </c>
      <c r="I17" s="164">
        <f t="shared" si="3"/>
        <v>8.3333333333333329E-2</v>
      </c>
      <c r="J17" s="164">
        <f t="shared" si="3"/>
        <v>8.3333333333333329E-2</v>
      </c>
      <c r="K17" s="164">
        <f t="shared" si="3"/>
        <v>8.3333333333333329E-2</v>
      </c>
      <c r="L17" s="157">
        <f>SUM(D17:K17)</f>
        <v>1.0000000000000002</v>
      </c>
    </row>
    <row r="18" spans="1:12" x14ac:dyDescent="0.2">
      <c r="B18" s="157" t="s">
        <v>231</v>
      </c>
      <c r="D18" s="157">
        <f>D15*$C$15+D16*$C$16+D17*$C17</f>
        <v>0.2879089590775652</v>
      </c>
      <c r="E18" s="157">
        <f t="shared" ref="E18:K18" si="4">E15*$C$15+E16*$C$16+E17*$C17</f>
        <v>0.2497771725674672</v>
      </c>
      <c r="F18" s="157">
        <f t="shared" si="4"/>
        <v>0.18995891250781077</v>
      </c>
      <c r="G18" s="157">
        <f t="shared" si="4"/>
        <v>0.18995891250781077</v>
      </c>
      <c r="H18" s="157">
        <f t="shared" si="4"/>
        <v>2.5309777290465581E-2</v>
      </c>
      <c r="I18" s="157">
        <f t="shared" si="4"/>
        <v>2.5309777290465581E-2</v>
      </c>
      <c r="J18" s="157">
        <f t="shared" si="4"/>
        <v>1.5888244379207488E-2</v>
      </c>
      <c r="K18" s="157">
        <f t="shared" si="4"/>
        <v>1.5888244379207488E-2</v>
      </c>
    </row>
    <row r="19" spans="1:12" x14ac:dyDescent="0.2">
      <c r="B19" s="157" t="s">
        <v>235</v>
      </c>
      <c r="D19" s="157">
        <f>SUMPRODUCT(C15:C17,B15:B17)</f>
        <v>0.86186821348990206</v>
      </c>
    </row>
    <row r="20" spans="1:12" x14ac:dyDescent="0.2">
      <c r="B20" s="161" t="s">
        <v>233</v>
      </c>
      <c r="C20" s="161"/>
      <c r="D20" s="165">
        <f>SUMPRODUCT(D15:D17,$C15:$C17)</f>
        <v>0.2879089590775652</v>
      </c>
      <c r="E20" s="165">
        <f t="shared" ref="E20:K20" si="5">SUMPRODUCT(E15:E17,$C15:$C17)</f>
        <v>0.2497771725674672</v>
      </c>
      <c r="F20" s="165">
        <f t="shared" si="5"/>
        <v>0.18995891250781077</v>
      </c>
      <c r="G20" s="165">
        <f t="shared" si="5"/>
        <v>0.18995891250781077</v>
      </c>
      <c r="H20" s="165">
        <f t="shared" si="5"/>
        <v>2.5309777290465581E-2</v>
      </c>
      <c r="I20" s="165">
        <f t="shared" si="5"/>
        <v>2.5309777290465581E-2</v>
      </c>
      <c r="J20" s="165">
        <f t="shared" si="5"/>
        <v>1.5888244379207488E-2</v>
      </c>
      <c r="K20" s="165">
        <f t="shared" si="5"/>
        <v>1.5888244379207488E-2</v>
      </c>
      <c r="L20" s="163">
        <f>SUM(D20:K20)</f>
        <v>1</v>
      </c>
    </row>
    <row r="21" spans="1:12" x14ac:dyDescent="0.2">
      <c r="B21" s="161"/>
      <c r="C21" s="161"/>
      <c r="D21" s="166">
        <v>0.2879089590775652</v>
      </c>
      <c r="E21" s="166">
        <v>0.2497771725674672</v>
      </c>
      <c r="F21" s="166">
        <v>0.18995891250781077</v>
      </c>
      <c r="G21" s="166">
        <v>0.18995891250781077</v>
      </c>
      <c r="H21" s="166">
        <v>2.5309777290465581E-2</v>
      </c>
      <c r="I21" s="166">
        <v>2.5309777290465581E-2</v>
      </c>
      <c r="J21" s="166">
        <v>1.5888244379207488E-2</v>
      </c>
      <c r="K21" s="166">
        <v>1.5888244379207488E-2</v>
      </c>
      <c r="L21" s="163">
        <f>SUM(D21:K21)</f>
        <v>1</v>
      </c>
    </row>
    <row r="22" spans="1:12" x14ac:dyDescent="0.2">
      <c r="A22" s="157" t="s">
        <v>236</v>
      </c>
    </row>
    <row r="23" spans="1:12" x14ac:dyDescent="0.2">
      <c r="A23" s="157" t="s">
        <v>237</v>
      </c>
    </row>
    <row r="24" spans="1:12" x14ac:dyDescent="0.2">
      <c r="C24" s="157" t="s">
        <v>110</v>
      </c>
    </row>
    <row r="25" spans="1:12" x14ac:dyDescent="0.2">
      <c r="B25" s="157" t="s">
        <v>33</v>
      </c>
      <c r="C25" s="157">
        <v>5654.6</v>
      </c>
    </row>
    <row r="26" spans="1:12" x14ac:dyDescent="0.2">
      <c r="B26" s="157" t="s">
        <v>238</v>
      </c>
      <c r="C26" s="157">
        <v>1065.5</v>
      </c>
      <c r="D26" s="157">
        <f>C26/C25</f>
        <v>0.18843065822516181</v>
      </c>
    </row>
    <row r="27" spans="1:12" x14ac:dyDescent="0.2">
      <c r="B27" s="157" t="s">
        <v>239</v>
      </c>
      <c r="C27" s="157">
        <v>1078.0999999999999</v>
      </c>
      <c r="D27" s="157">
        <f>C27/C25</f>
        <v>0.19065893255048985</v>
      </c>
    </row>
    <row r="28" spans="1:12" x14ac:dyDescent="0.2">
      <c r="B28" s="157" t="s">
        <v>155</v>
      </c>
      <c r="D28" s="157">
        <f>1-D27-D26</f>
        <v>0.62091040922434837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327C4-CC87-4828-867B-1480BE7C2A8D}">
  <dimension ref="A1:S19"/>
  <sheetViews>
    <sheetView topLeftCell="A3" workbookViewId="0">
      <selection activeCell="F11" sqref="F11"/>
    </sheetView>
  </sheetViews>
  <sheetFormatPr baseColWidth="10" defaultColWidth="8.83203125" defaultRowHeight="15" x14ac:dyDescent="0.2"/>
  <sheetData>
    <row r="1" spans="1:19" s="6" customFormat="1" ht="15" customHeight="1" x14ac:dyDescent="0.15">
      <c r="A1" s="4" t="s">
        <v>29</v>
      </c>
      <c r="B1" s="5"/>
      <c r="C1" s="5"/>
      <c r="D1" s="5"/>
      <c r="E1" s="5"/>
    </row>
    <row r="2" spans="1:19" s="6" customFormat="1" ht="15" customHeight="1" x14ac:dyDescent="0.15">
      <c r="A2" s="7" t="s">
        <v>30</v>
      </c>
      <c r="B2" s="8"/>
      <c r="C2" s="8"/>
      <c r="D2" s="8"/>
      <c r="E2" s="8"/>
    </row>
    <row r="3" spans="1:19" s="6" customFormat="1" ht="15" customHeight="1" x14ac:dyDescent="0.15"/>
    <row r="4" spans="1:19" s="6" customFormat="1" ht="15" customHeight="1" x14ac:dyDescent="0.15"/>
    <row r="5" spans="1:19" s="6" customFormat="1" ht="30" customHeight="1" x14ac:dyDescent="0.15">
      <c r="A5" s="369" t="s">
        <v>31</v>
      </c>
      <c r="B5" s="370"/>
      <c r="C5" s="370"/>
      <c r="D5" s="370"/>
      <c r="E5" s="370"/>
      <c r="F5" s="370"/>
      <c r="G5" s="370"/>
      <c r="H5" s="370"/>
      <c r="I5" s="370"/>
      <c r="J5" s="370"/>
      <c r="K5" s="370"/>
      <c r="L5" s="370"/>
      <c r="M5" s="370"/>
      <c r="N5" s="370"/>
      <c r="O5" s="370"/>
      <c r="P5" s="370"/>
      <c r="Q5" s="370"/>
      <c r="R5" s="370"/>
      <c r="S5" s="370"/>
    </row>
    <row r="6" spans="1:19" s="6" customFormat="1" ht="15" customHeight="1" x14ac:dyDescent="0.15">
      <c r="A6" s="371" t="s">
        <v>32</v>
      </c>
      <c r="B6" s="371"/>
      <c r="C6" s="371"/>
      <c r="D6" s="371"/>
      <c r="E6" s="371"/>
      <c r="F6" s="371"/>
      <c r="G6" s="371"/>
      <c r="H6" s="371"/>
      <c r="I6" s="371"/>
      <c r="J6" s="371"/>
      <c r="K6" s="371"/>
      <c r="L6" s="371"/>
      <c r="M6" s="371"/>
      <c r="N6" s="371"/>
      <c r="O6" s="371"/>
      <c r="P6" s="371"/>
      <c r="Q6" s="371"/>
      <c r="R6" s="371"/>
      <c r="S6" s="371"/>
    </row>
    <row r="7" spans="1:19" s="6" customFormat="1" ht="15" customHeight="1" x14ac:dyDescent="0.15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</row>
    <row r="8" spans="1:19" s="6" customFormat="1" ht="15" customHeight="1" x14ac:dyDescent="0.15">
      <c r="A8" s="130"/>
      <c r="B8" s="130"/>
      <c r="C8" s="11"/>
      <c r="D8" s="11"/>
      <c r="E8" s="11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31"/>
      <c r="R8" s="372"/>
      <c r="S8" s="373"/>
    </row>
    <row r="9" spans="1:19" s="6" customFormat="1" ht="15" customHeight="1" x14ac:dyDescent="0.15">
      <c r="A9" s="130"/>
      <c r="B9" s="130"/>
      <c r="C9" s="14"/>
      <c r="D9" s="14"/>
      <c r="E9" s="14"/>
      <c r="F9" s="15" t="s">
        <v>34</v>
      </c>
      <c r="G9" s="16"/>
      <c r="H9" s="17"/>
      <c r="I9" s="16"/>
      <c r="J9" s="17"/>
      <c r="K9" s="131"/>
      <c r="L9" s="131"/>
      <c r="M9" s="131"/>
      <c r="N9" s="131"/>
      <c r="O9" s="131"/>
      <c r="P9" s="131"/>
      <c r="Q9" s="17"/>
      <c r="R9" s="18"/>
      <c r="S9" s="18"/>
    </row>
    <row r="10" spans="1:19" s="6" customFormat="1" ht="15" customHeight="1" x14ac:dyDescent="0.15">
      <c r="A10" s="19"/>
      <c r="B10" s="19"/>
      <c r="C10" s="20"/>
      <c r="D10" s="20"/>
      <c r="E10" s="20"/>
      <c r="F10" s="21">
        <v>2019</v>
      </c>
      <c r="G10" s="21">
        <v>2020</v>
      </c>
      <c r="H10" s="21">
        <v>2021</v>
      </c>
      <c r="I10" s="21">
        <v>2022</v>
      </c>
      <c r="J10" s="21">
        <v>2023</v>
      </c>
      <c r="K10" s="21">
        <v>2024</v>
      </c>
      <c r="L10" s="21">
        <v>2025</v>
      </c>
      <c r="M10" s="21"/>
      <c r="N10" s="21"/>
      <c r="O10" s="21"/>
      <c r="P10" s="21"/>
      <c r="Q10" s="21"/>
      <c r="R10" s="22"/>
      <c r="S10" s="22"/>
    </row>
    <row r="11" spans="1:19" s="6" customFormat="1" ht="15" customHeight="1" x14ac:dyDescent="0.15">
      <c r="A11" s="130"/>
      <c r="B11" s="28" t="s">
        <v>2</v>
      </c>
      <c r="C11" s="28"/>
      <c r="D11" s="28"/>
      <c r="E11" s="28"/>
      <c r="F11" s="25">
        <v>409.42099999999999</v>
      </c>
      <c r="G11" s="25">
        <v>466.24400000000003</v>
      </c>
      <c r="H11" s="25">
        <v>537.41499999999996</v>
      </c>
      <c r="I11" s="25">
        <v>516.01800000000003</v>
      </c>
      <c r="J11" s="25">
        <v>494.83100000000002</v>
      </c>
      <c r="K11" s="25">
        <v>517.13499999999999</v>
      </c>
      <c r="L11" s="25">
        <v>545.38900000000001</v>
      </c>
      <c r="M11" s="324"/>
      <c r="N11" s="324"/>
      <c r="O11" s="324"/>
      <c r="P11" s="324"/>
      <c r="Q11" s="324"/>
      <c r="R11" s="324"/>
      <c r="S11" s="25"/>
    </row>
    <row r="12" spans="1:19" s="6" customFormat="1" ht="15" customHeight="1" x14ac:dyDescent="0.15">
      <c r="A12" s="130"/>
      <c r="B12" s="28"/>
      <c r="C12" s="28"/>
      <c r="D12" s="28" t="s">
        <v>214</v>
      </c>
      <c r="E12" s="28" t="s">
        <v>212</v>
      </c>
      <c r="F12" s="25"/>
      <c r="G12" s="29">
        <v>0.5</v>
      </c>
      <c r="H12" s="29">
        <v>1</v>
      </c>
      <c r="I12" s="29">
        <v>0.5</v>
      </c>
      <c r="J12" s="25">
        <v>0</v>
      </c>
      <c r="K12" s="25">
        <v>0</v>
      </c>
      <c r="L12" s="25">
        <v>0</v>
      </c>
      <c r="M12" s="25"/>
      <c r="N12" s="25" t="s">
        <v>220</v>
      </c>
      <c r="O12" s="25"/>
      <c r="P12" s="25"/>
      <c r="Q12" s="25"/>
      <c r="R12" s="25"/>
      <c r="S12" s="25"/>
    </row>
    <row r="13" spans="1:19" s="6" customFormat="1" ht="15" customHeight="1" x14ac:dyDescent="0.15">
      <c r="A13" s="130" t="s">
        <v>213</v>
      </c>
      <c r="B13" s="28"/>
      <c r="C13" s="28"/>
      <c r="D13" s="28"/>
      <c r="E13" s="28"/>
      <c r="F13" s="25">
        <f>F11/F15</f>
        <v>603.44947657340424</v>
      </c>
      <c r="G13" s="25">
        <f t="shared" ref="G13:L13" si="0">G11/G15</f>
        <v>657.17435271149407</v>
      </c>
      <c r="H13" s="25">
        <f t="shared" si="0"/>
        <v>725.7777402928042</v>
      </c>
      <c r="I13" s="25">
        <f t="shared" si="0"/>
        <v>727.33117238501666</v>
      </c>
      <c r="J13" s="25">
        <f t="shared" si="0"/>
        <v>729.33608178939096</v>
      </c>
      <c r="K13" s="25">
        <f t="shared" si="0"/>
        <v>762.21015792494131</v>
      </c>
      <c r="L13" s="25">
        <f t="shared" si="0"/>
        <v>803.85399522470118</v>
      </c>
      <c r="M13" s="25"/>
      <c r="N13" s="25" t="s">
        <v>219</v>
      </c>
      <c r="O13" s="25"/>
      <c r="P13" s="25"/>
      <c r="Q13" s="25"/>
      <c r="R13" s="25"/>
      <c r="S13" s="25"/>
    </row>
    <row r="14" spans="1:19" x14ac:dyDescent="0.2">
      <c r="F14" s="25"/>
      <c r="G14" s="25"/>
      <c r="H14" s="25"/>
      <c r="I14" s="25"/>
      <c r="J14" s="25"/>
      <c r="K14" s="25"/>
      <c r="L14" s="25"/>
      <c r="M14" s="25"/>
      <c r="N14" t="s">
        <v>218</v>
      </c>
    </row>
    <row r="15" spans="1:19" x14ac:dyDescent="0.2">
      <c r="A15" t="s">
        <v>217</v>
      </c>
      <c r="F15" s="94">
        <f>main!K102</f>
        <v>0.67846773573296415</v>
      </c>
      <c r="G15" s="94">
        <f>$F15+G12*0.062</f>
        <v>0.70946773573296418</v>
      </c>
      <c r="H15" s="94">
        <f>$F15+H12*0.062</f>
        <v>0.74046773573296409</v>
      </c>
      <c r="I15" s="94">
        <f>$F15+I12*0.062</f>
        <v>0.70946773573296418</v>
      </c>
      <c r="J15" s="94">
        <f>$F15+J12*0.062</f>
        <v>0.67846773573296415</v>
      </c>
      <c r="K15" s="94">
        <f>$F15+K12*0.062</f>
        <v>0.67846773573296415</v>
      </c>
      <c r="L15" s="94">
        <f>K15+L12*0.062</f>
        <v>0.67846773573296415</v>
      </c>
    </row>
    <row r="19" spans="1:12" x14ac:dyDescent="0.2">
      <c r="A19" t="s">
        <v>215</v>
      </c>
      <c r="F19" s="25"/>
      <c r="G19" s="25"/>
      <c r="H19" s="25"/>
      <c r="I19" s="25"/>
      <c r="J19" s="25"/>
      <c r="K19" s="25"/>
      <c r="L19" s="25"/>
    </row>
  </sheetData>
  <mergeCells count="3">
    <mergeCell ref="A5:S5"/>
    <mergeCell ref="A6:S6"/>
    <mergeCell ref="R8:S8"/>
  </mergeCells>
  <hyperlinks>
    <hyperlink ref="A2" r:id="rId1" xr:uid="{C70F89BF-7DD6-4DB9-A08F-D8D1B30647BE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ECC41-09B2-4226-9DFF-DDF76E08500C}">
  <dimension ref="A1:AF82"/>
  <sheetViews>
    <sheetView workbookViewId="0">
      <pane ySplit="8" topLeftCell="A57" activePane="bottomLeft" state="frozen"/>
      <selection pane="bottomLeft" activeCell="C80" sqref="C80"/>
    </sheetView>
  </sheetViews>
  <sheetFormatPr baseColWidth="10" defaultColWidth="8.83203125" defaultRowHeight="15" x14ac:dyDescent="0.2"/>
  <cols>
    <col min="2" max="2" width="23.6640625" customWidth="1"/>
    <col min="4" max="6" width="9.33203125" bestFit="1" customWidth="1"/>
    <col min="7" max="7" width="9.1640625" style="118" customWidth="1"/>
    <col min="8" max="10" width="9.33203125" style="95" bestFit="1" customWidth="1"/>
    <col min="11" max="11" width="9.33203125" style="118" bestFit="1" customWidth="1"/>
  </cols>
  <sheetData>
    <row r="1" spans="1:32" ht="19" x14ac:dyDescent="0.25">
      <c r="A1" s="353" t="s">
        <v>203</v>
      </c>
      <c r="B1" s="353"/>
      <c r="C1" s="35"/>
      <c r="H1"/>
      <c r="I1"/>
      <c r="J1"/>
      <c r="X1" t="s">
        <v>27</v>
      </c>
      <c r="Z1" s="374" t="s">
        <v>83</v>
      </c>
      <c r="AA1" s="374"/>
      <c r="AB1" s="374"/>
      <c r="AC1" s="352"/>
      <c r="AD1" s="352"/>
      <c r="AE1" s="352"/>
      <c r="AF1" s="352"/>
    </row>
    <row r="2" spans="1:32" x14ac:dyDescent="0.2">
      <c r="A2" s="375" t="s">
        <v>189</v>
      </c>
      <c r="B2" s="107"/>
      <c r="C2" t="s">
        <v>190</v>
      </c>
    </row>
    <row r="3" spans="1:32" x14ac:dyDescent="0.2">
      <c r="A3" s="375"/>
      <c r="B3" s="108"/>
      <c r="C3" t="s">
        <v>191</v>
      </c>
    </row>
    <row r="4" spans="1:32" x14ac:dyDescent="0.2">
      <c r="A4" s="375"/>
      <c r="B4" s="109"/>
      <c r="C4" t="s">
        <v>192</v>
      </c>
    </row>
    <row r="5" spans="1:32" x14ac:dyDescent="0.2">
      <c r="A5" s="375"/>
      <c r="B5" s="98"/>
      <c r="C5" t="s">
        <v>179</v>
      </c>
    </row>
    <row r="7" spans="1:32" x14ac:dyDescent="0.2">
      <c r="C7" s="365" t="s">
        <v>159</v>
      </c>
      <c r="D7" s="366"/>
      <c r="E7" s="366"/>
      <c r="F7" s="367"/>
      <c r="G7" s="365" t="s">
        <v>163</v>
      </c>
      <c r="H7" s="366"/>
      <c r="I7" s="366"/>
      <c r="J7" s="367"/>
      <c r="K7" s="365" t="s">
        <v>174</v>
      </c>
      <c r="L7" s="366"/>
      <c r="M7" s="366"/>
      <c r="N7" s="367"/>
    </row>
    <row r="8" spans="1:32" s="2" customFormat="1" x14ac:dyDescent="0.2">
      <c r="B8" s="2" t="s">
        <v>197</v>
      </c>
      <c r="C8" s="96" t="s">
        <v>5</v>
      </c>
      <c r="D8" s="96" t="s">
        <v>6</v>
      </c>
      <c r="E8" s="96" t="s">
        <v>7</v>
      </c>
      <c r="F8" s="96" t="s">
        <v>8</v>
      </c>
      <c r="G8" s="119" t="s">
        <v>5</v>
      </c>
      <c r="H8" s="96" t="s">
        <v>6</v>
      </c>
      <c r="I8" s="96" t="s">
        <v>7</v>
      </c>
      <c r="J8" s="96" t="s">
        <v>8</v>
      </c>
      <c r="K8" s="124" t="s">
        <v>5</v>
      </c>
      <c r="L8" s="96"/>
      <c r="M8" s="96"/>
      <c r="N8" s="96"/>
    </row>
    <row r="9" spans="1:32" s="2" customFormat="1" ht="19" x14ac:dyDescent="0.25">
      <c r="A9" s="106" t="s">
        <v>162</v>
      </c>
      <c r="B9" s="106"/>
      <c r="C9" s="78"/>
      <c r="D9" s="78"/>
      <c r="E9" s="78"/>
      <c r="F9" s="78"/>
      <c r="G9" s="120"/>
      <c r="H9" s="78"/>
      <c r="I9" s="78"/>
      <c r="J9" s="78"/>
      <c r="K9" s="125"/>
      <c r="L9" s="78"/>
      <c r="M9" s="78"/>
      <c r="N9" s="78"/>
    </row>
    <row r="10" spans="1:32" ht="16" x14ac:dyDescent="0.2">
      <c r="B10" s="86" t="s">
        <v>168</v>
      </c>
      <c r="D10">
        <v>179.27799999999999</v>
      </c>
      <c r="E10">
        <v>61.09</v>
      </c>
      <c r="F10">
        <v>63.009813793412498</v>
      </c>
      <c r="G10" s="118">
        <v>65.414387073439201</v>
      </c>
      <c r="H10">
        <v>67.818960353465997</v>
      </c>
      <c r="I10">
        <v>70.223533633492494</v>
      </c>
      <c r="J10">
        <v>72.628106913519204</v>
      </c>
      <c r="K10" s="118">
        <v>71.905190915813407</v>
      </c>
    </row>
    <row r="11" spans="1:32" ht="16" x14ac:dyDescent="0.2">
      <c r="B11" s="86" t="s">
        <v>169</v>
      </c>
      <c r="D11">
        <v>186.02099999999999</v>
      </c>
      <c r="E11">
        <v>465.21800000000002</v>
      </c>
      <c r="F11">
        <v>405.08098280863499</v>
      </c>
      <c r="G11" s="118">
        <v>404.20608325604502</v>
      </c>
      <c r="H11">
        <v>395.88157173561501</v>
      </c>
      <c r="I11">
        <v>388.889110037249</v>
      </c>
      <c r="J11">
        <v>377.60448780112102</v>
      </c>
      <c r="K11" s="118">
        <v>397.47458006632002</v>
      </c>
    </row>
    <row r="12" spans="1:32" ht="16" x14ac:dyDescent="0.2">
      <c r="B12" s="86" t="s">
        <v>170</v>
      </c>
      <c r="D12">
        <v>1862.4</v>
      </c>
      <c r="E12">
        <v>1816.2</v>
      </c>
      <c r="F12">
        <v>1895.1488054536601</v>
      </c>
      <c r="G12" s="118">
        <v>1933.47191075455</v>
      </c>
      <c r="H12">
        <v>1965.5383751259999</v>
      </c>
      <c r="I12">
        <v>1996.7932691808101</v>
      </c>
      <c r="J12">
        <v>2030.19976826113</v>
      </c>
      <c r="K12" s="118">
        <v>2052.5745731536199</v>
      </c>
    </row>
    <row r="13" spans="1:32" ht="16" x14ac:dyDescent="0.2">
      <c r="B13" s="86" t="s">
        <v>171</v>
      </c>
      <c r="D13">
        <v>62.7</v>
      </c>
      <c r="E13">
        <v>54.4</v>
      </c>
      <c r="F13">
        <v>56.7647258103067</v>
      </c>
      <c r="G13" s="118">
        <v>57.912604308472503</v>
      </c>
      <c r="H13">
        <v>58.8730798407964</v>
      </c>
      <c r="I13">
        <v>59.809246692784903</v>
      </c>
      <c r="J13">
        <v>60.809859813569702</v>
      </c>
      <c r="K13" s="118">
        <v>61.480044477236603</v>
      </c>
    </row>
    <row r="14" spans="1:32" ht="16" x14ac:dyDescent="0.2">
      <c r="B14" s="86" t="s">
        <v>172</v>
      </c>
      <c r="D14">
        <v>0.6</v>
      </c>
      <c r="E14">
        <v>0.6</v>
      </c>
      <c r="F14">
        <v>0.60199647986336002</v>
      </c>
      <c r="G14" s="118">
        <v>0.60396796467365799</v>
      </c>
      <c r="H14">
        <v>0.60601443464314297</v>
      </c>
      <c r="I14">
        <v>0.60820462616773796</v>
      </c>
      <c r="J14">
        <v>0.61056978306376897</v>
      </c>
      <c r="K14" s="118">
        <v>0.61311927847613501</v>
      </c>
    </row>
    <row r="15" spans="1:32" ht="16" x14ac:dyDescent="0.2">
      <c r="B15" s="86" t="s">
        <v>173</v>
      </c>
      <c r="D15">
        <v>1249.5219999999999</v>
      </c>
      <c r="E15">
        <v>1420.71</v>
      </c>
      <c r="F15">
        <v>1460.7042835549901</v>
      </c>
      <c r="G15" s="118">
        <v>1471.3575997539101</v>
      </c>
      <c r="H15">
        <v>1482.0109159528199</v>
      </c>
      <c r="I15">
        <v>1492.66423215174</v>
      </c>
      <c r="J15">
        <v>1503.31754835066</v>
      </c>
      <c r="K15" s="118">
        <v>1536.3491403461601</v>
      </c>
    </row>
    <row r="16" spans="1:32" ht="16" x14ac:dyDescent="0.2">
      <c r="B16" s="86" t="s">
        <v>164</v>
      </c>
      <c r="D16">
        <v>1574.779</v>
      </c>
      <c r="E16">
        <v>3690.1819999999998</v>
      </c>
      <c r="F16">
        <v>4022.3023522170502</v>
      </c>
      <c r="G16" s="118">
        <v>3550.4202533538501</v>
      </c>
      <c r="H16">
        <v>3177.8359541396499</v>
      </c>
      <c r="I16">
        <v>2876.7404548976301</v>
      </c>
      <c r="J16">
        <v>2665.0830973586999</v>
      </c>
      <c r="K16" s="118">
        <v>2744.7441275841602</v>
      </c>
    </row>
    <row r="17" spans="1:12" ht="16" x14ac:dyDescent="0.2">
      <c r="B17" s="86" t="s">
        <v>165</v>
      </c>
      <c r="D17">
        <v>3376.8</v>
      </c>
      <c r="E17">
        <v>3097</v>
      </c>
      <c r="F17">
        <v>3089.7317557359202</v>
      </c>
      <c r="G17" s="118">
        <v>3117.4031672383799</v>
      </c>
      <c r="H17">
        <v>3145.07457874083</v>
      </c>
      <c r="I17">
        <v>3172.7459902432902</v>
      </c>
      <c r="J17">
        <v>3200.4174017457399</v>
      </c>
      <c r="K17" s="118">
        <v>3246.3114308992499</v>
      </c>
    </row>
    <row r="18" spans="1:12" ht="16" x14ac:dyDescent="0.2">
      <c r="B18" s="86" t="s">
        <v>166</v>
      </c>
      <c r="D18">
        <v>180.5</v>
      </c>
      <c r="E18">
        <v>173.4</v>
      </c>
      <c r="F18">
        <v>179.704320447226</v>
      </c>
      <c r="G18" s="118">
        <v>188.57281638621899</v>
      </c>
      <c r="H18">
        <v>197.44131232521099</v>
      </c>
      <c r="I18">
        <v>206.30980826420301</v>
      </c>
      <c r="J18">
        <v>215.17830420319501</v>
      </c>
      <c r="K18" s="118">
        <v>252.77338989879101</v>
      </c>
    </row>
    <row r="19" spans="1:12" ht="16" x14ac:dyDescent="0.2">
      <c r="B19" s="86" t="s">
        <v>167</v>
      </c>
      <c r="D19">
        <v>74.5</v>
      </c>
      <c r="E19">
        <v>1086.2</v>
      </c>
      <c r="F19">
        <v>1089.81429404597</v>
      </c>
      <c r="G19" s="118">
        <v>1093.3833387142099</v>
      </c>
      <c r="H19">
        <v>1097.08813151564</v>
      </c>
      <c r="I19">
        <v>1101.05310823899</v>
      </c>
      <c r="J19">
        <v>1105.3348306064399</v>
      </c>
      <c r="K19" s="118">
        <v>1109.9502671346299</v>
      </c>
    </row>
    <row r="20" spans="1:12" x14ac:dyDescent="0.2">
      <c r="B20" t="s">
        <v>193</v>
      </c>
      <c r="D20">
        <v>182.97800000000001</v>
      </c>
      <c r="E20">
        <v>181.51</v>
      </c>
      <c r="F20">
        <v>793.87394730358403</v>
      </c>
      <c r="G20" s="118">
        <v>781.13535139200803</v>
      </c>
      <c r="H20">
        <v>763.35143409724697</v>
      </c>
      <c r="I20">
        <v>746.40840369968305</v>
      </c>
      <c r="J20">
        <v>730.58655583171605</v>
      </c>
      <c r="K20" s="118">
        <v>748.69791667930303</v>
      </c>
    </row>
    <row r="23" spans="1:12" ht="19" x14ac:dyDescent="0.25">
      <c r="A23" s="110" t="s">
        <v>182</v>
      </c>
      <c r="B23" s="110"/>
    </row>
    <row r="24" spans="1:12" x14ac:dyDescent="0.2">
      <c r="B24" t="s">
        <v>183</v>
      </c>
      <c r="D24" s="100">
        <f>D27</f>
        <v>179.27799999999999</v>
      </c>
      <c r="E24" s="100">
        <f>E27-E25</f>
        <v>203.79</v>
      </c>
      <c r="F24" s="100">
        <f>F27/E27*E24</f>
        <v>210.1943027166399</v>
      </c>
      <c r="G24" s="121">
        <f t="shared" ref="G24:K24" si="0">G27/F27*F24</f>
        <v>218.21571356516901</v>
      </c>
      <c r="H24" s="100">
        <f t="shared" si="0"/>
        <v>226.23712441369838</v>
      </c>
      <c r="I24" s="100">
        <f t="shared" si="0"/>
        <v>234.25853526222679</v>
      </c>
      <c r="J24" s="100">
        <f t="shared" si="0"/>
        <v>242.27994611075587</v>
      </c>
      <c r="K24" s="121">
        <f t="shared" si="0"/>
        <v>239.86837218421365</v>
      </c>
      <c r="L24" s="100"/>
    </row>
    <row r="25" spans="1:12" x14ac:dyDescent="0.2">
      <c r="B25" t="s">
        <v>184</v>
      </c>
      <c r="D25" s="102"/>
      <c r="E25" s="102">
        <v>-142.69999999999999</v>
      </c>
      <c r="F25" s="102">
        <v>-128.40406144067796</v>
      </c>
      <c r="G25" s="122">
        <v>-98.35239406779661</v>
      </c>
      <c r="H25" s="102">
        <v>-99.456059322033894</v>
      </c>
      <c r="I25" s="102">
        <v>-100.21983474576271</v>
      </c>
      <c r="J25" s="102">
        <v>-100.77362076271186</v>
      </c>
      <c r="K25" s="122">
        <v>-46.377972457627124</v>
      </c>
    </row>
    <row r="26" spans="1:12" x14ac:dyDescent="0.2">
      <c r="B26" t="s">
        <v>177</v>
      </c>
      <c r="D26" s="102">
        <v>1842.1</v>
      </c>
      <c r="E26" s="102">
        <f>E24+E25</f>
        <v>61.09</v>
      </c>
      <c r="F26" s="102">
        <f t="shared" ref="F26:K26" si="1">F24+F25</f>
        <v>81.790241275961932</v>
      </c>
      <c r="G26" s="122">
        <f t="shared" si="1"/>
        <v>119.8633194973724</v>
      </c>
      <c r="H26" s="102">
        <f t="shared" si="1"/>
        <v>126.78106509166449</v>
      </c>
      <c r="I26" s="102">
        <f t="shared" si="1"/>
        <v>134.03870051646408</v>
      </c>
      <c r="J26" s="102">
        <f t="shared" si="1"/>
        <v>141.50632534804402</v>
      </c>
      <c r="K26" s="122">
        <f t="shared" si="1"/>
        <v>193.49039972658653</v>
      </c>
    </row>
    <row r="27" spans="1:12" x14ac:dyDescent="0.2">
      <c r="B27" t="s">
        <v>175</v>
      </c>
      <c r="D27" s="102">
        <f>D10</f>
        <v>179.27799999999999</v>
      </c>
      <c r="E27" s="102">
        <f t="shared" ref="E27:K27" si="2">E10</f>
        <v>61.09</v>
      </c>
      <c r="F27" s="102">
        <f t="shared" si="2"/>
        <v>63.009813793412498</v>
      </c>
      <c r="G27" s="122">
        <f t="shared" si="2"/>
        <v>65.414387073439201</v>
      </c>
      <c r="H27" s="102">
        <f t="shared" si="2"/>
        <v>67.818960353465997</v>
      </c>
      <c r="I27" s="102">
        <f t="shared" si="2"/>
        <v>70.223533633492494</v>
      </c>
      <c r="J27" s="102">
        <f t="shared" si="2"/>
        <v>72.628106913519204</v>
      </c>
      <c r="K27" s="122">
        <f t="shared" si="2"/>
        <v>71.905190915813407</v>
      </c>
    </row>
    <row r="28" spans="1:12" s="97" customFormat="1" x14ac:dyDescent="0.2">
      <c r="B28" s="99" t="s">
        <v>176</v>
      </c>
      <c r="D28" s="103"/>
      <c r="E28" s="103"/>
      <c r="F28" s="103">
        <f t="shared" ref="F28:K28" si="3">F26-F27</f>
        <v>18.780427482549435</v>
      </c>
      <c r="G28" s="123">
        <f t="shared" si="3"/>
        <v>54.448932423933201</v>
      </c>
      <c r="H28" s="103">
        <f t="shared" si="3"/>
        <v>58.962104738198491</v>
      </c>
      <c r="I28" s="103">
        <f t="shared" si="3"/>
        <v>63.815166882971582</v>
      </c>
      <c r="J28" s="103">
        <f t="shared" si="3"/>
        <v>68.878218434524811</v>
      </c>
      <c r="K28" s="123">
        <f t="shared" si="3"/>
        <v>121.58520881077312</v>
      </c>
    </row>
    <row r="29" spans="1:12" x14ac:dyDescent="0.2">
      <c r="D29" s="102"/>
      <c r="E29" s="102"/>
      <c r="F29" s="102"/>
      <c r="G29" s="122"/>
      <c r="H29" s="104"/>
      <c r="I29" s="104"/>
      <c r="J29" s="104"/>
      <c r="K29" s="122"/>
    </row>
    <row r="30" spans="1:12" x14ac:dyDescent="0.2">
      <c r="D30" s="102"/>
      <c r="E30" s="102"/>
      <c r="F30" s="102"/>
      <c r="G30" s="122"/>
      <c r="H30" s="104"/>
      <c r="I30" s="104"/>
      <c r="J30" s="104"/>
      <c r="K30" s="122"/>
    </row>
    <row r="31" spans="1:12" ht="19" x14ac:dyDescent="0.25">
      <c r="A31" s="110" t="s">
        <v>185</v>
      </c>
      <c r="B31" s="110"/>
    </row>
    <row r="32" spans="1:12" x14ac:dyDescent="0.2">
      <c r="B32" t="s">
        <v>183</v>
      </c>
      <c r="D32" s="100">
        <f>D35-D33</f>
        <v>170.02099999999999</v>
      </c>
      <c r="E32" s="100">
        <f>E35-E33</f>
        <v>140.21800000000002</v>
      </c>
      <c r="F32" s="100">
        <f>E32*1.01</f>
        <v>141.62018000000003</v>
      </c>
      <c r="G32" s="121">
        <f t="shared" ref="G32:K32" si="4">F32*1.01</f>
        <v>143.03638180000004</v>
      </c>
      <c r="H32" s="100">
        <f t="shared" si="4"/>
        <v>144.46674561800003</v>
      </c>
      <c r="I32" s="100">
        <f t="shared" si="4"/>
        <v>145.91141307418005</v>
      </c>
      <c r="J32" s="100">
        <f t="shared" si="4"/>
        <v>147.37052720492184</v>
      </c>
      <c r="K32" s="121">
        <f t="shared" si="4"/>
        <v>148.84423247697106</v>
      </c>
      <c r="L32" s="100"/>
    </row>
    <row r="33" spans="1:11" x14ac:dyDescent="0.2">
      <c r="B33" t="s">
        <v>184</v>
      </c>
      <c r="D33" s="102">
        <v>16</v>
      </c>
      <c r="E33" s="102">
        <v>325</v>
      </c>
      <c r="F33" s="102">
        <f>305</f>
        <v>305</v>
      </c>
      <c r="G33" s="122">
        <f>47</f>
        <v>47</v>
      </c>
      <c r="H33" s="102">
        <v>47</v>
      </c>
      <c r="I33" s="102">
        <v>47</v>
      </c>
      <c r="J33" s="102">
        <v>47</v>
      </c>
      <c r="K33" s="122">
        <v>43</v>
      </c>
    </row>
    <row r="34" spans="1:11" x14ac:dyDescent="0.2">
      <c r="B34" t="s">
        <v>177</v>
      </c>
      <c r="D34" s="102">
        <v>1842.1</v>
      </c>
      <c r="E34" s="102">
        <f>E32+E33</f>
        <v>465.21800000000002</v>
      </c>
      <c r="F34" s="102">
        <f t="shared" ref="F34:K34" si="5">F32+F33</f>
        <v>446.62018</v>
      </c>
      <c r="G34" s="122">
        <f t="shared" si="5"/>
        <v>190.03638180000004</v>
      </c>
      <c r="H34" s="102">
        <f t="shared" si="5"/>
        <v>191.46674561800003</v>
      </c>
      <c r="I34" s="102">
        <f t="shared" si="5"/>
        <v>192.91141307418005</v>
      </c>
      <c r="J34" s="102">
        <f t="shared" si="5"/>
        <v>194.37052720492184</v>
      </c>
      <c r="K34" s="122">
        <f t="shared" si="5"/>
        <v>191.84423247697106</v>
      </c>
    </row>
    <row r="35" spans="1:11" x14ac:dyDescent="0.2">
      <c r="B35" t="s">
        <v>175</v>
      </c>
      <c r="D35" s="102">
        <f>D11</f>
        <v>186.02099999999999</v>
      </c>
      <c r="E35" s="102">
        <f t="shared" ref="E35:K35" si="6">E11</f>
        <v>465.21800000000002</v>
      </c>
      <c r="F35" s="102">
        <f t="shared" si="6"/>
        <v>405.08098280863499</v>
      </c>
      <c r="G35" s="122">
        <f t="shared" si="6"/>
        <v>404.20608325604502</v>
      </c>
      <c r="H35" s="102">
        <f t="shared" si="6"/>
        <v>395.88157173561501</v>
      </c>
      <c r="I35" s="102">
        <f t="shared" si="6"/>
        <v>388.889110037249</v>
      </c>
      <c r="J35" s="102">
        <f t="shared" si="6"/>
        <v>377.60448780112102</v>
      </c>
      <c r="K35" s="122">
        <f t="shared" si="6"/>
        <v>397.47458006632002</v>
      </c>
    </row>
    <row r="36" spans="1:11" s="97" customFormat="1" x14ac:dyDescent="0.2">
      <c r="B36" s="99" t="s">
        <v>176</v>
      </c>
      <c r="D36" s="103"/>
      <c r="E36" s="103"/>
      <c r="F36" s="103">
        <f t="shared" ref="F36:K36" si="7">F34-F35</f>
        <v>41.53919719136502</v>
      </c>
      <c r="G36" s="123">
        <f t="shared" si="7"/>
        <v>-214.16970145604498</v>
      </c>
      <c r="H36" s="103">
        <f t="shared" si="7"/>
        <v>-204.41482611761498</v>
      </c>
      <c r="I36" s="103">
        <f t="shared" si="7"/>
        <v>-195.97769696306895</v>
      </c>
      <c r="J36" s="103">
        <f t="shared" si="7"/>
        <v>-183.23396059619918</v>
      </c>
      <c r="K36" s="123">
        <f t="shared" si="7"/>
        <v>-205.63034758934896</v>
      </c>
    </row>
    <row r="37" spans="1:11" s="97" customFormat="1" x14ac:dyDescent="0.2">
      <c r="B37" s="99"/>
      <c r="D37" s="103"/>
      <c r="E37" s="103"/>
      <c r="F37" s="103"/>
      <c r="G37" s="123"/>
      <c r="H37" s="103"/>
      <c r="I37" s="103"/>
      <c r="J37" s="103"/>
      <c r="K37" s="123"/>
    </row>
    <row r="38" spans="1:11" s="97" customFormat="1" x14ac:dyDescent="0.2">
      <c r="B38" s="99"/>
      <c r="D38" s="103"/>
      <c r="E38" s="103"/>
      <c r="F38" s="103"/>
      <c r="G38" s="123"/>
      <c r="H38" s="103"/>
      <c r="I38" s="103"/>
      <c r="J38" s="103"/>
      <c r="K38" s="123"/>
    </row>
    <row r="39" spans="1:11" ht="19" x14ac:dyDescent="0.25">
      <c r="A39" s="110" t="s">
        <v>181</v>
      </c>
      <c r="B39" s="110"/>
      <c r="D39" s="102"/>
      <c r="E39" s="102"/>
      <c r="F39" s="102"/>
      <c r="G39" s="122"/>
      <c r="H39" s="104"/>
      <c r="I39" s="104"/>
      <c r="J39" s="104"/>
      <c r="K39" s="122"/>
    </row>
    <row r="40" spans="1:11" x14ac:dyDescent="0.2">
      <c r="B40" t="s">
        <v>177</v>
      </c>
      <c r="D40" s="100">
        <v>1835.9308286849882</v>
      </c>
      <c r="E40" s="100">
        <v>1798.0730623309571</v>
      </c>
      <c r="F40" s="100">
        <v>1841.3301065807598</v>
      </c>
      <c r="G40" s="121">
        <v>1846.9122859552808</v>
      </c>
      <c r="H40" s="100">
        <v>1851.7583227938521</v>
      </c>
      <c r="I40" s="100">
        <v>1864.8797418812585</v>
      </c>
      <c r="J40" s="100">
        <v>1876.08695894171</v>
      </c>
      <c r="K40" s="121">
        <v>1892.015583446143</v>
      </c>
    </row>
    <row r="41" spans="1:11" x14ac:dyDescent="0.2">
      <c r="B41" t="s">
        <v>178</v>
      </c>
      <c r="D41" s="101">
        <v>1842.1</v>
      </c>
      <c r="E41" s="101">
        <v>1797.1</v>
      </c>
      <c r="F41" s="102">
        <f>F40/E40*E41</f>
        <v>1840.3336348560522</v>
      </c>
      <c r="G41" s="122">
        <f t="shared" ref="G41:K41" si="8">G40/F40*F41</f>
        <v>1845.9127933252564</v>
      </c>
      <c r="H41" s="102">
        <f t="shared" si="8"/>
        <v>1850.7562076364118</v>
      </c>
      <c r="I41" s="102">
        <f t="shared" si="8"/>
        <v>1863.8705258117864</v>
      </c>
      <c r="J41" s="102">
        <f t="shared" si="8"/>
        <v>1875.0716778679925</v>
      </c>
      <c r="K41" s="122">
        <f t="shared" si="8"/>
        <v>1890.9916822863934</v>
      </c>
    </row>
    <row r="42" spans="1:11" x14ac:dyDescent="0.2">
      <c r="B42" t="s">
        <v>175</v>
      </c>
      <c r="D42" s="102">
        <f>D12</f>
        <v>1862.4</v>
      </c>
      <c r="E42" s="102">
        <f t="shared" ref="E42:K42" si="9">E12</f>
        <v>1816.2</v>
      </c>
      <c r="F42" s="102">
        <f t="shared" si="9"/>
        <v>1895.1488054536601</v>
      </c>
      <c r="G42" s="122">
        <f t="shared" si="9"/>
        <v>1933.47191075455</v>
      </c>
      <c r="H42" s="102">
        <f t="shared" si="9"/>
        <v>1965.5383751259999</v>
      </c>
      <c r="I42" s="102">
        <f t="shared" si="9"/>
        <v>1996.7932691808101</v>
      </c>
      <c r="J42" s="102">
        <f t="shared" si="9"/>
        <v>2030.19976826113</v>
      </c>
      <c r="K42" s="122">
        <f t="shared" si="9"/>
        <v>2052.5745731536199</v>
      </c>
    </row>
    <row r="43" spans="1:11" s="97" customFormat="1" x14ac:dyDescent="0.2">
      <c r="B43" s="99" t="s">
        <v>176</v>
      </c>
      <c r="D43" s="103"/>
      <c r="E43" s="103"/>
      <c r="F43" s="103">
        <f t="shared" ref="F43:K43" si="10">F41-F42</f>
        <v>-54.815170597607903</v>
      </c>
      <c r="G43" s="123">
        <f t="shared" si="10"/>
        <v>-87.559117429293565</v>
      </c>
      <c r="H43" s="103">
        <f t="shared" si="10"/>
        <v>-114.78216748958812</v>
      </c>
      <c r="I43" s="103">
        <f t="shared" si="10"/>
        <v>-132.92274336902369</v>
      </c>
      <c r="J43" s="103">
        <f t="shared" si="10"/>
        <v>-155.12809039313743</v>
      </c>
      <c r="K43" s="123">
        <f t="shared" si="10"/>
        <v>-161.58289086722652</v>
      </c>
    </row>
    <row r="44" spans="1:11" x14ac:dyDescent="0.2">
      <c r="D44" s="102"/>
      <c r="E44" s="102"/>
      <c r="F44" s="102"/>
      <c r="G44" s="122"/>
      <c r="H44" s="104"/>
      <c r="I44" s="104"/>
      <c r="J44" s="104"/>
      <c r="K44" s="122"/>
    </row>
    <row r="45" spans="1:11" x14ac:dyDescent="0.2">
      <c r="D45" s="102"/>
      <c r="E45" s="102"/>
      <c r="F45" s="102"/>
      <c r="G45" s="122"/>
      <c r="H45" s="104"/>
      <c r="I45" s="104"/>
      <c r="J45" s="104"/>
      <c r="K45" s="122"/>
    </row>
    <row r="46" spans="1:11" ht="19" x14ac:dyDescent="0.25">
      <c r="A46" s="110" t="s">
        <v>180</v>
      </c>
      <c r="B46" s="110"/>
      <c r="D46" s="102"/>
      <c r="E46" s="102"/>
      <c r="F46" s="102"/>
      <c r="G46" s="122"/>
      <c r="H46" s="104"/>
      <c r="I46" s="104"/>
      <c r="J46" s="104"/>
      <c r="K46" s="122"/>
    </row>
    <row r="47" spans="1:11" x14ac:dyDescent="0.2">
      <c r="B47" t="s">
        <v>177</v>
      </c>
      <c r="D47" s="100">
        <v>58.885625915856416</v>
      </c>
      <c r="E47" s="100">
        <v>51.906166397249173</v>
      </c>
      <c r="F47" s="100">
        <v>67.757273586954582</v>
      </c>
      <c r="G47" s="121">
        <v>67.375517870649134</v>
      </c>
      <c r="H47" s="100">
        <v>70.683858752401591</v>
      </c>
      <c r="I47" s="100">
        <v>72.126034518054027</v>
      </c>
      <c r="J47" s="100">
        <v>73.732959467368829</v>
      </c>
      <c r="K47" s="121">
        <v>74.827748020610457</v>
      </c>
    </row>
    <row r="48" spans="1:11" x14ac:dyDescent="0.2">
      <c r="B48" t="s">
        <v>178</v>
      </c>
      <c r="D48" s="101">
        <v>62.7</v>
      </c>
      <c r="E48" s="101">
        <v>67.833333333333329</v>
      </c>
      <c r="F48" s="102">
        <f>F47/E47*E48</f>
        <v>88.548279404917352</v>
      </c>
      <c r="G48" s="122">
        <f t="shared" ref="G48:K48" si="11">G47/F47*F48</f>
        <v>88.04938371383767</v>
      </c>
      <c r="H48" s="102">
        <f t="shared" si="11"/>
        <v>92.372873684079465</v>
      </c>
      <c r="I48" s="102">
        <f t="shared" si="11"/>
        <v>94.257574409000313</v>
      </c>
      <c r="J48" s="102">
        <f t="shared" si="11"/>
        <v>96.357576842127358</v>
      </c>
      <c r="K48" s="122">
        <f t="shared" si="11"/>
        <v>97.788296196225005</v>
      </c>
    </row>
    <row r="49" spans="1:12" x14ac:dyDescent="0.2">
      <c r="B49" t="s">
        <v>175</v>
      </c>
      <c r="D49" s="102">
        <f>D13</f>
        <v>62.7</v>
      </c>
      <c r="E49" s="102">
        <f t="shared" ref="E49:K49" si="12">E13</f>
        <v>54.4</v>
      </c>
      <c r="F49" s="102">
        <f t="shared" si="12"/>
        <v>56.7647258103067</v>
      </c>
      <c r="G49" s="122">
        <f t="shared" si="12"/>
        <v>57.912604308472503</v>
      </c>
      <c r="H49" s="102">
        <f t="shared" si="12"/>
        <v>58.8730798407964</v>
      </c>
      <c r="I49" s="102">
        <f t="shared" si="12"/>
        <v>59.809246692784903</v>
      </c>
      <c r="J49" s="102">
        <f t="shared" si="12"/>
        <v>60.809859813569702</v>
      </c>
      <c r="K49" s="122">
        <f t="shared" si="12"/>
        <v>61.480044477236603</v>
      </c>
    </row>
    <row r="50" spans="1:12" s="97" customFormat="1" x14ac:dyDescent="0.2">
      <c r="B50" s="99" t="s">
        <v>176</v>
      </c>
      <c r="D50" s="103"/>
      <c r="E50" s="103"/>
      <c r="F50" s="103">
        <f t="shared" ref="F50:K50" si="13">F48-F49</f>
        <v>31.783553594610652</v>
      </c>
      <c r="G50" s="123">
        <f t="shared" si="13"/>
        <v>30.136779405365168</v>
      </c>
      <c r="H50" s="103">
        <f t="shared" si="13"/>
        <v>33.499793843283065</v>
      </c>
      <c r="I50" s="103">
        <f t="shared" si="13"/>
        <v>34.44832771621541</v>
      </c>
      <c r="J50" s="103">
        <f t="shared" si="13"/>
        <v>35.547717028557656</v>
      </c>
      <c r="K50" s="123">
        <f t="shared" si="13"/>
        <v>36.308251718988402</v>
      </c>
    </row>
    <row r="51" spans="1:12" x14ac:dyDescent="0.2">
      <c r="D51" s="102"/>
      <c r="E51" s="102"/>
      <c r="F51" s="102"/>
      <c r="G51" s="122"/>
      <c r="H51" s="104"/>
      <c r="I51" s="104"/>
      <c r="J51" s="104"/>
      <c r="K51" s="122"/>
    </row>
    <row r="53" spans="1:12" ht="19" x14ac:dyDescent="0.25">
      <c r="A53" s="105" t="s">
        <v>186</v>
      </c>
      <c r="B53" s="105"/>
    </row>
    <row r="54" spans="1:12" x14ac:dyDescent="0.2">
      <c r="B54" t="s">
        <v>183</v>
      </c>
      <c r="D54" s="100">
        <f>D57</f>
        <v>1249.5219999999999</v>
      </c>
      <c r="E54" s="100">
        <f>F57/E57*D54</f>
        <v>1284.697185066761</v>
      </c>
      <c r="F54" s="100">
        <f>F57/E57*E54</f>
        <v>1320.8625837067771</v>
      </c>
      <c r="G54" s="121">
        <f t="shared" ref="G54:K54" si="14">G57/F57*F54</f>
        <v>1330.4959961078855</v>
      </c>
      <c r="H54" s="100">
        <f t="shared" si="14"/>
        <v>1340.1294085089846</v>
      </c>
      <c r="I54" s="100">
        <f t="shared" si="14"/>
        <v>1349.7628209100931</v>
      </c>
      <c r="J54" s="100">
        <f t="shared" si="14"/>
        <v>1359.3962333112015</v>
      </c>
      <c r="K54" s="121">
        <f t="shared" si="14"/>
        <v>1389.2655192702591</v>
      </c>
      <c r="L54" s="100"/>
    </row>
    <row r="55" spans="1:12" x14ac:dyDescent="0.2">
      <c r="B55" t="s">
        <v>184</v>
      </c>
      <c r="D55" s="102"/>
      <c r="E55" s="100">
        <v>153.80000000000001</v>
      </c>
      <c r="F55" s="100">
        <v>286.06375423728815</v>
      </c>
      <c r="G55" s="121">
        <v>148.87042372881399</v>
      </c>
      <c r="H55" s="100">
        <v>144.45576271186439</v>
      </c>
      <c r="I55" s="100">
        <v>131.40066101694916</v>
      </c>
      <c r="J55" s="100">
        <v>129.18551694915254</v>
      </c>
      <c r="K55" s="121">
        <v>77.568110169491518</v>
      </c>
    </row>
    <row r="56" spans="1:12" x14ac:dyDescent="0.2">
      <c r="B56" t="s">
        <v>177</v>
      </c>
      <c r="D56" s="102">
        <f>D57</f>
        <v>1249.5219999999999</v>
      </c>
      <c r="E56" s="102">
        <f>E54+E55</f>
        <v>1438.4971850667609</v>
      </c>
      <c r="F56" s="102">
        <f t="shared" ref="F56:K56" si="15">F54+F55</f>
        <v>1606.9263379440652</v>
      </c>
      <c r="G56" s="122">
        <f t="shared" si="15"/>
        <v>1479.3664198366996</v>
      </c>
      <c r="H56" s="102">
        <f t="shared" si="15"/>
        <v>1484.5851712208491</v>
      </c>
      <c r="I56" s="102">
        <f t="shared" si="15"/>
        <v>1481.1634819270423</v>
      </c>
      <c r="J56" s="102">
        <f t="shared" si="15"/>
        <v>1488.5817502603541</v>
      </c>
      <c r="K56" s="122">
        <f t="shared" si="15"/>
        <v>1466.8336294397507</v>
      </c>
    </row>
    <row r="57" spans="1:12" x14ac:dyDescent="0.2">
      <c r="B57" t="s">
        <v>175</v>
      </c>
      <c r="D57" s="102">
        <f>D15</f>
        <v>1249.5219999999999</v>
      </c>
      <c r="E57" s="102">
        <f t="shared" ref="E57:K57" si="16">E15</f>
        <v>1420.71</v>
      </c>
      <c r="F57" s="102">
        <f t="shared" si="16"/>
        <v>1460.7042835549901</v>
      </c>
      <c r="G57" s="122">
        <f t="shared" si="16"/>
        <v>1471.3575997539101</v>
      </c>
      <c r="H57" s="102">
        <f t="shared" si="16"/>
        <v>1482.0109159528199</v>
      </c>
      <c r="I57" s="102">
        <f t="shared" si="16"/>
        <v>1492.66423215174</v>
      </c>
      <c r="J57" s="102">
        <f t="shared" si="16"/>
        <v>1503.31754835066</v>
      </c>
      <c r="K57" s="122">
        <f t="shared" si="16"/>
        <v>1536.3491403461601</v>
      </c>
    </row>
    <row r="58" spans="1:12" s="97" customFormat="1" x14ac:dyDescent="0.2">
      <c r="B58" s="99" t="s">
        <v>176</v>
      </c>
      <c r="D58" s="103"/>
      <c r="E58" s="103"/>
      <c r="F58" s="103">
        <f t="shared" ref="F58:K58" si="17">F56-F57</f>
        <v>146.22205438907508</v>
      </c>
      <c r="G58" s="123">
        <f t="shared" si="17"/>
        <v>8.008820082789498</v>
      </c>
      <c r="H58" s="103">
        <f t="shared" si="17"/>
        <v>2.5742552680292192</v>
      </c>
      <c r="I58" s="103">
        <f t="shared" si="17"/>
        <v>-11.50075022469764</v>
      </c>
      <c r="J58" s="103">
        <f t="shared" si="17"/>
        <v>-14.735798090305934</v>
      </c>
      <c r="K58" s="123">
        <f t="shared" si="17"/>
        <v>-69.515510906409418</v>
      </c>
    </row>
    <row r="59" spans="1:12" x14ac:dyDescent="0.2">
      <c r="D59" s="102"/>
      <c r="E59" s="102"/>
      <c r="F59" s="102"/>
      <c r="G59" s="122"/>
      <c r="H59" s="104"/>
      <c r="I59" s="104"/>
      <c r="J59" s="104"/>
      <c r="K59" s="122"/>
    </row>
    <row r="60" spans="1:12" x14ac:dyDescent="0.2">
      <c r="D60" s="102"/>
      <c r="E60" s="102"/>
      <c r="F60" s="102"/>
      <c r="G60" s="122"/>
      <c r="H60" s="104"/>
      <c r="I60" s="104"/>
      <c r="J60" s="104"/>
      <c r="K60" s="122"/>
    </row>
    <row r="61" spans="1:12" ht="19" x14ac:dyDescent="0.25">
      <c r="A61" s="105" t="s">
        <v>187</v>
      </c>
      <c r="B61" s="105"/>
    </row>
    <row r="62" spans="1:12" x14ac:dyDescent="0.2">
      <c r="B62" t="s">
        <v>183</v>
      </c>
      <c r="D62" s="100">
        <f>D65</f>
        <v>1574.779</v>
      </c>
      <c r="E62" s="100">
        <f>E65-E63</f>
        <v>1810.2197385128904</v>
      </c>
      <c r="F62" s="100">
        <f>E62*1.01</f>
        <v>1828.3219358980193</v>
      </c>
      <c r="G62" s="121">
        <f t="shared" ref="G62:K62" si="18">F62*1.01</f>
        <v>1846.6051552569995</v>
      </c>
      <c r="H62" s="100">
        <f t="shared" si="18"/>
        <v>1865.0712068095695</v>
      </c>
      <c r="I62" s="100">
        <f t="shared" si="18"/>
        <v>1883.7219188776653</v>
      </c>
      <c r="J62" s="100">
        <f t="shared" si="18"/>
        <v>1902.5591380664421</v>
      </c>
      <c r="K62" s="121">
        <f t="shared" si="18"/>
        <v>1921.5847294471066</v>
      </c>
      <c r="L62" s="100"/>
    </row>
    <row r="63" spans="1:12" x14ac:dyDescent="0.2">
      <c r="B63" t="s">
        <v>184</v>
      </c>
      <c r="D63" s="102"/>
      <c r="E63" s="100">
        <v>1879.9622614871093</v>
      </c>
      <c r="F63" s="100">
        <v>528.73890499481013</v>
      </c>
      <c r="G63" s="121">
        <v>254.38002674526047</v>
      </c>
      <c r="H63" s="100">
        <v>207.78441675387188</v>
      </c>
      <c r="I63" s="100">
        <v>107.99598198110886</v>
      </c>
      <c r="J63" s="100">
        <v>91.348568818485461</v>
      </c>
      <c r="K63" s="121">
        <v>85.98974092242338</v>
      </c>
    </row>
    <row r="64" spans="1:12" x14ac:dyDescent="0.2">
      <c r="B64" t="s">
        <v>177</v>
      </c>
      <c r="D64" s="102">
        <v>1842.1</v>
      </c>
      <c r="E64" s="102">
        <f t="shared" ref="E64:K64" si="19">E62+E63</f>
        <v>3690.1819999999998</v>
      </c>
      <c r="F64" s="102">
        <f t="shared" si="19"/>
        <v>2357.0608408928292</v>
      </c>
      <c r="G64" s="122">
        <f t="shared" si="19"/>
        <v>2100.98518200226</v>
      </c>
      <c r="H64" s="102">
        <f t="shared" si="19"/>
        <v>2072.8556235634414</v>
      </c>
      <c r="I64" s="102">
        <f t="shared" si="19"/>
        <v>1991.7179008587741</v>
      </c>
      <c r="J64" s="102">
        <f t="shared" si="19"/>
        <v>1993.9077068849276</v>
      </c>
      <c r="K64" s="122">
        <f t="shared" si="19"/>
        <v>2007.57447036953</v>
      </c>
    </row>
    <row r="65" spans="1:11" x14ac:dyDescent="0.2">
      <c r="B65" t="s">
        <v>175</v>
      </c>
      <c r="D65" s="102">
        <f>D16</f>
        <v>1574.779</v>
      </c>
      <c r="E65" s="102">
        <f t="shared" ref="E65:K65" si="20">E16</f>
        <v>3690.1819999999998</v>
      </c>
      <c r="F65" s="102">
        <f t="shared" si="20"/>
        <v>4022.3023522170502</v>
      </c>
      <c r="G65" s="122">
        <f t="shared" si="20"/>
        <v>3550.4202533538501</v>
      </c>
      <c r="H65" s="102">
        <f t="shared" si="20"/>
        <v>3177.8359541396499</v>
      </c>
      <c r="I65" s="102">
        <f t="shared" si="20"/>
        <v>2876.7404548976301</v>
      </c>
      <c r="J65" s="102">
        <f t="shared" si="20"/>
        <v>2665.0830973586999</v>
      </c>
      <c r="K65" s="122">
        <f t="shared" si="20"/>
        <v>2744.7441275841602</v>
      </c>
    </row>
    <row r="66" spans="1:11" s="97" customFormat="1" x14ac:dyDescent="0.2">
      <c r="B66" s="99" t="s">
        <v>176</v>
      </c>
      <c r="D66" s="103"/>
      <c r="E66" s="103"/>
      <c r="F66" s="103">
        <f t="shared" ref="F66:K66" si="21">F64-F65</f>
        <v>-1665.2415113242209</v>
      </c>
      <c r="G66" s="123">
        <f t="shared" si="21"/>
        <v>-1449.4350713515901</v>
      </c>
      <c r="H66" s="103">
        <f t="shared" si="21"/>
        <v>-1104.9803305762084</v>
      </c>
      <c r="I66" s="103">
        <f t="shared" si="21"/>
        <v>-885.02255403885601</v>
      </c>
      <c r="J66" s="103">
        <f t="shared" si="21"/>
        <v>-671.17539047377227</v>
      </c>
      <c r="K66" s="123">
        <f t="shared" si="21"/>
        <v>-737.16965721463021</v>
      </c>
    </row>
    <row r="67" spans="1:11" s="97" customFormat="1" x14ac:dyDescent="0.2">
      <c r="B67" s="99"/>
      <c r="D67" s="103"/>
      <c r="E67" s="103"/>
      <c r="F67" s="103"/>
      <c r="G67" s="123"/>
      <c r="H67" s="103"/>
      <c r="I67" s="103"/>
      <c r="J67" s="103"/>
      <c r="K67" s="123"/>
    </row>
    <row r="68" spans="1:11" s="97" customFormat="1" x14ac:dyDescent="0.2">
      <c r="B68" s="99"/>
      <c r="D68" s="103"/>
      <c r="E68" s="103"/>
      <c r="F68" s="103"/>
      <c r="G68" s="123"/>
      <c r="H68" s="103"/>
      <c r="I68" s="103"/>
      <c r="J68" s="103"/>
      <c r="K68" s="123"/>
    </row>
    <row r="69" spans="1:11" ht="19" x14ac:dyDescent="0.25">
      <c r="A69" s="105" t="s">
        <v>188</v>
      </c>
      <c r="B69" s="105"/>
      <c r="D69" s="102"/>
      <c r="E69" s="102"/>
      <c r="F69" s="102"/>
      <c r="G69" s="122"/>
      <c r="H69" s="104"/>
      <c r="I69" s="104"/>
      <c r="J69" s="104"/>
      <c r="K69" s="122"/>
    </row>
    <row r="70" spans="1:11" x14ac:dyDescent="0.2">
      <c r="B70" t="s">
        <v>4</v>
      </c>
      <c r="D70" s="100"/>
      <c r="E70" s="102">
        <f>main!L54/1000</f>
        <v>1086.548</v>
      </c>
      <c r="F70" s="102">
        <f>main!M54/1000</f>
        <v>1213.48</v>
      </c>
      <c r="G70" s="102">
        <f>main!N54/1000</f>
        <v>610.40700000000004</v>
      </c>
      <c r="H70" s="102">
        <f>main!O54/1000</f>
        <v>405.26900000000001</v>
      </c>
      <c r="I70" s="102">
        <f>main!P54/1000</f>
        <v>847.38358333333338</v>
      </c>
      <c r="J70" s="102">
        <f>main!Q54/1000</f>
        <v>107.41691666666667</v>
      </c>
      <c r="K70" s="102">
        <f>main!R54/1000</f>
        <v>102.75024999999999</v>
      </c>
    </row>
    <row r="71" spans="1:11" x14ac:dyDescent="0.2">
      <c r="B71" t="s">
        <v>175</v>
      </c>
      <c r="D71" s="102">
        <f>D19</f>
        <v>74.5</v>
      </c>
      <c r="E71" s="102">
        <f t="shared" ref="E71:K71" si="22">E19</f>
        <v>1086.2</v>
      </c>
      <c r="F71" s="102">
        <f t="shared" si="22"/>
        <v>1089.81429404597</v>
      </c>
      <c r="G71" s="122">
        <f t="shared" si="22"/>
        <v>1093.3833387142099</v>
      </c>
      <c r="H71" s="102">
        <f t="shared" si="22"/>
        <v>1097.08813151564</v>
      </c>
      <c r="I71" s="102">
        <f t="shared" si="22"/>
        <v>1101.05310823899</v>
      </c>
      <c r="J71" s="102">
        <f t="shared" si="22"/>
        <v>1105.3348306064399</v>
      </c>
      <c r="K71" s="122">
        <f t="shared" si="22"/>
        <v>1109.9502671346299</v>
      </c>
    </row>
    <row r="72" spans="1:11" s="97" customFormat="1" x14ac:dyDescent="0.2">
      <c r="B72" s="99" t="s">
        <v>176</v>
      </c>
      <c r="D72" s="103"/>
      <c r="E72" s="103"/>
      <c r="F72" s="103">
        <f>F70-F71</f>
        <v>123.66570595403005</v>
      </c>
      <c r="G72" s="103">
        <f t="shared" ref="G72:K72" si="23">G70-G71</f>
        <v>-482.97633871420987</v>
      </c>
      <c r="H72" s="103">
        <f t="shared" si="23"/>
        <v>-691.81913151564004</v>
      </c>
      <c r="I72" s="103">
        <f t="shared" si="23"/>
        <v>-253.66952490565666</v>
      </c>
      <c r="J72" s="103">
        <f t="shared" si="23"/>
        <v>-997.91791393977326</v>
      </c>
      <c r="K72" s="103">
        <f t="shared" si="23"/>
        <v>-1007.2000171346299</v>
      </c>
    </row>
    <row r="73" spans="1:11" x14ac:dyDescent="0.2">
      <c r="D73" s="102"/>
      <c r="E73" s="102"/>
      <c r="F73" s="102"/>
      <c r="G73" s="122"/>
      <c r="H73" s="104"/>
      <c r="I73" s="104"/>
      <c r="J73" s="104"/>
      <c r="K73" s="122"/>
    </row>
    <row r="74" spans="1:11" x14ac:dyDescent="0.2">
      <c r="D74" s="102"/>
      <c r="E74" s="102"/>
      <c r="F74" s="102"/>
      <c r="G74" s="122"/>
      <c r="H74" s="104"/>
      <c r="I74" s="104"/>
      <c r="J74" s="104"/>
      <c r="K74" s="122"/>
    </row>
    <row r="75" spans="1:11" ht="19" x14ac:dyDescent="0.25">
      <c r="A75" s="105" t="s">
        <v>194</v>
      </c>
      <c r="B75" s="105"/>
      <c r="D75" s="102"/>
      <c r="E75" s="102"/>
      <c r="F75" s="102"/>
      <c r="G75" s="122"/>
      <c r="H75" s="104"/>
      <c r="I75" s="104"/>
      <c r="J75" s="104"/>
      <c r="K75" s="122"/>
    </row>
    <row r="76" spans="1:11" x14ac:dyDescent="0.2">
      <c r="B76" t="s">
        <v>183</v>
      </c>
      <c r="D76" s="100">
        <f>D81</f>
        <v>182.97800000000001</v>
      </c>
      <c r="E76" s="100">
        <f>F81/E81*D76</f>
        <v>800.2945685070531</v>
      </c>
      <c r="F76" s="100">
        <f>F81/E81*E76</f>
        <v>3500.2644929001863</v>
      </c>
      <c r="G76" s="121">
        <f t="shared" ref="G76:K76" si="24">G81/F81*F76</f>
        <v>3444.098831953459</v>
      </c>
      <c r="H76" s="100">
        <f t="shared" si="24"/>
        <v>3365.6878770871931</v>
      </c>
      <c r="I76" s="100">
        <f t="shared" si="24"/>
        <v>3290.9844712075155</v>
      </c>
      <c r="J76" s="100">
        <f t="shared" si="24"/>
        <v>3221.224463976625</v>
      </c>
      <c r="K76" s="121">
        <f t="shared" si="24"/>
        <v>3301.0791480964817</v>
      </c>
    </row>
    <row r="77" spans="1:11" x14ac:dyDescent="0.2">
      <c r="B77" t="s">
        <v>184</v>
      </c>
      <c r="F77" s="102">
        <f>((SUM($F$78:$I$79)/4)/6)*4</f>
        <v>120</v>
      </c>
      <c r="G77" s="122">
        <f t="shared" ref="G77:K77" si="25">((SUM($F$78:$I$79)/4)/6)*4</f>
        <v>120</v>
      </c>
      <c r="H77" s="102">
        <f t="shared" si="25"/>
        <v>120</v>
      </c>
      <c r="I77" s="102">
        <f t="shared" si="25"/>
        <v>120</v>
      </c>
      <c r="J77" s="102">
        <f t="shared" si="25"/>
        <v>120</v>
      </c>
      <c r="K77" s="122">
        <f t="shared" si="25"/>
        <v>120</v>
      </c>
    </row>
    <row r="78" spans="1:11" x14ac:dyDescent="0.2">
      <c r="B78" s="111" t="s">
        <v>195</v>
      </c>
      <c r="F78" s="102">
        <v>300</v>
      </c>
      <c r="G78" s="122">
        <v>150</v>
      </c>
      <c r="H78" s="102">
        <v>100</v>
      </c>
      <c r="I78" s="102">
        <v>50</v>
      </c>
      <c r="J78" s="102"/>
      <c r="K78" s="122"/>
    </row>
    <row r="79" spans="1:11" x14ac:dyDescent="0.2">
      <c r="B79" s="112" t="s">
        <v>196</v>
      </c>
      <c r="F79" s="102">
        <v>17</v>
      </c>
      <c r="G79" s="122">
        <v>50</v>
      </c>
      <c r="H79" s="102">
        <v>35</v>
      </c>
      <c r="I79" s="102">
        <v>18</v>
      </c>
      <c r="J79" s="102"/>
      <c r="K79" s="122"/>
    </row>
    <row r="80" spans="1:11" x14ac:dyDescent="0.2">
      <c r="B80" t="s">
        <v>177</v>
      </c>
      <c r="D80" s="102">
        <f>D76+D77</f>
        <v>182.97800000000001</v>
      </c>
      <c r="E80" s="102">
        <f t="shared" ref="E80:K80" si="26">E76+E77</f>
        <v>800.2945685070531</v>
      </c>
      <c r="F80" s="102">
        <f t="shared" si="26"/>
        <v>3620.2644929001863</v>
      </c>
      <c r="G80" s="122">
        <f t="shared" si="26"/>
        <v>3564.098831953459</v>
      </c>
      <c r="H80" s="102">
        <f t="shared" si="26"/>
        <v>3485.6878770871931</v>
      </c>
      <c r="I80" s="102">
        <f t="shared" si="26"/>
        <v>3410.9844712075155</v>
      </c>
      <c r="J80" s="102">
        <f t="shared" si="26"/>
        <v>3341.224463976625</v>
      </c>
      <c r="K80" s="122">
        <f t="shared" si="26"/>
        <v>3421.0791480964817</v>
      </c>
    </row>
    <row r="81" spans="2:11" x14ac:dyDescent="0.2">
      <c r="B81" t="s">
        <v>175</v>
      </c>
      <c r="D81" s="102">
        <f>D20</f>
        <v>182.97800000000001</v>
      </c>
      <c r="E81" s="102">
        <f t="shared" ref="E81:K81" si="27">E20</f>
        <v>181.51</v>
      </c>
      <c r="F81" s="102">
        <f t="shared" si="27"/>
        <v>793.87394730358403</v>
      </c>
      <c r="G81" s="122">
        <f t="shared" si="27"/>
        <v>781.13535139200803</v>
      </c>
      <c r="H81" s="102">
        <f t="shared" si="27"/>
        <v>763.35143409724697</v>
      </c>
      <c r="I81" s="102">
        <f t="shared" si="27"/>
        <v>746.40840369968305</v>
      </c>
      <c r="J81" s="102">
        <f t="shared" si="27"/>
        <v>730.58655583171605</v>
      </c>
      <c r="K81" s="122">
        <f t="shared" si="27"/>
        <v>748.69791667930303</v>
      </c>
    </row>
    <row r="82" spans="2:11" s="97" customFormat="1" x14ac:dyDescent="0.2">
      <c r="B82" s="99" t="s">
        <v>176</v>
      </c>
      <c r="D82" s="103"/>
      <c r="E82" s="103"/>
      <c r="F82" s="103">
        <f>F80-F81</f>
        <v>2826.3905455966024</v>
      </c>
      <c r="G82" s="123">
        <f t="shared" ref="G82:K82" si="28">G80-G81</f>
        <v>2782.963480561451</v>
      </c>
      <c r="H82" s="103">
        <f t="shared" si="28"/>
        <v>2722.3364429899461</v>
      </c>
      <c r="I82" s="103">
        <f t="shared" si="28"/>
        <v>2664.5760675078327</v>
      </c>
      <c r="J82" s="103">
        <f t="shared" si="28"/>
        <v>2610.637908144909</v>
      </c>
      <c r="K82" s="123">
        <f t="shared" si="28"/>
        <v>2672.3812314171787</v>
      </c>
    </row>
  </sheetData>
  <mergeCells count="7">
    <mergeCell ref="A1:B1"/>
    <mergeCell ref="Z1:AB1"/>
    <mergeCell ref="AC1:AF1"/>
    <mergeCell ref="A2:A5"/>
    <mergeCell ref="C7:F7"/>
    <mergeCell ref="G7:J7"/>
    <mergeCell ref="K7:N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F29D8-3B4C-4287-8349-C362C52DEB32}">
  <dimension ref="A1:X50"/>
  <sheetViews>
    <sheetView topLeftCell="B1" zoomScale="110" zoomScaleNormal="110" workbookViewId="0">
      <selection activeCell="M13" sqref="M13"/>
    </sheetView>
  </sheetViews>
  <sheetFormatPr baseColWidth="10" defaultColWidth="8.83203125" defaultRowHeight="15" x14ac:dyDescent="0.2"/>
  <cols>
    <col min="1" max="1" width="6.5" customWidth="1"/>
    <col min="2" max="2" width="62.5" customWidth="1"/>
    <col min="3" max="3" width="15.83203125" customWidth="1"/>
    <col min="4" max="11" width="12.5" customWidth="1"/>
    <col min="14" max="14" width="13.83203125" bestFit="1" customWidth="1"/>
  </cols>
  <sheetData>
    <row r="1" spans="1:24" x14ac:dyDescent="0.2">
      <c r="L1" s="46"/>
      <c r="M1" s="46"/>
    </row>
    <row r="2" spans="1:24" x14ac:dyDescent="0.2">
      <c r="A2" s="381" t="s">
        <v>103</v>
      </c>
      <c r="B2" s="381"/>
      <c r="C2" s="381"/>
      <c r="D2" s="381"/>
      <c r="E2" s="381"/>
      <c r="F2" s="381"/>
      <c r="G2" s="381"/>
      <c r="H2" s="381"/>
      <c r="I2" s="381"/>
      <c r="J2" s="381"/>
      <c r="K2" s="77"/>
    </row>
    <row r="3" spans="1:24" x14ac:dyDescent="0.2">
      <c r="A3" s="381" t="s">
        <v>104</v>
      </c>
      <c r="B3" s="381"/>
      <c r="C3" s="381"/>
      <c r="D3" s="381"/>
      <c r="E3" s="381"/>
      <c r="F3" s="381"/>
      <c r="G3" s="381"/>
      <c r="H3" s="381"/>
      <c r="I3" s="381"/>
      <c r="J3" s="381"/>
      <c r="K3" s="77"/>
    </row>
    <row r="4" spans="1:24" ht="16" thickBot="1" x14ac:dyDescent="0.25">
      <c r="A4" s="382"/>
      <c r="B4" s="382"/>
      <c r="C4" s="382"/>
      <c r="D4" s="382"/>
      <c r="E4" s="382"/>
      <c r="F4" s="382"/>
      <c r="G4" s="382"/>
      <c r="H4" s="382"/>
      <c r="I4" s="382"/>
      <c r="J4" s="382"/>
      <c r="K4" s="387" t="s">
        <v>159</v>
      </c>
      <c r="L4" s="387"/>
      <c r="M4" s="387"/>
      <c r="N4" s="387"/>
    </row>
    <row r="5" spans="1:24" x14ac:dyDescent="0.2">
      <c r="A5" s="47"/>
      <c r="B5" s="48"/>
      <c r="C5" s="383" t="s">
        <v>105</v>
      </c>
      <c r="D5" s="384"/>
      <c r="E5" s="384"/>
      <c r="F5" s="384"/>
      <c r="G5" s="384"/>
      <c r="H5" s="384"/>
      <c r="I5" s="384"/>
      <c r="J5" s="385"/>
      <c r="K5" s="78"/>
      <c r="L5" s="386" t="s">
        <v>106</v>
      </c>
      <c r="M5" s="352"/>
      <c r="N5" s="352"/>
    </row>
    <row r="6" spans="1:24" x14ac:dyDescent="0.2">
      <c r="A6" s="1" t="s">
        <v>108</v>
      </c>
      <c r="B6" s="49"/>
      <c r="C6" s="377">
        <v>2020</v>
      </c>
      <c r="D6" s="378"/>
      <c r="E6" s="378"/>
      <c r="F6" s="378"/>
      <c r="G6" s="378"/>
      <c r="H6" s="378"/>
      <c r="I6" s="378"/>
      <c r="J6" s="379"/>
      <c r="K6" s="78" t="s">
        <v>134</v>
      </c>
      <c r="L6" t="s">
        <v>109</v>
      </c>
      <c r="M6" t="s">
        <v>110</v>
      </c>
      <c r="N6" t="s">
        <v>111</v>
      </c>
      <c r="O6" t="s">
        <v>134</v>
      </c>
      <c r="P6" t="s">
        <v>109</v>
      </c>
      <c r="Q6" t="s">
        <v>110</v>
      </c>
      <c r="R6" t="s">
        <v>111</v>
      </c>
      <c r="S6" t="s">
        <v>134</v>
      </c>
    </row>
    <row r="7" spans="1:24" x14ac:dyDescent="0.2">
      <c r="A7" s="50"/>
      <c r="B7" s="51"/>
      <c r="C7" s="52" t="s">
        <v>112</v>
      </c>
      <c r="D7" s="53" t="s">
        <v>113</v>
      </c>
      <c r="E7" s="54" t="s">
        <v>114</v>
      </c>
      <c r="F7" s="55" t="s">
        <v>115</v>
      </c>
      <c r="G7" s="55" t="s">
        <v>116</v>
      </c>
      <c r="H7" s="55" t="s">
        <v>117</v>
      </c>
      <c r="I7" s="55"/>
      <c r="J7" s="56" t="s">
        <v>118</v>
      </c>
      <c r="K7" s="78"/>
    </row>
    <row r="8" spans="1:24" x14ac:dyDescent="0.2">
      <c r="A8" s="57">
        <v>23</v>
      </c>
      <c r="B8" s="58" t="s">
        <v>129</v>
      </c>
      <c r="C8" s="59">
        <v>28.1</v>
      </c>
      <c r="D8" s="60">
        <v>27.8</v>
      </c>
      <c r="E8" s="61">
        <v>74.400000000000006</v>
      </c>
      <c r="F8" s="60">
        <v>495.8</v>
      </c>
      <c r="G8" s="61">
        <v>1372.3</v>
      </c>
      <c r="H8" s="60">
        <v>1469.5</v>
      </c>
      <c r="I8" s="191"/>
      <c r="J8" s="61">
        <v>1364</v>
      </c>
      <c r="K8" s="82">
        <v>27.8</v>
      </c>
      <c r="L8" s="73">
        <v>43.4</v>
      </c>
      <c r="M8" s="73">
        <v>1084</v>
      </c>
      <c r="N8" s="73">
        <v>775</v>
      </c>
      <c r="O8" s="73">
        <v>302.39999999999998</v>
      </c>
    </row>
    <row r="9" spans="1:24" ht="17" x14ac:dyDescent="0.2">
      <c r="B9" s="74" t="s">
        <v>130</v>
      </c>
      <c r="C9" s="62"/>
      <c r="D9" s="63"/>
      <c r="E9" s="64"/>
      <c r="F9" s="63"/>
      <c r="G9" s="64"/>
      <c r="H9" s="63"/>
      <c r="I9" s="192"/>
      <c r="J9" s="64"/>
      <c r="K9" s="82"/>
      <c r="L9" s="73"/>
      <c r="M9" s="73"/>
      <c r="N9" s="73"/>
      <c r="X9" s="72"/>
    </row>
    <row r="10" spans="1:24" x14ac:dyDescent="0.2">
      <c r="A10">
        <v>24</v>
      </c>
      <c r="B10" s="75" t="s">
        <v>131</v>
      </c>
      <c r="C10" s="62"/>
      <c r="D10" s="63"/>
      <c r="E10" s="64"/>
      <c r="F10" s="63">
        <v>1</v>
      </c>
      <c r="G10" s="64">
        <v>7.4</v>
      </c>
      <c r="H10" s="63">
        <v>12.8</v>
      </c>
      <c r="I10" s="192"/>
      <c r="J10" s="64">
        <v>16.899999999999999</v>
      </c>
      <c r="K10" s="82" t="s">
        <v>143</v>
      </c>
      <c r="L10" s="73"/>
      <c r="M10" s="73">
        <f t="shared" ref="M10:M12" si="0">AVERAGE(F10:H10)</f>
        <v>7.0666666666666673</v>
      </c>
      <c r="N10" s="73">
        <f t="shared" ref="N10:O12" si="1">4*N28</f>
        <v>24</v>
      </c>
      <c r="O10">
        <f t="shared" si="1"/>
        <v>64.8</v>
      </c>
    </row>
    <row r="11" spans="1:24" x14ac:dyDescent="0.2">
      <c r="A11" s="57">
        <v>25</v>
      </c>
      <c r="B11" s="76" t="s">
        <v>132</v>
      </c>
      <c r="C11" s="59"/>
      <c r="D11" s="60"/>
      <c r="E11" s="61"/>
      <c r="F11" s="60">
        <v>30.9</v>
      </c>
      <c r="G11" s="61">
        <v>138.4</v>
      </c>
      <c r="H11" s="60">
        <v>198.9</v>
      </c>
      <c r="I11" s="191"/>
      <c r="J11" s="61">
        <v>184.3</v>
      </c>
      <c r="K11" s="82" t="s">
        <v>142</v>
      </c>
      <c r="L11" s="73"/>
      <c r="M11" s="73">
        <f t="shared" si="0"/>
        <v>122.73333333333335</v>
      </c>
      <c r="N11" s="73">
        <f t="shared" si="1"/>
        <v>156</v>
      </c>
      <c r="O11">
        <f t="shared" si="1"/>
        <v>112</v>
      </c>
      <c r="P11">
        <v>0</v>
      </c>
      <c r="Q11">
        <v>0</v>
      </c>
      <c r="R11">
        <v>0</v>
      </c>
      <c r="S11">
        <v>0</v>
      </c>
    </row>
    <row r="12" spans="1:24" x14ac:dyDescent="0.2">
      <c r="A12">
        <v>26</v>
      </c>
      <c r="B12" s="75" t="s">
        <v>133</v>
      </c>
      <c r="C12" s="62"/>
      <c r="D12" s="63"/>
      <c r="E12" s="64"/>
      <c r="F12" s="63">
        <v>172.6</v>
      </c>
      <c r="G12" s="64">
        <v>907.8</v>
      </c>
      <c r="H12" s="63">
        <v>977.8</v>
      </c>
      <c r="I12" s="192"/>
      <c r="J12" s="64">
        <v>901.7</v>
      </c>
      <c r="K12" s="82" t="s">
        <v>141</v>
      </c>
      <c r="L12" s="73"/>
      <c r="M12" s="73">
        <f t="shared" si="0"/>
        <v>686.06666666666661</v>
      </c>
      <c r="N12" s="73">
        <f t="shared" si="1"/>
        <v>373</v>
      </c>
      <c r="O12">
        <f t="shared" si="1"/>
        <v>16.100000000000001</v>
      </c>
    </row>
    <row r="13" spans="1:24" x14ac:dyDescent="0.2">
      <c r="K13" s="35" t="s">
        <v>139</v>
      </c>
      <c r="M13" s="73">
        <f>0</f>
        <v>0</v>
      </c>
      <c r="N13" s="73">
        <f>12</f>
        <v>12</v>
      </c>
      <c r="O13">
        <f>4*O31</f>
        <v>8</v>
      </c>
    </row>
    <row r="15" spans="1:24" x14ac:dyDescent="0.2">
      <c r="K15" t="s">
        <v>136</v>
      </c>
    </row>
    <row r="17" spans="3:23" x14ac:dyDescent="0.2">
      <c r="D17" t="s">
        <v>119</v>
      </c>
      <c r="J17" s="79" t="s">
        <v>137</v>
      </c>
      <c r="K17" s="80">
        <f t="shared" ref="K17:L17" si="2">4*K37</f>
        <v>0</v>
      </c>
      <c r="L17" s="80">
        <f t="shared" si="2"/>
        <v>0</v>
      </c>
      <c r="M17" s="80">
        <f>4*M37</f>
        <v>822.93333333333328</v>
      </c>
      <c r="N17" s="80">
        <f t="shared" ref="N17:W17" si="3">4*N37</f>
        <v>589</v>
      </c>
      <c r="O17" s="80">
        <f t="shared" si="3"/>
        <v>265.7</v>
      </c>
      <c r="P17" s="80">
        <f t="shared" si="3"/>
        <v>184</v>
      </c>
      <c r="Q17" s="80">
        <f t="shared" si="3"/>
        <v>108</v>
      </c>
      <c r="R17" s="80">
        <f t="shared" si="3"/>
        <v>0</v>
      </c>
      <c r="S17" s="80">
        <f t="shared" si="3"/>
        <v>0</v>
      </c>
      <c r="T17" s="80">
        <f t="shared" si="3"/>
        <v>0</v>
      </c>
      <c r="U17" s="80">
        <f t="shared" si="3"/>
        <v>0</v>
      </c>
      <c r="V17" s="80">
        <f t="shared" si="3"/>
        <v>0</v>
      </c>
      <c r="W17" s="80">
        <f t="shared" si="3"/>
        <v>0</v>
      </c>
    </row>
    <row r="18" spans="3:23" x14ac:dyDescent="0.2">
      <c r="J18" s="79" t="s">
        <v>138</v>
      </c>
      <c r="K18" s="80">
        <f t="shared" ref="K18:L18" si="4">4*K38</f>
        <v>27.8</v>
      </c>
      <c r="L18" s="80">
        <f t="shared" si="4"/>
        <v>43.4</v>
      </c>
      <c r="M18" s="80">
        <f>4*M38</f>
        <v>261.06666666666672</v>
      </c>
      <c r="N18" s="80">
        <f t="shared" ref="N18:W18" si="5">4*N38</f>
        <v>186</v>
      </c>
      <c r="O18" s="80">
        <f t="shared" si="5"/>
        <v>36.699999999999989</v>
      </c>
      <c r="P18" s="80">
        <f t="shared" si="5"/>
        <v>60</v>
      </c>
      <c r="Q18" s="80">
        <f t="shared" si="5"/>
        <v>44</v>
      </c>
      <c r="R18" s="80">
        <f t="shared" si="5"/>
        <v>44</v>
      </c>
      <c r="S18" s="80">
        <f t="shared" si="5"/>
        <v>44</v>
      </c>
      <c r="T18" s="80">
        <f t="shared" si="5"/>
        <v>44</v>
      </c>
      <c r="U18" s="80">
        <f t="shared" si="5"/>
        <v>44</v>
      </c>
      <c r="V18" s="80">
        <f t="shared" si="5"/>
        <v>44</v>
      </c>
      <c r="W18" s="80">
        <f t="shared" si="5"/>
        <v>44</v>
      </c>
    </row>
    <row r="19" spans="3:23" x14ac:dyDescent="0.2">
      <c r="C19" s="65"/>
      <c r="D19" s="65"/>
      <c r="E19" s="65"/>
      <c r="F19" s="66">
        <v>2020</v>
      </c>
      <c r="G19" s="66">
        <v>2021</v>
      </c>
      <c r="H19">
        <v>2022</v>
      </c>
    </row>
    <row r="20" spans="3:23" ht="32" x14ac:dyDescent="0.2">
      <c r="C20" s="67"/>
      <c r="D20" s="67"/>
      <c r="E20" s="67"/>
      <c r="F20" s="68"/>
      <c r="G20" s="68"/>
      <c r="N20" s="81" t="s">
        <v>135</v>
      </c>
    </row>
    <row r="21" spans="3:23" x14ac:dyDescent="0.2">
      <c r="C21" s="69" t="s">
        <v>120</v>
      </c>
      <c r="D21" s="69"/>
      <c r="E21" s="69"/>
      <c r="F21" s="70"/>
      <c r="G21" s="67"/>
    </row>
    <row r="22" spans="3:23" x14ac:dyDescent="0.2">
      <c r="C22" s="69"/>
      <c r="D22" s="71" t="s">
        <v>121</v>
      </c>
      <c r="E22" s="69"/>
      <c r="F22" s="70">
        <v>285.56</v>
      </c>
      <c r="G22" s="70">
        <v>5</v>
      </c>
      <c r="H22">
        <v>0</v>
      </c>
      <c r="K22" s="352" t="s">
        <v>9</v>
      </c>
      <c r="L22" s="352"/>
      <c r="M22" s="352"/>
      <c r="N22" s="352"/>
      <c r="O22" s="352" t="s">
        <v>10</v>
      </c>
      <c r="P22" s="352"/>
      <c r="Q22" s="352"/>
      <c r="R22" s="352"/>
      <c r="S22" s="352" t="s">
        <v>11</v>
      </c>
      <c r="T22" s="352"/>
      <c r="U22" s="352"/>
      <c r="V22" s="352"/>
    </row>
    <row r="23" spans="3:23" x14ac:dyDescent="0.2">
      <c r="C23" s="67"/>
      <c r="D23" s="69" t="s">
        <v>122</v>
      </c>
      <c r="E23" s="67"/>
      <c r="F23" s="70">
        <v>67.209999999999994</v>
      </c>
      <c r="G23" s="70">
        <v>13.68</v>
      </c>
      <c r="H23">
        <v>0</v>
      </c>
      <c r="K23" s="380" t="s">
        <v>107</v>
      </c>
      <c r="L23" s="380"/>
      <c r="M23" s="380"/>
      <c r="N23" s="380"/>
      <c r="O23" s="35" t="s">
        <v>145</v>
      </c>
      <c r="P23" s="35"/>
      <c r="Q23" s="35"/>
      <c r="R23" s="35"/>
    </row>
    <row r="24" spans="3:23" x14ac:dyDescent="0.2">
      <c r="C24" s="67"/>
      <c r="D24" s="69" t="s">
        <v>123</v>
      </c>
      <c r="E24" s="67"/>
      <c r="F24" s="70">
        <v>11.12</v>
      </c>
      <c r="G24" s="70">
        <v>47.8</v>
      </c>
      <c r="H24">
        <v>0</v>
      </c>
      <c r="K24" s="35" t="s">
        <v>134</v>
      </c>
      <c r="L24" s="35" t="s">
        <v>109</v>
      </c>
      <c r="M24" s="35" t="s">
        <v>110</v>
      </c>
      <c r="N24" s="35" t="s">
        <v>111</v>
      </c>
      <c r="O24" s="35" t="s">
        <v>134</v>
      </c>
      <c r="P24" s="35" t="s">
        <v>6</v>
      </c>
      <c r="Q24" s="35" t="s">
        <v>7</v>
      </c>
      <c r="R24" s="35" t="s">
        <v>8</v>
      </c>
      <c r="S24" s="35" t="s">
        <v>5</v>
      </c>
      <c r="T24" s="35" t="s">
        <v>6</v>
      </c>
      <c r="U24" s="35" t="s">
        <v>7</v>
      </c>
      <c r="V24" s="35" t="s">
        <v>8</v>
      </c>
    </row>
    <row r="25" spans="3:23" x14ac:dyDescent="0.2">
      <c r="C25" s="67"/>
      <c r="D25" s="69" t="s">
        <v>57</v>
      </c>
      <c r="E25" s="67"/>
      <c r="F25" s="70">
        <v>6.2149999999999999</v>
      </c>
      <c r="G25" s="70">
        <v>5.0049999999999999</v>
      </c>
      <c r="H25">
        <v>0</v>
      </c>
      <c r="K25" s="35"/>
      <c r="L25" s="35"/>
      <c r="M25" s="35"/>
      <c r="N25" s="35"/>
      <c r="O25" s="35"/>
      <c r="P25" s="35"/>
      <c r="Q25" s="35"/>
      <c r="R25" s="35"/>
    </row>
    <row r="26" spans="3:23" x14ac:dyDescent="0.2">
      <c r="C26" s="67"/>
      <c r="D26" s="69"/>
      <c r="E26" s="67"/>
      <c r="F26" s="70" t="s">
        <v>96</v>
      </c>
      <c r="G26" s="70" t="s">
        <v>96</v>
      </c>
      <c r="K26" s="83">
        <f>K8/4</f>
        <v>6.95</v>
      </c>
      <c r="L26" s="83">
        <f>L8/4</f>
        <v>10.85</v>
      </c>
      <c r="M26" s="83">
        <f>M8/4</f>
        <v>271</v>
      </c>
      <c r="N26" s="83">
        <f>N8/4</f>
        <v>193.75</v>
      </c>
      <c r="O26" s="83">
        <f>O8/4</f>
        <v>75.599999999999994</v>
      </c>
      <c r="P26" s="84">
        <f>P33+P34</f>
        <v>51</v>
      </c>
      <c r="Q26" s="84">
        <f>Q33+Q34</f>
        <v>37</v>
      </c>
      <c r="R26" s="84">
        <f>R33+R34</f>
        <v>22</v>
      </c>
      <c r="S26" s="84">
        <f t="shared" ref="S26:V26" si="6">S33+S34</f>
        <v>20</v>
      </c>
      <c r="T26" s="84">
        <f t="shared" si="6"/>
        <v>15</v>
      </c>
      <c r="U26" s="84">
        <f t="shared" si="6"/>
        <v>15</v>
      </c>
      <c r="V26" s="84">
        <f t="shared" si="6"/>
        <v>15</v>
      </c>
    </row>
    <row r="27" spans="3:23" ht="30.5" customHeight="1" x14ac:dyDescent="0.2">
      <c r="C27" s="67"/>
      <c r="D27" s="69"/>
      <c r="E27" s="216" t="s">
        <v>124</v>
      </c>
      <c r="F27" s="70">
        <v>370.10500000000002</v>
      </c>
      <c r="G27" s="70">
        <v>71.484999999999999</v>
      </c>
      <c r="H27">
        <v>0</v>
      </c>
      <c r="K27" s="83"/>
      <c r="L27" s="83"/>
      <c r="M27" s="83"/>
      <c r="N27" s="83"/>
      <c r="O27" s="84"/>
      <c r="P27" s="35"/>
      <c r="Q27" s="35"/>
      <c r="R27" s="35"/>
      <c r="S27" s="72"/>
    </row>
    <row r="28" spans="3:23" x14ac:dyDescent="0.2">
      <c r="I28" s="376" t="s">
        <v>252</v>
      </c>
      <c r="J28" s="82" t="s">
        <v>143</v>
      </c>
      <c r="K28" s="83">
        <v>0</v>
      </c>
      <c r="L28" s="83">
        <f t="shared" ref="L28:M30" si="7">L10/4</f>
        <v>0</v>
      </c>
      <c r="M28" s="83">
        <f t="shared" si="7"/>
        <v>1.7666666666666668</v>
      </c>
      <c r="N28" s="83">
        <v>6</v>
      </c>
      <c r="O28" s="84">
        <v>16.2</v>
      </c>
      <c r="P28" s="35">
        <v>20</v>
      </c>
      <c r="Q28" s="35">
        <v>13</v>
      </c>
      <c r="R28" s="35">
        <v>0</v>
      </c>
      <c r="S28" s="72">
        <v>0</v>
      </c>
    </row>
    <row r="29" spans="3:23" x14ac:dyDescent="0.2">
      <c r="C29" t="s">
        <v>125</v>
      </c>
      <c r="F29">
        <f>557</f>
        <v>557</v>
      </c>
      <c r="G29">
        <v>166</v>
      </c>
      <c r="H29">
        <v>67</v>
      </c>
      <c r="I29" s="376"/>
      <c r="J29" s="82" t="s">
        <v>142</v>
      </c>
      <c r="K29" s="83">
        <v>0</v>
      </c>
      <c r="L29" s="83">
        <f t="shared" si="7"/>
        <v>0</v>
      </c>
      <c r="M29" s="83">
        <f t="shared" si="7"/>
        <v>30.683333333333337</v>
      </c>
      <c r="N29" s="83">
        <v>39</v>
      </c>
      <c r="O29" s="84">
        <v>28</v>
      </c>
      <c r="P29" s="35">
        <v>4</v>
      </c>
      <c r="Q29" s="35">
        <v>0</v>
      </c>
      <c r="R29" s="35">
        <v>0</v>
      </c>
      <c r="S29" s="72"/>
    </row>
    <row r="30" spans="3:23" x14ac:dyDescent="0.2">
      <c r="C30" t="s">
        <v>126</v>
      </c>
      <c r="F30" s="72">
        <f>F29-F27</f>
        <v>186.89499999999998</v>
      </c>
      <c r="G30" s="72">
        <f>G29-G27</f>
        <v>94.515000000000001</v>
      </c>
      <c r="H30">
        <f>H29</f>
        <v>67</v>
      </c>
      <c r="I30" s="376"/>
      <c r="J30" s="82" t="s">
        <v>141</v>
      </c>
      <c r="K30" s="83">
        <v>0</v>
      </c>
      <c r="L30" s="83">
        <f t="shared" si="7"/>
        <v>0</v>
      </c>
      <c r="M30" s="83">
        <f t="shared" si="7"/>
        <v>171.51666666666665</v>
      </c>
      <c r="N30" s="83">
        <v>93.25</v>
      </c>
      <c r="O30" s="84">
        <v>4.0250000000000004</v>
      </c>
      <c r="P30" s="84">
        <v>0</v>
      </c>
      <c r="Q30" s="35">
        <v>0</v>
      </c>
      <c r="R30" s="35">
        <v>0</v>
      </c>
      <c r="S30" s="72"/>
    </row>
    <row r="31" spans="3:23" x14ac:dyDescent="0.2">
      <c r="C31" s="176" t="s">
        <v>127</v>
      </c>
      <c r="F31" s="72">
        <f>F24</f>
        <v>11.12</v>
      </c>
      <c r="G31" s="72">
        <f>G24</f>
        <v>47.8</v>
      </c>
      <c r="H31">
        <f>24</f>
        <v>24</v>
      </c>
      <c r="I31" s="376"/>
      <c r="J31" s="35" t="s">
        <v>139</v>
      </c>
      <c r="K31" s="35"/>
      <c r="L31" s="35"/>
      <c r="M31" s="83">
        <f>M13/4</f>
        <v>0</v>
      </c>
      <c r="N31" s="83">
        <f>N13/4</f>
        <v>3</v>
      </c>
      <c r="O31" s="84">
        <v>2</v>
      </c>
      <c r="P31" s="35">
        <v>2</v>
      </c>
      <c r="Q31" s="35">
        <v>1</v>
      </c>
      <c r="R31" s="35">
        <v>0</v>
      </c>
      <c r="S31" s="72"/>
    </row>
    <row r="32" spans="3:23" x14ac:dyDescent="0.2">
      <c r="C32" s="176" t="s">
        <v>128</v>
      </c>
      <c r="F32" s="72">
        <f>F30-F31</f>
        <v>175.77499999999998</v>
      </c>
      <c r="G32" s="72">
        <f>G30-G31</f>
        <v>46.715000000000003</v>
      </c>
      <c r="H32">
        <f>H29-H31</f>
        <v>43</v>
      </c>
      <c r="N32" s="72"/>
    </row>
    <row r="33" spans="3:23" x14ac:dyDescent="0.2">
      <c r="C33" t="s">
        <v>144</v>
      </c>
      <c r="F33" s="72">
        <f>F29-F32</f>
        <v>381.22500000000002</v>
      </c>
      <c r="G33" s="72">
        <f t="shared" ref="G33:H33" si="8">G29-G32</f>
        <v>119.285</v>
      </c>
      <c r="H33" s="72">
        <f t="shared" si="8"/>
        <v>24</v>
      </c>
      <c r="I33" s="376" t="s">
        <v>140</v>
      </c>
      <c r="J33" s="85" t="s">
        <v>252</v>
      </c>
      <c r="M33" s="72">
        <f t="shared" ref="M33:V33" si="9">SUM(M28:M31)</f>
        <v>203.96666666666664</v>
      </c>
      <c r="N33" s="72">
        <f t="shared" si="9"/>
        <v>141.25</v>
      </c>
      <c r="O33" s="72">
        <f t="shared" si="9"/>
        <v>50.225000000000001</v>
      </c>
      <c r="P33" s="72">
        <f t="shared" si="9"/>
        <v>26</v>
      </c>
      <c r="Q33" s="72">
        <f t="shared" si="9"/>
        <v>14</v>
      </c>
      <c r="R33" s="72">
        <f t="shared" si="9"/>
        <v>0</v>
      </c>
      <c r="S33" s="72">
        <f t="shared" si="9"/>
        <v>0</v>
      </c>
      <c r="T33" s="72">
        <f t="shared" si="9"/>
        <v>0</v>
      </c>
      <c r="U33" s="72">
        <f t="shared" si="9"/>
        <v>0</v>
      </c>
      <c r="V33" s="72">
        <f t="shared" si="9"/>
        <v>0</v>
      </c>
    </row>
    <row r="34" spans="3:23" x14ac:dyDescent="0.2">
      <c r="I34" s="376"/>
      <c r="J34" t="s">
        <v>253</v>
      </c>
      <c r="K34" s="72">
        <f>K26-K33</f>
        <v>6.95</v>
      </c>
      <c r="L34" s="72">
        <f>L26-L33</f>
        <v>10.85</v>
      </c>
      <c r="M34" s="72">
        <f>M26-M33</f>
        <v>67.03333333333336</v>
      </c>
      <c r="N34" s="72">
        <f>N26-N33</f>
        <v>52.5</v>
      </c>
      <c r="O34" s="72">
        <f>O26-O33</f>
        <v>25.374999999999993</v>
      </c>
      <c r="P34" s="72">
        <v>25</v>
      </c>
      <c r="Q34" s="72">
        <v>23</v>
      </c>
      <c r="R34" s="72">
        <v>22</v>
      </c>
      <c r="S34" s="72">
        <v>20</v>
      </c>
      <c r="T34" s="72">
        <v>15</v>
      </c>
      <c r="U34">
        <v>15</v>
      </c>
      <c r="V34">
        <v>15</v>
      </c>
    </row>
    <row r="35" spans="3:23" x14ac:dyDescent="0.2">
      <c r="N35" s="72">
        <f>SUM(K34:N34)</f>
        <v>137.33333333333337</v>
      </c>
      <c r="R35" s="72"/>
    </row>
    <row r="36" spans="3:23" x14ac:dyDescent="0.2">
      <c r="C36" t="s">
        <v>261</v>
      </c>
    </row>
    <row r="37" spans="3:23" x14ac:dyDescent="0.2">
      <c r="C37" t="s">
        <v>262</v>
      </c>
      <c r="D37" s="72"/>
      <c r="E37" s="72"/>
      <c r="G37">
        <v>90</v>
      </c>
      <c r="J37" t="s">
        <v>144</v>
      </c>
      <c r="K37" s="72">
        <f>K33+K28</f>
        <v>0</v>
      </c>
      <c r="L37" s="72">
        <f t="shared" ref="L37" si="10">L33+L28</f>
        <v>0</v>
      </c>
      <c r="M37" s="72">
        <f>M33+M28</f>
        <v>205.73333333333332</v>
      </c>
      <c r="N37" s="72">
        <f>N33+N28</f>
        <v>147.25</v>
      </c>
      <c r="O37" s="72">
        <f>O33+O28</f>
        <v>66.424999999999997</v>
      </c>
      <c r="P37" s="72">
        <f t="shared" ref="P37:R37" si="11">P33+P28</f>
        <v>46</v>
      </c>
      <c r="Q37" s="72">
        <f t="shared" si="11"/>
        <v>27</v>
      </c>
      <c r="R37" s="72">
        <f t="shared" si="11"/>
        <v>0</v>
      </c>
      <c r="S37" s="72">
        <f t="shared" ref="S37" si="12">S33+S29+S30</f>
        <v>0</v>
      </c>
    </row>
    <row r="38" spans="3:23" x14ac:dyDescent="0.2">
      <c r="F38">
        <v>433</v>
      </c>
      <c r="J38" t="s">
        <v>128</v>
      </c>
      <c r="K38" s="72">
        <f>K26-K37</f>
        <v>6.95</v>
      </c>
      <c r="L38" s="72">
        <f t="shared" ref="L38:N38" si="13">L26-L37</f>
        <v>10.85</v>
      </c>
      <c r="M38" s="72">
        <f t="shared" si="13"/>
        <v>65.26666666666668</v>
      </c>
      <c r="N38" s="72">
        <f t="shared" si="13"/>
        <v>46.5</v>
      </c>
      <c r="O38" s="72">
        <f t="shared" ref="O38" si="14">O26-O37</f>
        <v>9.1749999999999972</v>
      </c>
      <c r="P38" s="72">
        <v>15</v>
      </c>
      <c r="Q38" s="72">
        <v>11</v>
      </c>
      <c r="R38" s="72">
        <v>11</v>
      </c>
      <c r="S38" s="72">
        <v>11</v>
      </c>
      <c r="T38" s="72">
        <v>11</v>
      </c>
      <c r="U38" s="72">
        <v>11</v>
      </c>
      <c r="V38" s="72">
        <v>11</v>
      </c>
      <c r="W38" s="72">
        <v>11</v>
      </c>
    </row>
    <row r="40" spans="3:23" x14ac:dyDescent="0.2">
      <c r="O40" s="72"/>
      <c r="P40" s="72"/>
      <c r="Q40" s="72"/>
      <c r="R40" s="72"/>
      <c r="S40" s="72"/>
    </row>
    <row r="42" spans="3:23" x14ac:dyDescent="0.2">
      <c r="O42" t="s">
        <v>364</v>
      </c>
    </row>
    <row r="43" spans="3:23" x14ac:dyDescent="0.2">
      <c r="N43" s="82" t="s">
        <v>143</v>
      </c>
      <c r="O43" s="72">
        <v>15</v>
      </c>
    </row>
    <row r="44" spans="3:23" x14ac:dyDescent="0.2">
      <c r="N44" s="82" t="s">
        <v>142</v>
      </c>
      <c r="O44" s="72">
        <v>10</v>
      </c>
    </row>
    <row r="45" spans="3:23" x14ac:dyDescent="0.2">
      <c r="N45" s="82" t="s">
        <v>141</v>
      </c>
      <c r="O45" s="72">
        <v>5</v>
      </c>
    </row>
    <row r="46" spans="3:23" x14ac:dyDescent="0.2">
      <c r="N46" s="35" t="s">
        <v>139</v>
      </c>
      <c r="O46" s="72">
        <v>2</v>
      </c>
    </row>
    <row r="47" spans="3:23" x14ac:dyDescent="0.2">
      <c r="N47" s="316" t="s">
        <v>252</v>
      </c>
      <c r="O47">
        <v>32</v>
      </c>
    </row>
    <row r="48" spans="3:23" x14ac:dyDescent="0.2">
      <c r="N48" t="s">
        <v>253</v>
      </c>
      <c r="O48">
        <v>36.75</v>
      </c>
    </row>
    <row r="49" spans="14:15" x14ac:dyDescent="0.2">
      <c r="N49" t="s">
        <v>144</v>
      </c>
      <c r="O49">
        <v>47</v>
      </c>
    </row>
    <row r="50" spans="14:15" x14ac:dyDescent="0.2">
      <c r="N50" t="s">
        <v>128</v>
      </c>
      <c r="O50">
        <v>21.75</v>
      </c>
    </row>
  </sheetData>
  <mergeCells count="13">
    <mergeCell ref="A2:J2"/>
    <mergeCell ref="A3:J3"/>
    <mergeCell ref="A4:J4"/>
    <mergeCell ref="C5:J5"/>
    <mergeCell ref="L5:N5"/>
    <mergeCell ref="K4:N4"/>
    <mergeCell ref="O22:R22"/>
    <mergeCell ref="S22:V22"/>
    <mergeCell ref="I28:I31"/>
    <mergeCell ref="I33:I34"/>
    <mergeCell ref="C6:J6"/>
    <mergeCell ref="K23:N23"/>
    <mergeCell ref="K22:N2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A2277-50A8-4EC7-9AFE-96BB2900F5B9}">
  <dimension ref="A1:T55"/>
  <sheetViews>
    <sheetView workbookViewId="0">
      <selection activeCell="E21" sqref="E21"/>
    </sheetView>
  </sheetViews>
  <sheetFormatPr baseColWidth="10" defaultColWidth="8.83203125" defaultRowHeight="15" x14ac:dyDescent="0.2"/>
  <sheetData>
    <row r="1" spans="1:18" x14ac:dyDescent="0.2">
      <c r="A1" t="s">
        <v>84</v>
      </c>
    </row>
    <row r="2" spans="1:18" x14ac:dyDescent="0.2">
      <c r="A2" t="s">
        <v>85</v>
      </c>
    </row>
    <row r="4" spans="1:18" x14ac:dyDescent="0.2">
      <c r="A4" s="36" t="s">
        <v>93</v>
      </c>
      <c r="B4" s="36"/>
      <c r="C4" s="36"/>
      <c r="D4" s="36"/>
      <c r="E4" s="37" t="s">
        <v>34</v>
      </c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18" t="s">
        <v>35</v>
      </c>
      <c r="R4" s="18" t="s">
        <v>35</v>
      </c>
    </row>
    <row r="5" spans="1:18" x14ac:dyDescent="0.2">
      <c r="A5" s="39"/>
      <c r="B5" s="39"/>
      <c r="C5" s="39"/>
      <c r="D5" s="40"/>
      <c r="E5" s="22">
        <v>2019</v>
      </c>
      <c r="F5" s="22">
        <v>2020</v>
      </c>
      <c r="G5" s="22">
        <v>2021</v>
      </c>
      <c r="H5" s="22">
        <v>2022</v>
      </c>
      <c r="I5" s="22">
        <v>2023</v>
      </c>
      <c r="J5" s="22">
        <v>2024</v>
      </c>
      <c r="K5" s="22">
        <v>2025</v>
      </c>
      <c r="L5" s="22">
        <v>2026</v>
      </c>
      <c r="M5" s="22">
        <v>2027</v>
      </c>
      <c r="N5" s="22">
        <v>2028</v>
      </c>
      <c r="O5" s="22">
        <v>2029</v>
      </c>
      <c r="P5" s="22">
        <v>2030</v>
      </c>
      <c r="Q5" s="22">
        <v>2025</v>
      </c>
      <c r="R5" s="22">
        <v>2030</v>
      </c>
    </row>
    <row r="6" spans="1:18" x14ac:dyDescent="0.2">
      <c r="A6" s="41"/>
      <c r="B6" s="41"/>
      <c r="C6" s="41"/>
      <c r="D6" s="41"/>
      <c r="E6" s="389" t="s">
        <v>86</v>
      </c>
      <c r="F6" s="389"/>
      <c r="G6" s="389"/>
      <c r="H6" s="389"/>
      <c r="I6" s="389"/>
      <c r="J6" s="389"/>
      <c r="K6" s="389"/>
      <c r="L6" s="389"/>
      <c r="M6" s="389"/>
      <c r="N6" s="389"/>
      <c r="O6" s="389"/>
      <c r="P6" s="389"/>
      <c r="Q6" s="389"/>
      <c r="R6" s="389"/>
    </row>
    <row r="7" spans="1:18" x14ac:dyDescent="0.2">
      <c r="A7" s="388" t="s">
        <v>87</v>
      </c>
      <c r="B7" s="388"/>
      <c r="C7" s="388"/>
      <c r="D7" s="388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</row>
    <row r="8" spans="1:18" x14ac:dyDescent="0.2">
      <c r="A8" s="36"/>
      <c r="B8" s="388" t="s">
        <v>88</v>
      </c>
      <c r="C8" s="388"/>
      <c r="D8" s="388"/>
      <c r="E8" s="42">
        <v>1717.857</v>
      </c>
      <c r="F8" s="42">
        <v>1533.181</v>
      </c>
      <c r="G8" s="42">
        <v>1571.079</v>
      </c>
      <c r="H8" s="42">
        <v>1820.96</v>
      </c>
      <c r="I8" s="42">
        <v>1912.7429999999999</v>
      </c>
      <c r="J8" s="42">
        <v>1981.9649999999999</v>
      </c>
      <c r="K8" s="42">
        <v>2089.1390000000001</v>
      </c>
      <c r="L8" s="42">
        <v>2333.9029999999998</v>
      </c>
      <c r="M8" s="42">
        <v>2568.991</v>
      </c>
      <c r="N8" s="42">
        <v>2676.59</v>
      </c>
      <c r="O8" s="42">
        <v>2791.902</v>
      </c>
      <c r="P8" s="42">
        <v>2906.4380000000001</v>
      </c>
      <c r="Q8" s="42">
        <v>9375.8860000000004</v>
      </c>
      <c r="R8" s="42">
        <v>22653.71</v>
      </c>
    </row>
    <row r="9" spans="1:18" x14ac:dyDescent="0.2">
      <c r="A9" s="36"/>
      <c r="B9" s="388" t="s">
        <v>89</v>
      </c>
      <c r="C9" s="388"/>
      <c r="D9" s="388"/>
      <c r="E9" s="42">
        <v>1243.3720000000001</v>
      </c>
      <c r="F9" s="42">
        <v>1313.463</v>
      </c>
      <c r="G9" s="42">
        <v>1245.848</v>
      </c>
      <c r="H9" s="42">
        <v>1334.6990000000001</v>
      </c>
      <c r="I9" s="42">
        <v>1412.018</v>
      </c>
      <c r="J9" s="42">
        <v>1462.884</v>
      </c>
      <c r="K9" s="42">
        <v>1507.4</v>
      </c>
      <c r="L9" s="42">
        <v>1567.104</v>
      </c>
      <c r="M9" s="42">
        <v>1627.4010000000001</v>
      </c>
      <c r="N9" s="42">
        <v>1689.1659999999999</v>
      </c>
      <c r="O9" s="42">
        <v>1750.2249999999999</v>
      </c>
      <c r="P9" s="42">
        <v>1809.9739999999999</v>
      </c>
      <c r="Q9" s="42">
        <v>6962.8490000000002</v>
      </c>
      <c r="R9" s="42">
        <v>15406.718999999999</v>
      </c>
    </row>
    <row r="10" spans="1:18" x14ac:dyDescent="0.2">
      <c r="A10" s="36"/>
      <c r="B10" s="388" t="s">
        <v>90</v>
      </c>
      <c r="C10" s="388"/>
      <c r="D10" s="388"/>
      <c r="E10" s="42">
        <v>230.245</v>
      </c>
      <c r="F10" s="42">
        <v>151.084</v>
      </c>
      <c r="G10" s="42">
        <v>122.754</v>
      </c>
      <c r="H10" s="42">
        <v>234.07599999999999</v>
      </c>
      <c r="I10" s="42">
        <v>289.27600000000001</v>
      </c>
      <c r="J10" s="42">
        <v>318.899</v>
      </c>
      <c r="K10" s="42">
        <v>347.32900000000001</v>
      </c>
      <c r="L10" s="42">
        <v>352.27699999999999</v>
      </c>
      <c r="M10" s="42">
        <v>355.589</v>
      </c>
      <c r="N10" s="42">
        <v>368.08600000000001</v>
      </c>
      <c r="O10" s="42">
        <v>377.565</v>
      </c>
      <c r="P10" s="42">
        <v>386.58199999999999</v>
      </c>
      <c r="Q10" s="42">
        <v>1312.3340000000001</v>
      </c>
      <c r="R10" s="42">
        <v>3152.433</v>
      </c>
    </row>
    <row r="11" spans="1:18" x14ac:dyDescent="0.2">
      <c r="A11" s="36"/>
      <c r="B11" s="388" t="s">
        <v>57</v>
      </c>
      <c r="C11" s="388"/>
      <c r="D11" s="388"/>
      <c r="E11" s="42">
        <v>271.327</v>
      </c>
      <c r="F11" s="42">
        <v>297.779</v>
      </c>
      <c r="G11" s="42">
        <v>316.37700000000001</v>
      </c>
      <c r="H11" s="42">
        <v>349.38600000000002</v>
      </c>
      <c r="I11" s="42">
        <v>366.04599999999999</v>
      </c>
      <c r="J11" s="42">
        <v>381.91</v>
      </c>
      <c r="K11" s="42">
        <v>390.11799999999999</v>
      </c>
      <c r="L11" s="42">
        <v>402.255</v>
      </c>
      <c r="M11" s="42">
        <v>400.24299999999999</v>
      </c>
      <c r="N11" s="42">
        <v>388.892</v>
      </c>
      <c r="O11" s="42">
        <v>375.959</v>
      </c>
      <c r="P11" s="42">
        <v>354.14499999999998</v>
      </c>
      <c r="Q11" s="42">
        <v>1803.837</v>
      </c>
      <c r="R11" s="42">
        <v>3725.3310000000001</v>
      </c>
    </row>
    <row r="12" spans="1:18" x14ac:dyDescent="0.2">
      <c r="A12" s="36"/>
      <c r="B12" s="36"/>
      <c r="C12" s="36"/>
      <c r="D12" s="36"/>
      <c r="E12" s="43" t="s">
        <v>39</v>
      </c>
      <c r="F12" s="43" t="s">
        <v>39</v>
      </c>
      <c r="G12" s="43" t="s">
        <v>39</v>
      </c>
      <c r="H12" s="43" t="s">
        <v>39</v>
      </c>
      <c r="I12" s="43" t="s">
        <v>39</v>
      </c>
      <c r="J12" s="43" t="s">
        <v>39</v>
      </c>
      <c r="K12" s="43" t="s">
        <v>39</v>
      </c>
      <c r="L12" s="43" t="s">
        <v>39</v>
      </c>
      <c r="M12" s="43" t="s">
        <v>39</v>
      </c>
      <c r="N12" s="43" t="s">
        <v>39</v>
      </c>
      <c r="O12" s="43" t="s">
        <v>39</v>
      </c>
      <c r="P12" s="43" t="s">
        <v>39</v>
      </c>
      <c r="Q12" s="43" t="s">
        <v>39</v>
      </c>
      <c r="R12" s="43" t="s">
        <v>39</v>
      </c>
    </row>
    <row r="13" spans="1:18" x14ac:dyDescent="0.2">
      <c r="A13" s="36"/>
      <c r="B13" s="36"/>
      <c r="C13" s="388" t="s">
        <v>33</v>
      </c>
      <c r="D13" s="388"/>
      <c r="E13" s="42">
        <v>3462.8009999999999</v>
      </c>
      <c r="F13" s="42">
        <v>3295.5070000000001</v>
      </c>
      <c r="G13" s="42">
        <v>3256.058</v>
      </c>
      <c r="H13" s="42">
        <v>3739.1210000000001</v>
      </c>
      <c r="I13" s="42">
        <v>3980.0830000000001</v>
      </c>
      <c r="J13" s="42">
        <v>4145.6580000000004</v>
      </c>
      <c r="K13" s="42">
        <v>4333.9859999999999</v>
      </c>
      <c r="L13" s="42">
        <v>4655.5389999999998</v>
      </c>
      <c r="M13" s="42">
        <v>4952.2240000000002</v>
      </c>
      <c r="N13" s="42">
        <v>5122.7340000000004</v>
      </c>
      <c r="O13" s="42">
        <v>5295.6509999999998</v>
      </c>
      <c r="P13" s="42">
        <v>5457.1390000000001</v>
      </c>
      <c r="Q13" s="42">
        <v>19454.905999999999</v>
      </c>
      <c r="R13" s="42">
        <v>44938.192999999999</v>
      </c>
    </row>
    <row r="14" spans="1:18" x14ac:dyDescent="0.2">
      <c r="A14" s="36"/>
      <c r="B14" s="36"/>
      <c r="C14" s="36"/>
      <c r="D14" s="36" t="s">
        <v>91</v>
      </c>
      <c r="E14" s="42">
        <v>2548.498</v>
      </c>
      <c r="F14" s="42">
        <v>2330.0810000000001</v>
      </c>
      <c r="G14" s="42">
        <v>2357.7620000000002</v>
      </c>
      <c r="H14" s="42">
        <v>2808.799</v>
      </c>
      <c r="I14" s="42">
        <v>2983.1750000000002</v>
      </c>
      <c r="J14" s="42">
        <v>3105.2530000000002</v>
      </c>
      <c r="K14" s="42">
        <v>3248.6930000000002</v>
      </c>
      <c r="L14" s="42">
        <v>3522.8409999999999</v>
      </c>
      <c r="M14" s="42">
        <v>3770.317</v>
      </c>
      <c r="N14" s="42">
        <v>3891.6170000000002</v>
      </c>
      <c r="O14" s="42">
        <v>4017.2150000000001</v>
      </c>
      <c r="P14" s="42">
        <v>4131.652</v>
      </c>
      <c r="Q14" s="42">
        <v>14503.682000000001</v>
      </c>
      <c r="R14" s="42">
        <v>33837.324000000001</v>
      </c>
    </row>
    <row r="15" spans="1:18" ht="16" x14ac:dyDescent="0.2">
      <c r="A15" s="36"/>
      <c r="B15" s="36"/>
      <c r="C15" s="36"/>
      <c r="D15" s="36" t="s">
        <v>92</v>
      </c>
      <c r="E15" s="42">
        <v>914.303</v>
      </c>
      <c r="F15" s="42">
        <v>965.42600000000004</v>
      </c>
      <c r="G15" s="42">
        <v>898.29600000000005</v>
      </c>
      <c r="H15" s="42">
        <v>930.322</v>
      </c>
      <c r="I15" s="42">
        <v>996.90800000000002</v>
      </c>
      <c r="J15" s="42">
        <v>1040.405</v>
      </c>
      <c r="K15" s="42">
        <v>1085.2929999999999</v>
      </c>
      <c r="L15" s="42">
        <v>1132.6980000000001</v>
      </c>
      <c r="M15" s="42">
        <v>1181.9069999999999</v>
      </c>
      <c r="N15" s="42">
        <v>1231.117</v>
      </c>
      <c r="O15" s="42">
        <v>1278.4359999999999</v>
      </c>
      <c r="P15" s="42">
        <v>1325.4870000000001</v>
      </c>
      <c r="Q15" s="42">
        <v>4951.2240000000002</v>
      </c>
      <c r="R15" s="42">
        <v>11100.869000000001</v>
      </c>
    </row>
    <row r="17" spans="1:20" x14ac:dyDescent="0.2">
      <c r="A17" t="s">
        <v>102</v>
      </c>
    </row>
    <row r="19" spans="1:20" x14ac:dyDescent="0.2">
      <c r="A19" s="36"/>
      <c r="B19" s="388" t="s">
        <v>88</v>
      </c>
      <c r="C19" s="388"/>
      <c r="D19" s="388"/>
      <c r="E19" s="42">
        <v>1717.857</v>
      </c>
      <c r="F19" s="42">
        <f>F8-F39-F50</f>
        <v>1680.13</v>
      </c>
      <c r="G19" s="42">
        <f t="shared" ref="G19:R19" si="0">G8-G39-G50</f>
        <v>1709.366</v>
      </c>
      <c r="H19" s="42">
        <f t="shared" si="0"/>
        <v>1795.097</v>
      </c>
      <c r="I19" s="42">
        <f t="shared" si="0"/>
        <v>1908.4369999999999</v>
      </c>
      <c r="J19" s="42">
        <f t="shared" si="0"/>
        <v>2002.6479999999999</v>
      </c>
      <c r="K19" s="42">
        <f t="shared" si="0"/>
        <v>2105.8620000000001</v>
      </c>
      <c r="L19" s="42">
        <f t="shared" si="0"/>
        <v>2343.3269999999998</v>
      </c>
      <c r="M19" s="42">
        <f t="shared" si="0"/>
        <v>2583.9690000000001</v>
      </c>
      <c r="N19" s="42">
        <f t="shared" si="0"/>
        <v>2690.0340000000001</v>
      </c>
      <c r="O19" s="42">
        <f t="shared" si="0"/>
        <v>2805.2579999999998</v>
      </c>
      <c r="P19" s="42">
        <f t="shared" si="0"/>
        <v>2919.2780000000002</v>
      </c>
      <c r="Q19" s="42">
        <f t="shared" si="0"/>
        <v>9521.41</v>
      </c>
      <c r="R19" s="42">
        <f t="shared" si="0"/>
        <v>22863.275999999998</v>
      </c>
    </row>
    <row r="20" spans="1:20" x14ac:dyDescent="0.2">
      <c r="A20" s="36"/>
      <c r="B20" s="388" t="s">
        <v>89</v>
      </c>
      <c r="C20" s="388"/>
      <c r="D20" s="388"/>
      <c r="E20" s="42">
        <v>1243.3720000000001</v>
      </c>
      <c r="F20" s="42">
        <f>F9-F41-F52</f>
        <v>1213.471</v>
      </c>
      <c r="G20" s="42">
        <f>G9-G41-G52</f>
        <v>1280.6189999999999</v>
      </c>
      <c r="H20" s="42">
        <f>H9-H41-H52</f>
        <v>1359.354</v>
      </c>
      <c r="I20" s="42">
        <f>I9-I41-I52</f>
        <v>1409.212</v>
      </c>
      <c r="J20" s="42">
        <f>J9-J41-J52</f>
        <v>1460.943</v>
      </c>
      <c r="K20" s="42">
        <f t="shared" ref="K20:R20" si="1">K9-K41-K52</f>
        <v>1513.7830000000001</v>
      </c>
      <c r="L20" s="42">
        <f t="shared" si="1"/>
        <v>1575.3409999999999</v>
      </c>
      <c r="M20" s="42">
        <f t="shared" si="1"/>
        <v>1637.6590000000001</v>
      </c>
      <c r="N20" s="42">
        <f t="shared" si="1"/>
        <v>1699.8210000000001</v>
      </c>
      <c r="O20" s="42">
        <f t="shared" si="1"/>
        <v>1760.4639999999999</v>
      </c>
      <c r="P20" s="42">
        <f t="shared" si="1"/>
        <v>1823.6389999999999</v>
      </c>
      <c r="Q20" s="42">
        <f t="shared" si="1"/>
        <v>7023.9110000000001</v>
      </c>
      <c r="R20" s="42">
        <f t="shared" si="1"/>
        <v>15520.834999999999</v>
      </c>
      <c r="S20" s="42"/>
    </row>
    <row r="21" spans="1:20" x14ac:dyDescent="0.2">
      <c r="A21" s="36"/>
      <c r="B21" s="388" t="s">
        <v>90</v>
      </c>
      <c r="C21" s="388"/>
      <c r="D21" s="388"/>
      <c r="E21" s="42">
        <v>230.245</v>
      </c>
      <c r="F21" s="42">
        <f>F10-F40-F51</f>
        <v>203.75</v>
      </c>
      <c r="G21" s="42">
        <f t="shared" ref="G21:R21" si="2">G10-G40-G51</f>
        <v>210.79400000000001</v>
      </c>
      <c r="H21" s="42">
        <f t="shared" si="2"/>
        <v>249.709</v>
      </c>
      <c r="I21" s="42">
        <f t="shared" si="2"/>
        <v>297.50200000000001</v>
      </c>
      <c r="J21" s="42">
        <f t="shared" si="2"/>
        <v>328.74699999999996</v>
      </c>
      <c r="K21" s="42">
        <f t="shared" si="2"/>
        <v>356.61099999999999</v>
      </c>
      <c r="L21" s="42">
        <f t="shared" si="2"/>
        <v>360.68200000000002</v>
      </c>
      <c r="M21" s="42">
        <f t="shared" si="2"/>
        <v>362.90500000000003</v>
      </c>
      <c r="N21" s="42">
        <f t="shared" si="2"/>
        <v>374.08000000000004</v>
      </c>
      <c r="O21" s="42">
        <f t="shared" si="2"/>
        <v>382.767</v>
      </c>
      <c r="P21" s="42">
        <f t="shared" si="2"/>
        <v>391.15299999999996</v>
      </c>
      <c r="Q21" s="42">
        <f t="shared" si="2"/>
        <v>1443.3630000000001</v>
      </c>
      <c r="R21" s="42">
        <f t="shared" si="2"/>
        <v>3314.95</v>
      </c>
    </row>
    <row r="22" spans="1:20" x14ac:dyDescent="0.2">
      <c r="A22" s="36"/>
      <c r="B22" s="388" t="s">
        <v>57</v>
      </c>
      <c r="C22" s="388"/>
      <c r="D22" s="388"/>
      <c r="E22" s="42">
        <v>271.327</v>
      </c>
      <c r="F22" s="42">
        <f t="shared" ref="F22:R22" si="3">F11-F42-F53</f>
        <v>311.45299999999997</v>
      </c>
      <c r="G22" s="42">
        <f t="shared" si="3"/>
        <v>328.09700000000004</v>
      </c>
      <c r="H22" s="42">
        <f t="shared" si="3"/>
        <v>357.02100000000002</v>
      </c>
      <c r="I22" s="42">
        <f t="shared" si="3"/>
        <v>373.58100000000002</v>
      </c>
      <c r="J22" s="42">
        <f t="shared" si="3"/>
        <v>386.29400000000004</v>
      </c>
      <c r="K22" s="42">
        <f t="shared" si="3"/>
        <v>398.26</v>
      </c>
      <c r="L22" s="42">
        <f t="shared" si="3"/>
        <v>411.36699999999996</v>
      </c>
      <c r="M22" s="42">
        <f t="shared" si="3"/>
        <v>410.86099999999999</v>
      </c>
      <c r="N22" s="42">
        <f t="shared" si="3"/>
        <v>401.00700000000001</v>
      </c>
      <c r="O22" s="42">
        <f t="shared" si="3"/>
        <v>390.49</v>
      </c>
      <c r="P22" s="42">
        <f t="shared" si="3"/>
        <v>364.04300000000001</v>
      </c>
      <c r="Q22" s="42">
        <f t="shared" si="3"/>
        <v>1843.2529999999999</v>
      </c>
      <c r="R22" s="42">
        <f t="shared" si="3"/>
        <v>3821.0209999999997</v>
      </c>
    </row>
    <row r="23" spans="1:20" x14ac:dyDescent="0.2">
      <c r="A23" s="36"/>
      <c r="B23" s="36"/>
      <c r="C23" s="36"/>
      <c r="D23" s="36"/>
      <c r="E23" s="43" t="s">
        <v>39</v>
      </c>
      <c r="F23" s="43" t="s">
        <v>39</v>
      </c>
      <c r="G23" s="43" t="s">
        <v>39</v>
      </c>
      <c r="H23" s="43" t="s">
        <v>39</v>
      </c>
      <c r="I23" s="43" t="s">
        <v>39</v>
      </c>
      <c r="J23" s="43" t="s">
        <v>39</v>
      </c>
      <c r="K23" s="43" t="s">
        <v>39</v>
      </c>
      <c r="L23" s="43" t="s">
        <v>39</v>
      </c>
      <c r="M23" s="43" t="s">
        <v>39</v>
      </c>
      <c r="N23" s="43" t="s">
        <v>39</v>
      </c>
      <c r="O23" s="43" t="s">
        <v>39</v>
      </c>
      <c r="P23" s="43" t="s">
        <v>39</v>
      </c>
      <c r="Q23" s="43" t="s">
        <v>39</v>
      </c>
      <c r="R23" s="43" t="s">
        <v>39</v>
      </c>
    </row>
    <row r="27" spans="1:20" x14ac:dyDescent="0.2">
      <c r="A27" s="24"/>
      <c r="B27" s="10"/>
      <c r="C27" s="24"/>
      <c r="D27" s="24"/>
      <c r="E27" s="24"/>
      <c r="F27" s="24"/>
      <c r="G27" s="24"/>
      <c r="H27" s="390" t="s">
        <v>94</v>
      </c>
      <c r="I27" s="390"/>
      <c r="J27" s="390"/>
      <c r="K27" s="390"/>
      <c r="L27" s="390"/>
      <c r="M27" s="390"/>
      <c r="N27" s="390"/>
      <c r="O27" s="390"/>
      <c r="P27" s="390"/>
      <c r="Q27" s="390"/>
      <c r="R27" s="390"/>
      <c r="S27" s="390"/>
      <c r="T27" s="390"/>
    </row>
    <row r="28" spans="1:20" x14ac:dyDescent="0.2">
      <c r="A28" s="24" t="s">
        <v>95</v>
      </c>
      <c r="B28" s="10"/>
      <c r="C28" s="24"/>
      <c r="D28" s="24"/>
      <c r="E28" s="24"/>
      <c r="F28" s="24"/>
      <c r="G28" s="24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</row>
    <row r="29" spans="1:20" x14ac:dyDescent="0.2">
      <c r="A29" s="24"/>
      <c r="B29" s="10" t="s">
        <v>88</v>
      </c>
      <c r="C29" s="24"/>
      <c r="D29" s="24"/>
      <c r="E29" s="24"/>
      <c r="F29" s="26">
        <v>-111.265</v>
      </c>
      <c r="G29" s="26">
        <v>-194.99700000000001</v>
      </c>
      <c r="H29" s="26">
        <v>-200.69</v>
      </c>
      <c r="I29" s="26">
        <v>-187.191</v>
      </c>
      <c r="J29" s="26">
        <v>-175.74199999999999</v>
      </c>
      <c r="K29" s="26">
        <v>-160.589</v>
      </c>
      <c r="L29" s="26">
        <v>-140.24600000000001</v>
      </c>
      <c r="M29" s="26">
        <v>-124.735</v>
      </c>
      <c r="N29" s="26">
        <v>-118.693</v>
      </c>
      <c r="O29" s="26">
        <v>-121.679</v>
      </c>
      <c r="P29" s="26">
        <v>-126.747</v>
      </c>
      <c r="Q29" s="26">
        <v>-919.20899999999995</v>
      </c>
      <c r="R29" s="26">
        <v>-1551.309</v>
      </c>
    </row>
    <row r="30" spans="1:20" x14ac:dyDescent="0.2">
      <c r="A30" s="24"/>
      <c r="B30" s="10" t="s">
        <v>89</v>
      </c>
      <c r="C30" s="24"/>
      <c r="D30" s="24"/>
      <c r="E30" s="24"/>
      <c r="F30" s="26">
        <v>-88.86</v>
      </c>
      <c r="G30" s="26">
        <v>-75.733000000000004</v>
      </c>
      <c r="H30" s="26">
        <v>-49.185000000000002</v>
      </c>
      <c r="I30" s="26">
        <v>-54.503</v>
      </c>
      <c r="J30" s="26">
        <v>-62.215000000000003</v>
      </c>
      <c r="K30" s="26">
        <v>-69.822000000000003</v>
      </c>
      <c r="L30" s="26">
        <v>-67.025000000000006</v>
      </c>
      <c r="M30" s="26">
        <v>-65.760999999999996</v>
      </c>
      <c r="N30" s="26">
        <v>-67.971999999999994</v>
      </c>
      <c r="O30" s="26">
        <v>-71.534999999999997</v>
      </c>
      <c r="P30" s="26">
        <v>-72.603999999999999</v>
      </c>
      <c r="Q30" s="26">
        <v>-311.45800000000003</v>
      </c>
      <c r="R30" s="26">
        <v>-656.35500000000002</v>
      </c>
    </row>
    <row r="31" spans="1:20" x14ac:dyDescent="0.2">
      <c r="A31" s="24"/>
      <c r="B31" s="10" t="s">
        <v>90</v>
      </c>
      <c r="C31" s="24"/>
      <c r="D31" s="24"/>
      <c r="E31" s="24"/>
      <c r="F31" s="26">
        <v>-30.038</v>
      </c>
      <c r="G31" s="26">
        <v>-45.917999999999999</v>
      </c>
      <c r="H31" s="26">
        <v>-42.037999999999997</v>
      </c>
      <c r="I31" s="26">
        <v>-36.393000000000001</v>
      </c>
      <c r="J31" s="26">
        <v>-33.680999999999997</v>
      </c>
      <c r="K31" s="26">
        <v>-29.541</v>
      </c>
      <c r="L31" s="26">
        <v>-24.231000000000002</v>
      </c>
      <c r="M31" s="26">
        <v>-19.233000000000001</v>
      </c>
      <c r="N31" s="26">
        <v>-16.082999999999998</v>
      </c>
      <c r="O31" s="26">
        <v>-15.045</v>
      </c>
      <c r="P31" s="26">
        <v>-14.564</v>
      </c>
      <c r="Q31" s="26">
        <v>-187.571</v>
      </c>
      <c r="R31" s="26">
        <v>-276.72699999999998</v>
      </c>
    </row>
    <row r="32" spans="1:20" x14ac:dyDescent="0.2">
      <c r="A32" s="24"/>
      <c r="B32" s="10" t="s">
        <v>57</v>
      </c>
      <c r="C32" s="24"/>
      <c r="D32" s="24"/>
      <c r="E32" s="24"/>
      <c r="F32" s="26">
        <v>6.6820000000000004</v>
      </c>
      <c r="G32" s="26">
        <v>30.050999999999998</v>
      </c>
      <c r="H32" s="26">
        <v>52.707999999999998</v>
      </c>
      <c r="I32" s="26">
        <v>61.954000000000001</v>
      </c>
      <c r="J32" s="26">
        <v>68.875</v>
      </c>
      <c r="K32" s="26">
        <v>72.260999999999996</v>
      </c>
      <c r="L32" s="26">
        <v>71.623999999999995</v>
      </c>
      <c r="M32" s="26">
        <v>51.695999999999998</v>
      </c>
      <c r="N32" s="26">
        <v>26.245000000000001</v>
      </c>
      <c r="O32" s="26">
        <v>3.2320000000000002</v>
      </c>
      <c r="P32" s="26">
        <v>-31.146999999999998</v>
      </c>
      <c r="Q32" s="26">
        <v>285.84899999999999</v>
      </c>
      <c r="R32" s="26">
        <v>407.49900000000002</v>
      </c>
    </row>
    <row r="33" spans="1:18" ht="3" customHeight="1" x14ac:dyDescent="0.2">
      <c r="A33" s="24"/>
      <c r="B33" s="10"/>
      <c r="C33" s="24"/>
      <c r="D33" s="24"/>
      <c r="E33" s="24"/>
      <c r="F33" s="26" t="s">
        <v>96</v>
      </c>
      <c r="G33" s="26" t="s">
        <v>96</v>
      </c>
      <c r="H33" s="26" t="s">
        <v>96</v>
      </c>
      <c r="I33" s="26" t="s">
        <v>96</v>
      </c>
      <c r="J33" s="26" t="s">
        <v>96</v>
      </c>
      <c r="K33" s="26" t="s">
        <v>96</v>
      </c>
      <c r="L33" s="26" t="s">
        <v>96</v>
      </c>
      <c r="M33" s="26" t="s">
        <v>96</v>
      </c>
      <c r="N33" s="26" t="s">
        <v>96</v>
      </c>
      <c r="O33" s="26" t="s">
        <v>96</v>
      </c>
      <c r="P33" s="26"/>
      <c r="Q33" s="26" t="s">
        <v>96</v>
      </c>
      <c r="R33" s="26" t="s">
        <v>96</v>
      </c>
    </row>
    <row r="34" spans="1:18" x14ac:dyDescent="0.2">
      <c r="A34" s="24"/>
      <c r="B34" s="10"/>
      <c r="C34" s="24"/>
      <c r="D34" s="24" t="s">
        <v>97</v>
      </c>
      <c r="E34" s="24"/>
      <c r="F34" s="26">
        <v>-223.48099999999999</v>
      </c>
      <c r="G34" s="26">
        <v>-286.59699999999998</v>
      </c>
      <c r="H34" s="26">
        <v>-239.20500000000001</v>
      </c>
      <c r="I34" s="26">
        <v>-216.13300000000001</v>
      </c>
      <c r="J34" s="26">
        <v>-202.76300000000001</v>
      </c>
      <c r="K34" s="26">
        <v>-187.691</v>
      </c>
      <c r="L34" s="26">
        <v>-159.87799999999999</v>
      </c>
      <c r="M34" s="26">
        <v>-158.03299999999999</v>
      </c>
      <c r="N34" s="26">
        <v>-176.50299999999999</v>
      </c>
      <c r="O34" s="26">
        <v>-205.02699999999999</v>
      </c>
      <c r="P34" s="26">
        <v>-245.06200000000001</v>
      </c>
      <c r="Q34" s="26">
        <v>-1132.3889999999999</v>
      </c>
      <c r="R34" s="26">
        <v>-2076.8919999999998</v>
      </c>
    </row>
    <row r="37" spans="1:18" x14ac:dyDescent="0.2">
      <c r="A37" s="10"/>
      <c r="B37" s="10"/>
      <c r="C37" s="10"/>
      <c r="D37" s="10"/>
      <c r="E37" s="10"/>
      <c r="F37" s="391" t="s">
        <v>98</v>
      </c>
      <c r="G37" s="391"/>
      <c r="H37" s="391"/>
      <c r="I37" s="391"/>
      <c r="J37" s="391"/>
      <c r="K37" s="391"/>
      <c r="L37" s="391"/>
      <c r="M37" s="391"/>
      <c r="N37" s="391"/>
      <c r="O37" s="391"/>
      <c r="P37" s="391"/>
      <c r="Q37" s="391"/>
      <c r="R37" s="391"/>
    </row>
    <row r="38" spans="1:18" ht="16" x14ac:dyDescent="0.2">
      <c r="A38" s="24" t="s">
        <v>99</v>
      </c>
      <c r="B38" s="10"/>
      <c r="C38" s="24"/>
      <c r="D38" s="24"/>
      <c r="E38" s="24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</row>
    <row r="39" spans="1:18" x14ac:dyDescent="0.2">
      <c r="A39" s="24"/>
      <c r="B39" s="10" t="s">
        <v>88</v>
      </c>
      <c r="C39" s="24"/>
      <c r="D39" s="24"/>
      <c r="E39" s="24"/>
      <c r="F39" s="26">
        <v>-462.17899999999997</v>
      </c>
      <c r="G39" s="26">
        <v>-256.19600000000003</v>
      </c>
      <c r="H39" s="26">
        <v>184.066</v>
      </c>
      <c r="I39" s="26">
        <v>179.33</v>
      </c>
      <c r="J39" s="26">
        <v>1.8979999999999999</v>
      </c>
      <c r="K39" s="26">
        <v>1.6779999999999999</v>
      </c>
      <c r="L39" s="26">
        <v>1.649</v>
      </c>
      <c r="M39" s="26">
        <v>0.93600000000000005</v>
      </c>
      <c r="N39" s="26">
        <v>0.57299999999999995</v>
      </c>
      <c r="O39" s="26">
        <v>0.14599999999999999</v>
      </c>
      <c r="P39" s="26">
        <v>0.114</v>
      </c>
      <c r="Q39" s="26">
        <v>110.776</v>
      </c>
      <c r="R39" s="26">
        <v>114.194</v>
      </c>
    </row>
    <row r="40" spans="1:18" x14ac:dyDescent="0.2">
      <c r="A40" s="24"/>
      <c r="B40" s="10" t="s">
        <v>90</v>
      </c>
      <c r="C40" s="24"/>
      <c r="D40" s="24"/>
      <c r="E40" s="24"/>
      <c r="F40" s="26">
        <v>-75.200999999999993</v>
      </c>
      <c r="G40" s="26">
        <v>-6.3540000000000001</v>
      </c>
      <c r="H40" s="26">
        <v>1.994</v>
      </c>
      <c r="I40" s="26">
        <v>2.8119999999999998</v>
      </c>
      <c r="J40" s="26">
        <v>7.3979999999999997</v>
      </c>
      <c r="K40" s="26">
        <v>11.17</v>
      </c>
      <c r="L40" s="26">
        <v>10.891999999999999</v>
      </c>
      <c r="M40" s="26">
        <v>7.2939999999999996</v>
      </c>
      <c r="N40" s="26">
        <v>5.0490000000000004</v>
      </c>
      <c r="O40" s="26">
        <v>2.097</v>
      </c>
      <c r="P40" s="26">
        <v>2.5640000000000001</v>
      </c>
      <c r="Q40" s="26">
        <v>17.02</v>
      </c>
      <c r="R40" s="26">
        <v>44.915999999999997</v>
      </c>
    </row>
    <row r="41" spans="1:18" x14ac:dyDescent="0.2">
      <c r="A41" s="24"/>
      <c r="B41" s="10" t="s">
        <v>89</v>
      </c>
      <c r="C41" s="24"/>
      <c r="D41" s="24"/>
      <c r="E41" s="24"/>
      <c r="F41" s="26">
        <v>2.758</v>
      </c>
      <c r="G41" s="26">
        <v>-0.17399999999999999</v>
      </c>
      <c r="H41" s="26">
        <v>-0.51200000000000001</v>
      </c>
      <c r="I41" s="26">
        <v>-0.58699999999999997</v>
      </c>
      <c r="J41" s="26">
        <v>-0.56100000000000005</v>
      </c>
      <c r="K41" s="26">
        <v>-0.47199999999999998</v>
      </c>
      <c r="L41" s="26">
        <v>-0.44700000000000001</v>
      </c>
      <c r="M41" s="26">
        <v>-0.40100000000000002</v>
      </c>
      <c r="N41" s="26">
        <v>-0.39</v>
      </c>
      <c r="O41" s="26">
        <v>-0.40699999999999997</v>
      </c>
      <c r="P41" s="26">
        <v>-0.42599999999999999</v>
      </c>
      <c r="Q41" s="26">
        <v>-2.306</v>
      </c>
      <c r="R41" s="26">
        <v>-4.3769999999999998</v>
      </c>
    </row>
    <row r="42" spans="1:18" x14ac:dyDescent="0.2">
      <c r="A42" s="24"/>
      <c r="B42" s="10" t="s">
        <v>57</v>
      </c>
      <c r="C42" s="24"/>
      <c r="D42" s="24"/>
      <c r="E42" s="24"/>
      <c r="F42" s="26">
        <v>-3.9169999999999998</v>
      </c>
      <c r="G42" s="26">
        <v>-1.6120000000000001</v>
      </c>
      <c r="H42" s="26">
        <v>0</v>
      </c>
      <c r="I42" s="26">
        <v>0</v>
      </c>
      <c r="J42" s="26">
        <v>2E-3</v>
      </c>
      <c r="K42" s="26">
        <v>3.0000000000000001E-3</v>
      </c>
      <c r="L42" s="26">
        <v>4.0000000000000001E-3</v>
      </c>
      <c r="M42" s="26">
        <v>4.0000000000000001E-3</v>
      </c>
      <c r="N42" s="26">
        <v>5.0000000000000001E-3</v>
      </c>
      <c r="O42" s="26">
        <v>5.0000000000000001E-3</v>
      </c>
      <c r="P42" s="26">
        <v>5.0000000000000001E-3</v>
      </c>
      <c r="Q42" s="26">
        <v>-1.607</v>
      </c>
      <c r="R42" s="26">
        <v>-1.5840000000000001</v>
      </c>
    </row>
    <row r="43" spans="1:18" ht="3" customHeight="1" x14ac:dyDescent="0.2">
      <c r="A43" s="24"/>
      <c r="B43" s="10"/>
      <c r="C43" s="24"/>
      <c r="D43" s="24"/>
      <c r="E43" s="24"/>
      <c r="F43" s="26" t="s">
        <v>96</v>
      </c>
      <c r="G43" s="26" t="s">
        <v>96</v>
      </c>
      <c r="H43" s="26" t="s">
        <v>96</v>
      </c>
      <c r="I43" s="26" t="s">
        <v>96</v>
      </c>
      <c r="J43" s="26" t="s">
        <v>96</v>
      </c>
      <c r="K43" s="26" t="s">
        <v>96</v>
      </c>
      <c r="L43" s="26" t="s">
        <v>96</v>
      </c>
      <c r="M43" s="26" t="s">
        <v>96</v>
      </c>
      <c r="N43" s="26" t="s">
        <v>96</v>
      </c>
      <c r="O43" s="26" t="s">
        <v>96</v>
      </c>
      <c r="P43" s="26" t="s">
        <v>96</v>
      </c>
      <c r="Q43" s="26" t="s">
        <v>96</v>
      </c>
      <c r="R43" s="26" t="s">
        <v>96</v>
      </c>
    </row>
    <row r="44" spans="1:18" x14ac:dyDescent="0.2">
      <c r="A44" s="24"/>
      <c r="B44" s="10"/>
      <c r="C44" s="24" t="s">
        <v>97</v>
      </c>
      <c r="D44" s="24"/>
      <c r="E44" s="24"/>
      <c r="F44" s="26">
        <v>-538.53899999999999</v>
      </c>
      <c r="G44" s="26">
        <v>-264.33600000000001</v>
      </c>
      <c r="H44" s="26">
        <v>185.548</v>
      </c>
      <c r="I44" s="26">
        <v>181.55500000000001</v>
      </c>
      <c r="J44" s="26">
        <v>8.7370000000000001</v>
      </c>
      <c r="K44" s="26">
        <v>12.379</v>
      </c>
      <c r="L44" s="26">
        <v>12.098000000000001</v>
      </c>
      <c r="M44" s="26">
        <v>7.8330000000000002</v>
      </c>
      <c r="N44" s="26">
        <v>5.2370000000000001</v>
      </c>
      <c r="O44" s="26">
        <v>1.841</v>
      </c>
      <c r="P44" s="26">
        <v>2.2570000000000001</v>
      </c>
      <c r="Q44" s="26">
        <v>123.883</v>
      </c>
      <c r="R44" s="26">
        <v>153.149</v>
      </c>
    </row>
    <row r="48" spans="1:18" ht="12" customHeight="1" x14ac:dyDescent="0.2">
      <c r="A48" s="10"/>
      <c r="B48" s="24"/>
      <c r="C48" s="10"/>
      <c r="D48" s="10"/>
      <c r="E48" s="10"/>
      <c r="F48" s="390" t="s">
        <v>100</v>
      </c>
      <c r="G48" s="390"/>
      <c r="H48" s="390"/>
      <c r="I48" s="390"/>
      <c r="J48" s="390"/>
      <c r="K48" s="390"/>
      <c r="L48" s="390"/>
      <c r="M48" s="390"/>
      <c r="N48" s="390"/>
      <c r="O48" s="390"/>
      <c r="P48" s="390"/>
      <c r="Q48" s="390"/>
      <c r="R48" s="390"/>
    </row>
    <row r="49" spans="1:18" x14ac:dyDescent="0.2">
      <c r="A49" s="24" t="s">
        <v>95</v>
      </c>
      <c r="B49" s="10"/>
      <c r="C49" s="10"/>
      <c r="D49" s="10"/>
      <c r="E49" s="10"/>
      <c r="F49" s="26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</row>
    <row r="50" spans="1:18" x14ac:dyDescent="0.2">
      <c r="A50" s="24"/>
      <c r="B50" s="10" t="s">
        <v>88</v>
      </c>
      <c r="C50" s="10"/>
      <c r="D50" s="10"/>
      <c r="E50" s="10"/>
      <c r="F50" s="26">
        <v>315.23</v>
      </c>
      <c r="G50" s="26">
        <v>117.90900000000001</v>
      </c>
      <c r="H50" s="26">
        <v>-158.203</v>
      </c>
      <c r="I50" s="26">
        <v>-175.024</v>
      </c>
      <c r="J50" s="26">
        <v>-22.581</v>
      </c>
      <c r="K50" s="26">
        <v>-18.401</v>
      </c>
      <c r="L50" s="26">
        <v>-11.073</v>
      </c>
      <c r="M50" s="26">
        <v>-15.914</v>
      </c>
      <c r="N50" s="26">
        <v>-14.016999999999999</v>
      </c>
      <c r="O50" s="26">
        <v>-13.502000000000001</v>
      </c>
      <c r="P50" s="26">
        <v>-12.954000000000001</v>
      </c>
      <c r="Q50" s="26">
        <v>-256.3</v>
      </c>
      <c r="R50" s="26">
        <v>-323.76</v>
      </c>
    </row>
    <row r="51" spans="1:18" x14ac:dyDescent="0.2">
      <c r="A51" s="10"/>
      <c r="B51" s="10" t="s">
        <v>90</v>
      </c>
      <c r="C51" s="10"/>
      <c r="D51" s="10"/>
      <c r="E51" s="10"/>
      <c r="F51" s="26">
        <v>22.535</v>
      </c>
      <c r="G51" s="26">
        <v>-81.686000000000007</v>
      </c>
      <c r="H51" s="26">
        <v>-17.626999999999999</v>
      </c>
      <c r="I51" s="26">
        <v>-11.038</v>
      </c>
      <c r="J51" s="26">
        <v>-17.245999999999999</v>
      </c>
      <c r="K51" s="26">
        <v>-20.452000000000002</v>
      </c>
      <c r="L51" s="26">
        <v>-19.297000000000001</v>
      </c>
      <c r="M51" s="26">
        <v>-14.61</v>
      </c>
      <c r="N51" s="26">
        <v>-11.042999999999999</v>
      </c>
      <c r="O51" s="26">
        <v>-7.2990000000000004</v>
      </c>
      <c r="P51" s="26">
        <v>-7.1349999999999998</v>
      </c>
      <c r="Q51" s="26">
        <v>-148.04900000000001</v>
      </c>
      <c r="R51" s="26">
        <v>-207.43299999999999</v>
      </c>
    </row>
    <row r="52" spans="1:18" x14ac:dyDescent="0.2">
      <c r="A52" s="10"/>
      <c r="B52" s="10" t="s">
        <v>89</v>
      </c>
      <c r="C52" s="10"/>
      <c r="D52" s="10"/>
      <c r="E52" s="10"/>
      <c r="F52" s="26">
        <v>97.233999999999995</v>
      </c>
      <c r="G52" s="26">
        <v>-34.597000000000001</v>
      </c>
      <c r="H52" s="26">
        <v>-24.143000000000001</v>
      </c>
      <c r="I52" s="26">
        <v>3.3929999999999998</v>
      </c>
      <c r="J52" s="26">
        <v>2.5019999999999998</v>
      </c>
      <c r="K52" s="26">
        <v>-5.9109999999999996</v>
      </c>
      <c r="L52" s="26">
        <v>-7.79</v>
      </c>
      <c r="M52" s="26">
        <v>-9.8569999999999993</v>
      </c>
      <c r="N52" s="26">
        <v>-10.265000000000001</v>
      </c>
      <c r="O52" s="26">
        <v>-9.8320000000000007</v>
      </c>
      <c r="P52" s="26">
        <v>-13.239000000000001</v>
      </c>
      <c r="Q52" s="26">
        <v>-58.756</v>
      </c>
      <c r="R52" s="26">
        <v>-109.739</v>
      </c>
    </row>
    <row r="53" spans="1:18" x14ac:dyDescent="0.2">
      <c r="A53" s="10"/>
      <c r="B53" s="10" t="s">
        <v>57</v>
      </c>
      <c r="C53" s="10"/>
      <c r="D53" s="10"/>
      <c r="E53" s="10"/>
      <c r="F53" s="26">
        <v>-9.7569999999999997</v>
      </c>
      <c r="G53" s="26">
        <v>-10.108000000000001</v>
      </c>
      <c r="H53" s="26">
        <v>-7.6349999999999998</v>
      </c>
      <c r="I53" s="26">
        <v>-7.5350000000000001</v>
      </c>
      <c r="J53" s="26">
        <v>-4.3860000000000001</v>
      </c>
      <c r="K53" s="26">
        <v>-8.1449999999999996</v>
      </c>
      <c r="L53" s="26">
        <v>-9.1159999999999997</v>
      </c>
      <c r="M53" s="26">
        <v>-10.622</v>
      </c>
      <c r="N53" s="26">
        <v>-12.12</v>
      </c>
      <c r="O53" s="26">
        <v>-14.536</v>
      </c>
      <c r="P53" s="26">
        <v>-9.9030000000000005</v>
      </c>
      <c r="Q53" s="26">
        <v>-37.808999999999997</v>
      </c>
      <c r="R53" s="26">
        <v>-94.105999999999995</v>
      </c>
    </row>
    <row r="54" spans="1:18" ht="3" customHeight="1" x14ac:dyDescent="0.2">
      <c r="A54" s="10"/>
      <c r="B54" s="10"/>
      <c r="C54" s="10"/>
      <c r="D54" s="10"/>
      <c r="E54" s="10"/>
      <c r="F54" s="26" t="s">
        <v>96</v>
      </c>
      <c r="G54" s="26" t="s">
        <v>96</v>
      </c>
      <c r="H54" s="26" t="s">
        <v>96</v>
      </c>
      <c r="I54" s="26" t="s">
        <v>96</v>
      </c>
      <c r="J54" s="26" t="s">
        <v>96</v>
      </c>
      <c r="K54" s="26" t="s">
        <v>96</v>
      </c>
      <c r="L54" s="26" t="s">
        <v>96</v>
      </c>
      <c r="M54" s="26" t="s">
        <v>96</v>
      </c>
      <c r="N54" s="26" t="s">
        <v>96</v>
      </c>
      <c r="O54" s="26" t="s">
        <v>96</v>
      </c>
      <c r="P54" s="26" t="s">
        <v>96</v>
      </c>
      <c r="Q54" s="26" t="s">
        <v>96</v>
      </c>
      <c r="R54" s="26" t="s">
        <v>96</v>
      </c>
    </row>
    <row r="55" spans="1:18" x14ac:dyDescent="0.2">
      <c r="A55" s="10"/>
      <c r="B55" s="24"/>
      <c r="C55" s="10"/>
      <c r="D55" s="24" t="s">
        <v>97</v>
      </c>
      <c r="E55" s="10"/>
      <c r="F55" s="26">
        <v>425.24200000000002</v>
      </c>
      <c r="G55" s="26">
        <v>-8.4819999999999993</v>
      </c>
      <c r="H55" s="26">
        <v>-207.608</v>
      </c>
      <c r="I55" s="26">
        <v>-190.20400000000001</v>
      </c>
      <c r="J55" s="26">
        <v>-41.710999999999999</v>
      </c>
      <c r="K55" s="26">
        <v>-52.908999999999999</v>
      </c>
      <c r="L55" s="26">
        <v>-47.276000000000003</v>
      </c>
      <c r="M55" s="26">
        <v>-51.003</v>
      </c>
      <c r="N55" s="26">
        <v>-47.445</v>
      </c>
      <c r="O55" s="26">
        <v>-45.168999999999997</v>
      </c>
      <c r="P55" s="26">
        <v>-43.231000000000002</v>
      </c>
      <c r="Q55" s="26">
        <v>-500.91399999999999</v>
      </c>
      <c r="R55" s="26">
        <v>-735.03800000000001</v>
      </c>
    </row>
  </sheetData>
  <mergeCells count="14">
    <mergeCell ref="C13:D13"/>
    <mergeCell ref="H27:T27"/>
    <mergeCell ref="F37:R37"/>
    <mergeCell ref="F48:R48"/>
    <mergeCell ref="B19:D19"/>
    <mergeCell ref="B20:D20"/>
    <mergeCell ref="B21:D21"/>
    <mergeCell ref="B22:D22"/>
    <mergeCell ref="B11:D11"/>
    <mergeCell ref="E6:R6"/>
    <mergeCell ref="A7:D7"/>
    <mergeCell ref="B8:D8"/>
    <mergeCell ref="B9:D9"/>
    <mergeCell ref="B10:D10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B404F-448D-4E36-A88E-C07F48F0DCD8}">
  <dimension ref="A1:X91"/>
  <sheetViews>
    <sheetView topLeftCell="A6" workbookViewId="0">
      <pane ySplit="5" topLeftCell="A11" activePane="bottomLeft" state="frozen"/>
      <selection activeCell="A6" sqref="A6"/>
      <selection pane="bottomLeft" activeCell="J18" sqref="J18"/>
    </sheetView>
  </sheetViews>
  <sheetFormatPr baseColWidth="10" defaultColWidth="8.83203125" defaultRowHeight="15" x14ac:dyDescent="0.2"/>
  <sheetData>
    <row r="1" spans="1:19" s="6" customFormat="1" ht="15" customHeight="1" x14ac:dyDescent="0.15">
      <c r="A1" s="4" t="s">
        <v>29</v>
      </c>
      <c r="B1" s="5"/>
      <c r="C1" s="5"/>
      <c r="D1" s="5"/>
      <c r="E1" s="5"/>
    </row>
    <row r="2" spans="1:19" s="6" customFormat="1" ht="15" customHeight="1" x14ac:dyDescent="0.15">
      <c r="A2" s="7" t="s">
        <v>30</v>
      </c>
      <c r="B2" s="8"/>
      <c r="C2" s="8"/>
      <c r="D2" s="8"/>
      <c r="E2" s="8"/>
    </row>
    <row r="3" spans="1:19" s="6" customFormat="1" ht="15" customHeight="1" x14ac:dyDescent="0.15"/>
    <row r="4" spans="1:19" s="6" customFormat="1" ht="15" customHeight="1" x14ac:dyDescent="0.15"/>
    <row r="5" spans="1:19" s="6" customFormat="1" ht="30" customHeight="1" x14ac:dyDescent="0.15">
      <c r="A5" s="369" t="s">
        <v>31</v>
      </c>
      <c r="B5" s="370"/>
      <c r="C5" s="370"/>
      <c r="D5" s="370"/>
      <c r="E5" s="370"/>
      <c r="F5" s="370"/>
      <c r="G5" s="370"/>
      <c r="H5" s="370"/>
      <c r="I5" s="370"/>
      <c r="J5" s="370"/>
      <c r="K5" s="370"/>
      <c r="L5" s="370"/>
      <c r="M5" s="370"/>
      <c r="N5" s="370"/>
      <c r="O5" s="370"/>
      <c r="P5" s="370"/>
      <c r="Q5" s="370"/>
      <c r="R5" s="370"/>
      <c r="S5" s="370"/>
    </row>
    <row r="6" spans="1:19" s="6" customFormat="1" ht="15" customHeight="1" x14ac:dyDescent="0.15">
      <c r="A6" s="371" t="s">
        <v>32</v>
      </c>
      <c r="B6" s="371"/>
      <c r="C6" s="371"/>
      <c r="D6" s="371"/>
      <c r="E6" s="371"/>
      <c r="F6" s="371"/>
      <c r="G6" s="371"/>
      <c r="H6" s="371"/>
      <c r="I6" s="371"/>
      <c r="J6" s="371"/>
      <c r="K6" s="371"/>
      <c r="L6" s="371"/>
      <c r="M6" s="371"/>
      <c r="N6" s="371"/>
      <c r="O6" s="371"/>
      <c r="P6" s="371"/>
      <c r="Q6" s="371"/>
      <c r="R6" s="371"/>
      <c r="S6" s="371"/>
    </row>
    <row r="7" spans="1:19" s="6" customFormat="1" ht="15" customHeight="1" x14ac:dyDescent="0.15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</row>
    <row r="8" spans="1:19" s="6" customFormat="1" ht="15" customHeight="1" x14ac:dyDescent="0.15">
      <c r="A8" s="10"/>
      <c r="B8" s="10"/>
      <c r="C8" s="11"/>
      <c r="D8" s="11"/>
      <c r="E8" s="11"/>
      <c r="F8" s="12"/>
      <c r="H8" s="12"/>
      <c r="I8" s="12"/>
      <c r="J8" s="12"/>
      <c r="K8" s="12"/>
      <c r="L8" s="12"/>
      <c r="M8" s="12"/>
      <c r="N8" s="12"/>
      <c r="O8" s="12"/>
      <c r="P8" s="12"/>
      <c r="Q8" s="13"/>
      <c r="R8" s="372" t="s">
        <v>33</v>
      </c>
      <c r="S8" s="373"/>
    </row>
    <row r="9" spans="1:19" s="6" customFormat="1" ht="15" customHeight="1" x14ac:dyDescent="0.15">
      <c r="A9" s="10"/>
      <c r="B9" s="10"/>
      <c r="C9" s="14"/>
      <c r="D9" s="14"/>
      <c r="E9" s="14"/>
      <c r="F9" s="15" t="s">
        <v>34</v>
      </c>
      <c r="G9" s="16"/>
      <c r="H9" s="17"/>
      <c r="I9" s="16"/>
      <c r="J9" s="17"/>
      <c r="K9" s="13"/>
      <c r="L9" s="13"/>
      <c r="M9" s="13"/>
      <c r="N9" s="13"/>
      <c r="O9" s="13"/>
      <c r="P9" s="13"/>
      <c r="Q9" s="17"/>
      <c r="R9" s="18" t="s">
        <v>35</v>
      </c>
      <c r="S9" s="18" t="s">
        <v>35</v>
      </c>
    </row>
    <row r="10" spans="1:19" s="6" customFormat="1" ht="15" customHeight="1" x14ac:dyDescent="0.15">
      <c r="A10" s="19"/>
      <c r="B10" s="19"/>
      <c r="C10" s="20"/>
      <c r="D10" s="20"/>
      <c r="E10" s="20"/>
      <c r="F10" s="21">
        <v>2019</v>
      </c>
      <c r="G10" s="21">
        <v>2020</v>
      </c>
      <c r="H10" s="21">
        <v>2021</v>
      </c>
      <c r="I10" s="21">
        <v>2022</v>
      </c>
      <c r="J10" s="21">
        <v>2023</v>
      </c>
      <c r="K10" s="21">
        <v>2024</v>
      </c>
      <c r="L10" s="21">
        <v>2025</v>
      </c>
      <c r="M10" s="21">
        <v>2026</v>
      </c>
      <c r="N10" s="21">
        <v>2027</v>
      </c>
      <c r="O10" s="21">
        <v>2028</v>
      </c>
      <c r="P10" s="21">
        <v>2029</v>
      </c>
      <c r="Q10" s="21">
        <v>2030</v>
      </c>
      <c r="R10" s="22">
        <v>2025</v>
      </c>
      <c r="S10" s="22">
        <v>2030</v>
      </c>
    </row>
    <row r="11" spans="1:19" s="6" customFormat="1" ht="15" customHeight="1" x14ac:dyDescent="0.15">
      <c r="A11" s="10" t="s">
        <v>36</v>
      </c>
      <c r="B11" s="10"/>
      <c r="C11" s="10"/>
      <c r="D11" s="10"/>
      <c r="E11" s="10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4"/>
      <c r="S11" s="24"/>
    </row>
    <row r="12" spans="1:19" s="6" customFormat="1" ht="16.5" customHeight="1" x14ac:dyDescent="0.15">
      <c r="A12" s="10"/>
      <c r="B12" s="10" t="s">
        <v>37</v>
      </c>
      <c r="C12" s="10"/>
      <c r="D12" s="10"/>
      <c r="E12" s="10"/>
      <c r="F12" s="25">
        <v>893.31600000000003</v>
      </c>
      <c r="G12" s="25">
        <v>945.50099999999998</v>
      </c>
      <c r="H12" s="25">
        <v>992.75099999999998</v>
      </c>
      <c r="I12" s="25">
        <v>1045.5989999999999</v>
      </c>
      <c r="J12" s="25">
        <v>1104.202</v>
      </c>
      <c r="K12" s="25">
        <v>1168.675</v>
      </c>
      <c r="L12" s="25">
        <v>1237.8699999999999</v>
      </c>
      <c r="M12" s="25">
        <v>1309.1790000000001</v>
      </c>
      <c r="N12" s="25">
        <v>1381.18</v>
      </c>
      <c r="O12" s="25">
        <v>1463.298</v>
      </c>
      <c r="P12" s="25">
        <v>1544.8389999999999</v>
      </c>
      <c r="Q12" s="25">
        <v>1628.78</v>
      </c>
      <c r="R12" s="25">
        <v>5549.0969999999998</v>
      </c>
      <c r="S12" s="25">
        <v>12876.373</v>
      </c>
    </row>
    <row r="13" spans="1:19" s="6" customFormat="1" ht="15" customHeight="1" x14ac:dyDescent="0.15">
      <c r="A13" s="10"/>
      <c r="B13" s="10" t="s">
        <v>38</v>
      </c>
      <c r="C13" s="10"/>
      <c r="D13" s="10"/>
      <c r="E13" s="10"/>
      <c r="F13" s="25">
        <v>145.173</v>
      </c>
      <c r="G13" s="25">
        <v>145.40199999999999</v>
      </c>
      <c r="H13" s="25">
        <v>149.36199999999999</v>
      </c>
      <c r="I13" s="25">
        <v>155.83199999999999</v>
      </c>
      <c r="J13" s="25">
        <v>163.71299999999999</v>
      </c>
      <c r="K13" s="25">
        <v>172.196</v>
      </c>
      <c r="L13" s="25">
        <v>179.38399999999999</v>
      </c>
      <c r="M13" s="25">
        <v>187.07300000000001</v>
      </c>
      <c r="N13" s="25">
        <v>194.27600000000001</v>
      </c>
      <c r="O13" s="25">
        <v>196.48699999999999</v>
      </c>
      <c r="P13" s="25">
        <v>200.899</v>
      </c>
      <c r="Q13" s="25">
        <v>205.81</v>
      </c>
      <c r="R13" s="25">
        <v>820.48699999999997</v>
      </c>
      <c r="S13" s="25">
        <v>1805.0319999999999</v>
      </c>
    </row>
    <row r="14" spans="1:19" s="6" customFormat="1" ht="3" customHeight="1" x14ac:dyDescent="0.15">
      <c r="A14" s="10"/>
      <c r="B14" s="10"/>
      <c r="C14" s="10"/>
      <c r="D14" s="10"/>
      <c r="E14" s="10"/>
      <c r="F14" s="26" t="s">
        <v>39</v>
      </c>
      <c r="G14" s="26" t="s">
        <v>39</v>
      </c>
      <c r="H14" s="26" t="s">
        <v>39</v>
      </c>
      <c r="I14" s="26" t="s">
        <v>39</v>
      </c>
      <c r="J14" s="26" t="s">
        <v>39</v>
      </c>
      <c r="K14" s="26" t="s">
        <v>39</v>
      </c>
      <c r="L14" s="26" t="s">
        <v>39</v>
      </c>
      <c r="M14" s="26" t="s">
        <v>39</v>
      </c>
      <c r="N14" s="26" t="s">
        <v>39</v>
      </c>
      <c r="O14" s="26" t="s">
        <v>39</v>
      </c>
      <c r="P14" s="26" t="s">
        <v>39</v>
      </c>
      <c r="Q14" s="26" t="s">
        <v>39</v>
      </c>
      <c r="R14" s="26" t="s">
        <v>39</v>
      </c>
      <c r="S14" s="26" t="s">
        <v>40</v>
      </c>
    </row>
    <row r="15" spans="1:19" s="6" customFormat="1" ht="16.5" customHeight="1" x14ac:dyDescent="0.15">
      <c r="A15" s="10"/>
      <c r="B15" s="10"/>
      <c r="C15" s="10"/>
      <c r="D15" s="10" t="s">
        <v>41</v>
      </c>
      <c r="E15" s="10"/>
      <c r="F15" s="25">
        <v>1038.489</v>
      </c>
      <c r="G15" s="25">
        <v>1090.903</v>
      </c>
      <c r="H15" s="25">
        <v>1142.1130000000001</v>
      </c>
      <c r="I15" s="25">
        <v>1201.431</v>
      </c>
      <c r="J15" s="25">
        <v>1267.915</v>
      </c>
      <c r="K15" s="25">
        <v>1340.8710000000001</v>
      </c>
      <c r="L15" s="25">
        <v>1417.2539999999999</v>
      </c>
      <c r="M15" s="25">
        <v>1496.252</v>
      </c>
      <c r="N15" s="25">
        <v>1575.4559999999999</v>
      </c>
      <c r="O15" s="25">
        <v>1659.7850000000001</v>
      </c>
      <c r="P15" s="25">
        <v>1745.7380000000001</v>
      </c>
      <c r="Q15" s="25">
        <v>1834.59</v>
      </c>
      <c r="R15" s="25">
        <v>6369.5839999999998</v>
      </c>
      <c r="S15" s="25">
        <v>14681.405000000001</v>
      </c>
    </row>
    <row r="16" spans="1:19" s="6" customFormat="1" ht="15" customHeight="1" x14ac:dyDescent="0.15">
      <c r="A16" s="10"/>
      <c r="B16" s="10"/>
      <c r="C16" s="10"/>
      <c r="D16" s="10"/>
      <c r="E16" s="10"/>
      <c r="F16" s="23"/>
      <c r="G16" s="12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</row>
    <row r="17" spans="1:20" s="6" customFormat="1" ht="14" x14ac:dyDescent="0.15">
      <c r="A17" s="10" t="s">
        <v>42</v>
      </c>
      <c r="B17" s="10"/>
      <c r="C17" s="10"/>
      <c r="D17" s="10"/>
      <c r="E17" s="10"/>
      <c r="F17" s="24"/>
      <c r="G17" s="24"/>
      <c r="H17" s="24"/>
      <c r="I17" s="27"/>
      <c r="J17" s="24"/>
      <c r="K17" s="24"/>
      <c r="L17" s="24"/>
      <c r="M17" s="24"/>
      <c r="N17" s="24"/>
      <c r="O17" s="24"/>
      <c r="P17" s="24"/>
      <c r="Q17" s="24"/>
      <c r="R17" s="24"/>
      <c r="S17" s="24"/>
    </row>
    <row r="18" spans="1:20" s="6" customFormat="1" ht="16.5" customHeight="1" x14ac:dyDescent="0.15">
      <c r="A18" s="10"/>
      <c r="B18" s="28" t="s">
        <v>43</v>
      </c>
      <c r="C18" s="28"/>
      <c r="D18" s="28"/>
      <c r="E18" s="28"/>
      <c r="F18" s="25">
        <v>775.40599999999995</v>
      </c>
      <c r="G18" s="25">
        <v>862.06799999999998</v>
      </c>
      <c r="H18" s="25">
        <v>809.73299999999995</v>
      </c>
      <c r="I18" s="25">
        <v>973.27200000000005</v>
      </c>
      <c r="J18" s="25">
        <v>1013.1</v>
      </c>
      <c r="K18" s="25">
        <v>1036.248</v>
      </c>
      <c r="L18" s="25">
        <v>1157.7950000000001</v>
      </c>
      <c r="M18" s="25">
        <v>1239.729</v>
      </c>
      <c r="N18" s="25">
        <v>1327.9649999999999</v>
      </c>
      <c r="O18" s="25">
        <v>1490.789</v>
      </c>
      <c r="P18" s="25">
        <v>1449.9179999999999</v>
      </c>
      <c r="Q18" s="25">
        <v>1611.2940000000001</v>
      </c>
      <c r="R18" s="25">
        <v>4990.1480000000001</v>
      </c>
      <c r="S18" s="25">
        <v>12109.843000000001</v>
      </c>
    </row>
    <row r="19" spans="1:20" s="6" customFormat="1" ht="15" customHeight="1" x14ac:dyDescent="0.15">
      <c r="A19" s="10"/>
      <c r="B19" s="28" t="s">
        <v>2</v>
      </c>
      <c r="C19" s="28"/>
      <c r="D19" s="28"/>
      <c r="E19" s="28"/>
      <c r="F19" s="25">
        <v>409.42099999999999</v>
      </c>
      <c r="G19" s="25">
        <v>466.24400000000003</v>
      </c>
      <c r="H19" s="25">
        <v>537.41499999999996</v>
      </c>
      <c r="I19" s="25">
        <v>516.01800000000003</v>
      </c>
      <c r="J19" s="25">
        <v>494.83100000000002</v>
      </c>
      <c r="K19" s="25">
        <v>517.13499999999999</v>
      </c>
      <c r="L19" s="25">
        <v>545.38900000000001</v>
      </c>
      <c r="M19" s="25">
        <v>574.79</v>
      </c>
      <c r="N19" s="25">
        <v>605.32899999999995</v>
      </c>
      <c r="O19" s="25">
        <v>637.02200000000005</v>
      </c>
      <c r="P19" s="25">
        <v>670.57799999999997</v>
      </c>
      <c r="Q19" s="25">
        <v>707.21</v>
      </c>
      <c r="R19" s="25">
        <v>2610.788</v>
      </c>
      <c r="S19" s="25">
        <v>5805.7169999999996</v>
      </c>
    </row>
    <row r="20" spans="1:20" s="6" customFormat="1" ht="15" customHeight="1" x14ac:dyDescent="0.15">
      <c r="A20" s="10"/>
      <c r="B20" s="28" t="s">
        <v>44</v>
      </c>
      <c r="C20" s="10"/>
      <c r="D20" s="10"/>
      <c r="E20" s="10"/>
      <c r="F20" s="25">
        <v>55.533000000000001</v>
      </c>
      <c r="G20" s="25">
        <v>54.094999999999999</v>
      </c>
      <c r="H20" s="25">
        <v>56.356999999999999</v>
      </c>
      <c r="I20" s="25">
        <v>54.631999999999998</v>
      </c>
      <c r="J20" s="25">
        <v>54.654000000000003</v>
      </c>
      <c r="K20" s="25">
        <v>55.994</v>
      </c>
      <c r="L20" s="25">
        <v>56.795999999999999</v>
      </c>
      <c r="M20" s="25">
        <v>58.15</v>
      </c>
      <c r="N20" s="25">
        <v>60.082000000000001</v>
      </c>
      <c r="O20" s="25">
        <v>63.768999999999998</v>
      </c>
      <c r="P20" s="25">
        <v>67.947000000000003</v>
      </c>
      <c r="Q20" s="25">
        <v>72.968000000000004</v>
      </c>
      <c r="R20" s="25">
        <v>278.43299999999999</v>
      </c>
      <c r="S20" s="25">
        <v>601.34900000000005</v>
      </c>
    </row>
    <row r="21" spans="1:20" s="6" customFormat="1" ht="15" customHeight="1" x14ac:dyDescent="0.15">
      <c r="A21" s="10"/>
      <c r="B21" s="28" t="s">
        <v>45</v>
      </c>
      <c r="C21" s="28"/>
      <c r="D21" s="28"/>
      <c r="E21" s="28"/>
      <c r="F21" s="25">
        <v>17.689</v>
      </c>
      <c r="G21" s="25">
        <v>17.004999999999999</v>
      </c>
      <c r="H21" s="25">
        <v>15.552</v>
      </c>
      <c r="I21" s="25">
        <v>15.342000000000001</v>
      </c>
      <c r="J21" s="25">
        <v>15.228999999999999</v>
      </c>
      <c r="K21" s="25">
        <v>15.723000000000001</v>
      </c>
      <c r="L21" s="25">
        <v>16.260000000000002</v>
      </c>
      <c r="M21" s="25">
        <v>16.841999999999999</v>
      </c>
      <c r="N21" s="25">
        <v>17.452000000000002</v>
      </c>
      <c r="O21" s="25">
        <v>17.805</v>
      </c>
      <c r="P21" s="25">
        <v>18.521999999999998</v>
      </c>
      <c r="Q21" s="25">
        <v>19.343</v>
      </c>
      <c r="R21" s="25">
        <v>78.105999999999995</v>
      </c>
      <c r="S21" s="25">
        <v>168.07</v>
      </c>
    </row>
    <row r="22" spans="1:20" s="6" customFormat="1" ht="3" customHeight="1" x14ac:dyDescent="0.15">
      <c r="A22" s="10"/>
      <c r="B22" s="10"/>
      <c r="C22" s="10"/>
      <c r="D22" s="10"/>
      <c r="E22" s="10"/>
      <c r="F22" s="26" t="s">
        <v>39</v>
      </c>
      <c r="G22" s="26" t="s">
        <v>39</v>
      </c>
      <c r="H22" s="26" t="s">
        <v>39</v>
      </c>
      <c r="I22" s="26" t="s">
        <v>39</v>
      </c>
      <c r="J22" s="26" t="s">
        <v>39</v>
      </c>
      <c r="K22" s="26" t="s">
        <v>39</v>
      </c>
      <c r="L22" s="26" t="s">
        <v>39</v>
      </c>
      <c r="M22" s="26" t="s">
        <v>39</v>
      </c>
      <c r="N22" s="26" t="s">
        <v>39</v>
      </c>
      <c r="O22" s="26" t="s">
        <v>39</v>
      </c>
      <c r="P22" s="26" t="s">
        <v>39</v>
      </c>
      <c r="Q22" s="26" t="s">
        <v>39</v>
      </c>
      <c r="R22" s="26" t="s">
        <v>39</v>
      </c>
      <c r="S22" s="26" t="s">
        <v>40</v>
      </c>
    </row>
    <row r="23" spans="1:20" s="6" customFormat="1" ht="15" customHeight="1" x14ac:dyDescent="0.15">
      <c r="A23" s="10"/>
      <c r="B23" s="10"/>
      <c r="C23" s="10"/>
      <c r="D23" s="10" t="s">
        <v>46</v>
      </c>
      <c r="E23" s="10"/>
      <c r="F23" s="25">
        <v>1258.049</v>
      </c>
      <c r="G23" s="25">
        <v>1399.412</v>
      </c>
      <c r="H23" s="25">
        <v>1419.057</v>
      </c>
      <c r="I23" s="25">
        <v>1559.2639999999999</v>
      </c>
      <c r="J23" s="25">
        <v>1577.8140000000001</v>
      </c>
      <c r="K23" s="25">
        <v>1625.1</v>
      </c>
      <c r="L23" s="25">
        <v>1776.24</v>
      </c>
      <c r="M23" s="25">
        <v>1889.511</v>
      </c>
      <c r="N23" s="25">
        <v>2010.828</v>
      </c>
      <c r="O23" s="25">
        <v>2209.3850000000002</v>
      </c>
      <c r="P23" s="25">
        <v>2206.9650000000001</v>
      </c>
      <c r="Q23" s="25">
        <v>2410.8150000000001</v>
      </c>
      <c r="R23" s="25">
        <v>7957.4750000000004</v>
      </c>
      <c r="S23" s="25">
        <v>18684.978999999999</v>
      </c>
      <c r="T23" s="25"/>
    </row>
    <row r="24" spans="1:20" s="6" customFormat="1" ht="15" customHeight="1" x14ac:dyDescent="0.15">
      <c r="A24" s="10"/>
      <c r="B24" s="10"/>
      <c r="C24" s="10"/>
      <c r="D24" s="10"/>
      <c r="E24" s="10"/>
      <c r="F24" s="23">
        <f>F23+F68</f>
        <v>1126.519</v>
      </c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</row>
    <row r="25" spans="1:20" s="6" customFormat="1" ht="15" customHeight="1" x14ac:dyDescent="0.15">
      <c r="A25" s="10" t="s">
        <v>47</v>
      </c>
      <c r="B25" s="10"/>
      <c r="C25" s="10"/>
      <c r="D25" s="10"/>
      <c r="E25" s="10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</row>
    <row r="26" spans="1:20" s="6" customFormat="1" ht="16.5" customHeight="1" x14ac:dyDescent="0.15">
      <c r="A26" s="10"/>
      <c r="B26" s="10" t="s">
        <v>48</v>
      </c>
      <c r="C26" s="10"/>
      <c r="D26" s="10"/>
      <c r="E26" s="10"/>
      <c r="F26" s="25">
        <v>99.244</v>
      </c>
      <c r="G26" s="25">
        <v>369.25299999999999</v>
      </c>
      <c r="H26" s="25">
        <v>102.35299999999999</v>
      </c>
      <c r="I26" s="25">
        <v>99.980999999999995</v>
      </c>
      <c r="J26" s="25">
        <v>97.82</v>
      </c>
      <c r="K26" s="25">
        <v>98.616</v>
      </c>
      <c r="L26" s="25">
        <v>98.67</v>
      </c>
      <c r="M26" s="25">
        <v>98.427000000000007</v>
      </c>
      <c r="N26" s="25">
        <v>84.466999999999999</v>
      </c>
      <c r="O26" s="25">
        <v>83.573999999999998</v>
      </c>
      <c r="P26" s="25">
        <v>83.302999999999997</v>
      </c>
      <c r="Q26" s="25">
        <v>83.73</v>
      </c>
      <c r="R26" s="25">
        <v>497.44</v>
      </c>
      <c r="S26" s="25">
        <v>930.94100000000003</v>
      </c>
    </row>
    <row r="27" spans="1:20" s="6" customFormat="1" ht="15" customHeight="1" x14ac:dyDescent="0.15">
      <c r="A27" s="10"/>
      <c r="B27" s="10" t="s">
        <v>49</v>
      </c>
      <c r="C27" s="10"/>
      <c r="D27" s="10"/>
      <c r="E27" s="10"/>
      <c r="F27" s="25">
        <v>63.465000000000003</v>
      </c>
      <c r="G27" s="25">
        <v>91.944000000000003</v>
      </c>
      <c r="H27" s="25">
        <v>114.301</v>
      </c>
      <c r="I27" s="25">
        <v>94.231999999999999</v>
      </c>
      <c r="J27" s="25">
        <v>84.835999999999999</v>
      </c>
      <c r="K27" s="25">
        <v>84.662000000000006</v>
      </c>
      <c r="L27" s="25">
        <v>84.671000000000006</v>
      </c>
      <c r="M27" s="25">
        <v>84.638000000000005</v>
      </c>
      <c r="N27" s="25">
        <v>84.537000000000006</v>
      </c>
      <c r="O27" s="25">
        <v>83.39</v>
      </c>
      <c r="P27" s="25">
        <v>81.198999999999998</v>
      </c>
      <c r="Q27" s="25">
        <v>78.844999999999999</v>
      </c>
      <c r="R27" s="25">
        <v>462.702</v>
      </c>
      <c r="S27" s="25">
        <v>875.31100000000004</v>
      </c>
    </row>
    <row r="28" spans="1:20" s="6" customFormat="1" ht="16.5" customHeight="1" x14ac:dyDescent="0.15">
      <c r="A28" s="10"/>
      <c r="B28" s="10" t="s">
        <v>50</v>
      </c>
      <c r="C28" s="10"/>
      <c r="D28" s="10"/>
      <c r="E28" s="10"/>
      <c r="F28" s="25">
        <v>56.072000000000003</v>
      </c>
      <c r="G28" s="25">
        <v>57</v>
      </c>
      <c r="H28" s="25">
        <v>58.31</v>
      </c>
      <c r="I28" s="25">
        <v>65.16</v>
      </c>
      <c r="J28" s="25">
        <v>62.86</v>
      </c>
      <c r="K28" s="25">
        <v>60.36</v>
      </c>
      <c r="L28" s="25">
        <v>68.209999999999994</v>
      </c>
      <c r="M28" s="25">
        <v>70.36</v>
      </c>
      <c r="N28" s="25">
        <v>72.069999999999993</v>
      </c>
      <c r="O28" s="25">
        <v>79.540000000000006</v>
      </c>
      <c r="P28" s="25">
        <v>69.14</v>
      </c>
      <c r="Q28" s="25">
        <v>76.709999999999994</v>
      </c>
      <c r="R28" s="25">
        <v>314.89999999999998</v>
      </c>
      <c r="S28" s="25">
        <v>682.72</v>
      </c>
    </row>
    <row r="29" spans="1:20" s="6" customFormat="1" ht="15" customHeight="1" x14ac:dyDescent="0.15">
      <c r="A29" s="10"/>
      <c r="B29" s="10" t="s">
        <v>51</v>
      </c>
      <c r="C29" s="10"/>
      <c r="D29" s="10"/>
      <c r="E29" s="10"/>
      <c r="F29" s="25">
        <v>27.626999999999999</v>
      </c>
      <c r="G29" s="25">
        <v>556.65700000000004</v>
      </c>
      <c r="H29" s="25">
        <v>166.24100000000001</v>
      </c>
      <c r="I29" s="25">
        <v>66.784000000000006</v>
      </c>
      <c r="J29" s="25">
        <v>57.195999999999998</v>
      </c>
      <c r="K29" s="25">
        <v>53.128</v>
      </c>
      <c r="L29" s="25">
        <v>49.076000000000001</v>
      </c>
      <c r="M29" s="25">
        <v>46.4</v>
      </c>
      <c r="N29" s="25">
        <v>43.795000000000002</v>
      </c>
      <c r="O29" s="25">
        <v>42.014000000000003</v>
      </c>
      <c r="P29" s="25">
        <v>42.326999999999998</v>
      </c>
      <c r="Q29" s="25">
        <v>43.463000000000001</v>
      </c>
      <c r="R29" s="25">
        <v>392.42500000000001</v>
      </c>
      <c r="S29" s="25">
        <v>610.42399999999998</v>
      </c>
    </row>
    <row r="30" spans="1:20" s="6" customFormat="1" ht="16.5" customHeight="1" x14ac:dyDescent="0.15">
      <c r="A30" s="10"/>
      <c r="B30" s="10" t="s">
        <v>52</v>
      </c>
      <c r="C30" s="10"/>
      <c r="D30" s="10"/>
      <c r="E30" s="10"/>
      <c r="F30" s="25">
        <v>32.091999999999999</v>
      </c>
      <c r="G30" s="25">
        <v>33.136000000000003</v>
      </c>
      <c r="H30" s="25">
        <v>33.457000000000001</v>
      </c>
      <c r="I30" s="25">
        <v>33.357999999999997</v>
      </c>
      <c r="J30" s="25">
        <v>33.220999999999997</v>
      </c>
      <c r="K30" s="25">
        <v>33.551000000000002</v>
      </c>
      <c r="L30" s="25">
        <v>33.93</v>
      </c>
      <c r="M30" s="25">
        <v>34.127000000000002</v>
      </c>
      <c r="N30" s="25">
        <v>34.392000000000003</v>
      </c>
      <c r="O30" s="25">
        <v>34.612000000000002</v>
      </c>
      <c r="P30" s="25">
        <v>34.838000000000001</v>
      </c>
      <c r="Q30" s="25">
        <v>35.093000000000004</v>
      </c>
      <c r="R30" s="25">
        <v>167.517</v>
      </c>
      <c r="S30" s="25">
        <v>340.57900000000001</v>
      </c>
    </row>
    <row r="31" spans="1:20" s="6" customFormat="1" ht="15" customHeight="1" x14ac:dyDescent="0.15">
      <c r="A31" s="10"/>
      <c r="B31" s="10" t="s">
        <v>53</v>
      </c>
      <c r="C31" s="10"/>
      <c r="D31" s="10"/>
      <c r="E31" s="10"/>
      <c r="F31" s="25">
        <v>24.148</v>
      </c>
      <c r="G31" s="25">
        <v>23.616</v>
      </c>
      <c r="H31" s="25">
        <v>24.824999999999999</v>
      </c>
      <c r="I31" s="25">
        <v>26.01</v>
      </c>
      <c r="J31" s="25">
        <v>26.977</v>
      </c>
      <c r="K31" s="25">
        <v>27.97</v>
      </c>
      <c r="L31" s="25">
        <v>29.050999999999998</v>
      </c>
      <c r="M31" s="25">
        <v>30.202999999999999</v>
      </c>
      <c r="N31" s="25">
        <v>31.414999999999999</v>
      </c>
      <c r="O31" s="25">
        <v>32.686</v>
      </c>
      <c r="P31" s="25">
        <v>34.037999999999997</v>
      </c>
      <c r="Q31" s="25">
        <v>35.448999999999998</v>
      </c>
      <c r="R31" s="25">
        <v>134.833</v>
      </c>
      <c r="S31" s="25">
        <v>298.62400000000002</v>
      </c>
    </row>
    <row r="32" spans="1:20" s="6" customFormat="1" ht="3" customHeight="1" x14ac:dyDescent="0.15">
      <c r="A32" s="10"/>
      <c r="B32" s="10"/>
      <c r="C32" s="10"/>
      <c r="D32" s="10"/>
      <c r="E32" s="10"/>
      <c r="F32" s="26" t="s">
        <v>39</v>
      </c>
      <c r="G32" s="26" t="s">
        <v>39</v>
      </c>
      <c r="H32" s="26" t="s">
        <v>39</v>
      </c>
      <c r="I32" s="26" t="s">
        <v>39</v>
      </c>
      <c r="J32" s="26" t="s">
        <v>39</v>
      </c>
      <c r="K32" s="26" t="s">
        <v>39</v>
      </c>
      <c r="L32" s="26" t="s">
        <v>39</v>
      </c>
      <c r="M32" s="26" t="s">
        <v>39</v>
      </c>
      <c r="N32" s="26" t="s">
        <v>39</v>
      </c>
      <c r="O32" s="26" t="s">
        <v>39</v>
      </c>
      <c r="P32" s="26" t="s">
        <v>39</v>
      </c>
      <c r="Q32" s="26" t="s">
        <v>39</v>
      </c>
      <c r="R32" s="26" t="s">
        <v>39</v>
      </c>
      <c r="S32" s="26" t="s">
        <v>40</v>
      </c>
    </row>
    <row r="33" spans="1:24" s="6" customFormat="1" ht="15" customHeight="1" x14ac:dyDescent="0.15">
      <c r="A33" s="10"/>
      <c r="B33" s="10"/>
      <c r="C33" s="10"/>
      <c r="D33" s="10" t="s">
        <v>41</v>
      </c>
      <c r="E33" s="10"/>
      <c r="F33" s="25">
        <v>302.64800000000002</v>
      </c>
      <c r="G33" s="25">
        <v>1131.606</v>
      </c>
      <c r="H33" s="25">
        <v>499.48700000000002</v>
      </c>
      <c r="I33" s="25">
        <v>385.52499999999998</v>
      </c>
      <c r="J33" s="25">
        <v>362.91</v>
      </c>
      <c r="K33" s="25">
        <v>358.28699999999998</v>
      </c>
      <c r="L33" s="25">
        <v>363.608</v>
      </c>
      <c r="M33" s="25">
        <v>364.15499999999997</v>
      </c>
      <c r="N33" s="25">
        <v>350.67599999999999</v>
      </c>
      <c r="O33" s="25">
        <v>355.81599999999997</v>
      </c>
      <c r="P33" s="25">
        <v>344.84500000000003</v>
      </c>
      <c r="Q33" s="25">
        <v>353.29</v>
      </c>
      <c r="R33" s="25">
        <v>1969.817</v>
      </c>
      <c r="S33" s="25">
        <v>3738.5990000000002</v>
      </c>
    </row>
    <row r="34" spans="1:24" s="6" customFormat="1" ht="15" customHeight="1" x14ac:dyDescent="0.15">
      <c r="A34" s="10"/>
      <c r="B34" s="10"/>
      <c r="C34" s="10"/>
      <c r="D34" s="10"/>
      <c r="E34" s="10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V34" s="6">
        <v>2156</v>
      </c>
      <c r="W34" s="6">
        <v>3225</v>
      </c>
      <c r="X34" s="6">
        <f>W34-V34</f>
        <v>1069</v>
      </c>
    </row>
    <row r="35" spans="1:24" s="6" customFormat="1" ht="15" customHeight="1" x14ac:dyDescent="0.15">
      <c r="A35" s="10" t="s">
        <v>54</v>
      </c>
      <c r="B35" s="10"/>
      <c r="C35" s="10"/>
      <c r="D35" s="10"/>
      <c r="E35" s="10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U35" s="6" t="s">
        <v>149</v>
      </c>
      <c r="V35" s="6">
        <v>775</v>
      </c>
      <c r="W35" s="6">
        <v>862</v>
      </c>
      <c r="X35" s="6">
        <f>W35-V35</f>
        <v>87</v>
      </c>
    </row>
    <row r="36" spans="1:24" s="6" customFormat="1" ht="16.5" customHeight="1" x14ac:dyDescent="0.15">
      <c r="A36" s="10"/>
      <c r="B36" s="10" t="s">
        <v>55</v>
      </c>
      <c r="C36" s="10"/>
      <c r="D36" s="10"/>
      <c r="E36" s="10"/>
      <c r="F36" s="25">
        <v>105.95099999999999</v>
      </c>
      <c r="G36" s="25">
        <v>108.867</v>
      </c>
      <c r="H36" s="25">
        <v>111.551</v>
      </c>
      <c r="I36" s="25">
        <v>114.39</v>
      </c>
      <c r="J36" s="25">
        <v>117.389</v>
      </c>
      <c r="K36" s="25">
        <v>120.721</v>
      </c>
      <c r="L36" s="25">
        <v>124.235</v>
      </c>
      <c r="M36" s="25">
        <v>127.459</v>
      </c>
      <c r="N36" s="25">
        <v>131.07499999999999</v>
      </c>
      <c r="O36" s="25">
        <v>134.679</v>
      </c>
      <c r="P36" s="25">
        <v>138.11099999999999</v>
      </c>
      <c r="Q36" s="25">
        <v>141.51</v>
      </c>
      <c r="R36" s="25">
        <v>588.28599999999994</v>
      </c>
      <c r="S36" s="25">
        <v>1261.1199999999999</v>
      </c>
      <c r="U36" s="6" t="s">
        <v>150</v>
      </c>
      <c r="V36" s="6">
        <v>99</v>
      </c>
      <c r="W36" s="6">
        <v>369</v>
      </c>
      <c r="X36" s="6">
        <f>W36-V36</f>
        <v>270</v>
      </c>
    </row>
    <row r="37" spans="1:24" s="6" customFormat="1" ht="15" customHeight="1" x14ac:dyDescent="0.15">
      <c r="A37" s="10"/>
      <c r="B37" s="10" t="s">
        <v>56</v>
      </c>
      <c r="C37" s="10"/>
      <c r="D37" s="10"/>
      <c r="E37" s="10"/>
      <c r="F37" s="25">
        <v>60.703000000000003</v>
      </c>
      <c r="G37" s="25">
        <v>62.25</v>
      </c>
      <c r="H37" s="25">
        <v>63.75</v>
      </c>
      <c r="I37" s="25">
        <v>70.5</v>
      </c>
      <c r="J37" s="25">
        <v>67.2</v>
      </c>
      <c r="K37" s="25">
        <v>63.35</v>
      </c>
      <c r="L37" s="25">
        <v>70.400000000000006</v>
      </c>
      <c r="M37" s="25">
        <v>72.2</v>
      </c>
      <c r="N37" s="25">
        <v>74</v>
      </c>
      <c r="O37" s="25">
        <v>81.8</v>
      </c>
      <c r="P37" s="25">
        <v>71.7</v>
      </c>
      <c r="Q37" s="25">
        <v>79.599999999999994</v>
      </c>
      <c r="R37" s="25">
        <v>335.2</v>
      </c>
      <c r="S37" s="25">
        <v>714.5</v>
      </c>
      <c r="U37" s="6" t="s">
        <v>13</v>
      </c>
      <c r="V37" s="6">
        <v>28</v>
      </c>
      <c r="W37" s="6">
        <v>557</v>
      </c>
      <c r="X37" s="6">
        <f>W37-V37</f>
        <v>529</v>
      </c>
    </row>
    <row r="38" spans="1:24" s="6" customFormat="1" ht="15" customHeight="1" x14ac:dyDescent="0.15">
      <c r="A38" s="10"/>
      <c r="B38" s="10" t="s">
        <v>57</v>
      </c>
      <c r="C38" s="10"/>
      <c r="D38" s="10"/>
      <c r="E38" s="10"/>
      <c r="F38" s="25">
        <v>3.3919999999999999</v>
      </c>
      <c r="G38" s="25">
        <v>2.0179999999999998</v>
      </c>
      <c r="H38" s="25">
        <v>3.8940000000000001</v>
      </c>
      <c r="I38" s="25">
        <v>4.3310000000000004</v>
      </c>
      <c r="J38" s="25">
        <v>5.1680000000000001</v>
      </c>
      <c r="K38" s="25">
        <v>5.306</v>
      </c>
      <c r="L38" s="25">
        <v>1.9339999999999999</v>
      </c>
      <c r="M38" s="25">
        <v>10.694000000000001</v>
      </c>
      <c r="N38" s="25">
        <v>6.8220000000000001</v>
      </c>
      <c r="O38" s="25">
        <v>6.0540000000000003</v>
      </c>
      <c r="P38" s="25">
        <v>6.1280000000000001</v>
      </c>
      <c r="Q38" s="25">
        <v>6.3620000000000001</v>
      </c>
      <c r="R38" s="25">
        <v>20.632999999999999</v>
      </c>
      <c r="S38" s="25">
        <v>56.692999999999998</v>
      </c>
      <c r="U38" s="6" t="s">
        <v>151</v>
      </c>
      <c r="V38" s="6">
        <v>63</v>
      </c>
      <c r="W38" s="6">
        <v>92</v>
      </c>
      <c r="X38" s="6">
        <f>W38-V38</f>
        <v>29</v>
      </c>
    </row>
    <row r="39" spans="1:24" s="6" customFormat="1" ht="3" customHeight="1" x14ac:dyDescent="0.15">
      <c r="A39" s="10"/>
      <c r="B39" s="10"/>
      <c r="C39" s="10"/>
      <c r="D39" s="10"/>
      <c r="E39" s="10"/>
      <c r="F39" s="26" t="s">
        <v>39</v>
      </c>
      <c r="G39" s="26" t="s">
        <v>39</v>
      </c>
      <c r="H39" s="26" t="s">
        <v>39</v>
      </c>
      <c r="I39" s="26" t="s">
        <v>39</v>
      </c>
      <c r="J39" s="26" t="s">
        <v>39</v>
      </c>
      <c r="K39" s="26" t="s">
        <v>39</v>
      </c>
      <c r="L39" s="26" t="s">
        <v>39</v>
      </c>
      <c r="M39" s="26" t="s">
        <v>39</v>
      </c>
      <c r="N39" s="26" t="s">
        <v>39</v>
      </c>
      <c r="O39" s="26" t="s">
        <v>39</v>
      </c>
      <c r="P39" s="26" t="s">
        <v>39</v>
      </c>
      <c r="Q39" s="26" t="s">
        <v>39</v>
      </c>
      <c r="R39" s="26" t="s">
        <v>39</v>
      </c>
      <c r="S39" s="26" t="s">
        <v>40</v>
      </c>
    </row>
    <row r="40" spans="1:24" s="6" customFormat="1" ht="15" customHeight="1" x14ac:dyDescent="0.15">
      <c r="A40" s="10"/>
      <c r="B40" s="10"/>
      <c r="C40" s="10"/>
      <c r="D40" s="10" t="s">
        <v>41</v>
      </c>
      <c r="E40" s="10"/>
      <c r="F40" s="25">
        <v>170.04599999999999</v>
      </c>
      <c r="G40" s="25">
        <v>173.13499999999999</v>
      </c>
      <c r="H40" s="25">
        <v>179.19499999999999</v>
      </c>
      <c r="I40" s="25">
        <v>189.221</v>
      </c>
      <c r="J40" s="25">
        <v>189.75700000000001</v>
      </c>
      <c r="K40" s="25">
        <v>189.37700000000001</v>
      </c>
      <c r="L40" s="25">
        <v>196.56899999999999</v>
      </c>
      <c r="M40" s="25">
        <v>210.35300000000001</v>
      </c>
      <c r="N40" s="25">
        <v>211.89699999999999</v>
      </c>
      <c r="O40" s="25">
        <v>222.53299999999999</v>
      </c>
      <c r="P40" s="25">
        <v>215.93899999999999</v>
      </c>
      <c r="Q40" s="25">
        <v>227.47200000000001</v>
      </c>
      <c r="R40" s="25">
        <v>944.11900000000003</v>
      </c>
      <c r="S40" s="25">
        <v>2032.3130000000001</v>
      </c>
      <c r="U40" s="6" t="s">
        <v>152</v>
      </c>
      <c r="V40" s="6">
        <v>115</v>
      </c>
      <c r="W40" s="6">
        <v>122</v>
      </c>
      <c r="X40" s="6">
        <f>W40-V40</f>
        <v>7</v>
      </c>
    </row>
    <row r="41" spans="1:24" s="6" customFormat="1" ht="15" customHeight="1" x14ac:dyDescent="0.15">
      <c r="A41" s="10"/>
      <c r="B41" s="10"/>
      <c r="C41" s="10"/>
      <c r="D41" s="10"/>
      <c r="E41" s="10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U41" s="6" t="s">
        <v>153</v>
      </c>
      <c r="V41" s="6">
        <v>1038</v>
      </c>
      <c r="W41" s="6">
        <v>1091</v>
      </c>
      <c r="X41" s="6">
        <f>W41-V41</f>
        <v>53</v>
      </c>
    </row>
    <row r="42" spans="1:24" s="6" customFormat="1" ht="16.5" customHeight="1" x14ac:dyDescent="0.15">
      <c r="A42" s="10" t="s">
        <v>58</v>
      </c>
      <c r="B42" s="10"/>
      <c r="C42" s="10"/>
      <c r="D42" s="10"/>
      <c r="E42" s="10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U42" s="6" t="s">
        <v>154</v>
      </c>
      <c r="V42" s="6">
        <v>0</v>
      </c>
      <c r="W42" s="6">
        <v>105</v>
      </c>
      <c r="X42" s="6">
        <f>W42-V42</f>
        <v>105</v>
      </c>
    </row>
    <row r="43" spans="1:24" s="6" customFormat="1" ht="15" customHeight="1" x14ac:dyDescent="0.15">
      <c r="A43" s="10"/>
      <c r="B43" s="10" t="s">
        <v>59</v>
      </c>
      <c r="C43" s="10"/>
      <c r="D43" s="10"/>
      <c r="E43" s="10"/>
      <c r="F43" s="25">
        <v>101.09699999999999</v>
      </c>
      <c r="G43" s="25">
        <v>111.658</v>
      </c>
      <c r="H43" s="25">
        <v>115.39100000000001</v>
      </c>
      <c r="I43" s="25">
        <v>128.47800000000001</v>
      </c>
      <c r="J43" s="25">
        <v>123.547</v>
      </c>
      <c r="K43" s="25">
        <v>116.509</v>
      </c>
      <c r="L43" s="25">
        <v>131.29</v>
      </c>
      <c r="M43" s="25">
        <v>135.39500000000001</v>
      </c>
      <c r="N43" s="25">
        <v>139.499</v>
      </c>
      <c r="O43" s="25">
        <v>155.96</v>
      </c>
      <c r="P43" s="25">
        <v>135.941</v>
      </c>
      <c r="Q43" s="25">
        <v>152.64099999999999</v>
      </c>
      <c r="R43" s="25">
        <v>615.21500000000003</v>
      </c>
      <c r="S43" s="25">
        <v>1334.6510000000001</v>
      </c>
      <c r="T43" s="25"/>
      <c r="X43" s="6">
        <f>SUM(X35:X42)</f>
        <v>1080</v>
      </c>
    </row>
    <row r="44" spans="1:24" s="6" customFormat="1" ht="15" customHeight="1" x14ac:dyDescent="0.15">
      <c r="A44" s="10"/>
      <c r="B44" s="10" t="s">
        <v>57</v>
      </c>
      <c r="C44" s="10"/>
      <c r="D44" s="10"/>
      <c r="E44" s="10"/>
      <c r="F44" s="25">
        <v>13.925000000000001</v>
      </c>
      <c r="G44" s="25">
        <v>9.9890000000000008</v>
      </c>
      <c r="H44" s="25">
        <v>16.190999999999999</v>
      </c>
      <c r="I44" s="25">
        <v>18.504999999999999</v>
      </c>
      <c r="J44" s="25">
        <v>17.693999999999999</v>
      </c>
      <c r="K44" s="25">
        <v>16.899999999999999</v>
      </c>
      <c r="L44" s="25">
        <v>17.806000000000001</v>
      </c>
      <c r="M44" s="25">
        <v>18.079000000000001</v>
      </c>
      <c r="N44" s="25">
        <v>18.611000000000001</v>
      </c>
      <c r="O44" s="25">
        <v>20.059000000000001</v>
      </c>
      <c r="P44" s="25">
        <v>18.477</v>
      </c>
      <c r="Q44" s="25">
        <v>20.954999999999998</v>
      </c>
      <c r="R44" s="25">
        <v>87.096000000000004</v>
      </c>
      <c r="S44" s="25">
        <v>183.27699999999999</v>
      </c>
    </row>
    <row r="45" spans="1:24" s="6" customFormat="1" ht="3" customHeight="1" x14ac:dyDescent="0.15">
      <c r="A45" s="10"/>
      <c r="B45" s="10"/>
      <c r="C45" s="10"/>
      <c r="D45" s="10"/>
      <c r="E45" s="10"/>
      <c r="F45" s="26" t="s">
        <v>39</v>
      </c>
      <c r="G45" s="26" t="s">
        <v>39</v>
      </c>
      <c r="H45" s="26" t="s">
        <v>39</v>
      </c>
      <c r="I45" s="26" t="s">
        <v>39</v>
      </c>
      <c r="J45" s="26" t="s">
        <v>39</v>
      </c>
      <c r="K45" s="26" t="s">
        <v>39</v>
      </c>
      <c r="L45" s="26" t="s">
        <v>39</v>
      </c>
      <c r="M45" s="26" t="s">
        <v>39</v>
      </c>
      <c r="N45" s="26" t="s">
        <v>39</v>
      </c>
      <c r="O45" s="26" t="s">
        <v>39</v>
      </c>
      <c r="P45" s="26" t="s">
        <v>39</v>
      </c>
      <c r="Q45" s="26" t="s">
        <v>39</v>
      </c>
      <c r="R45" s="26" t="s">
        <v>39</v>
      </c>
      <c r="S45" s="26" t="s">
        <v>40</v>
      </c>
    </row>
    <row r="46" spans="1:24" s="6" customFormat="1" ht="15" customHeight="1" x14ac:dyDescent="0.15">
      <c r="A46" s="10"/>
      <c r="B46" s="10"/>
      <c r="C46" s="10"/>
      <c r="D46" s="10" t="s">
        <v>41</v>
      </c>
      <c r="E46" s="10"/>
      <c r="F46" s="25">
        <v>115.02200000000001</v>
      </c>
      <c r="G46" s="25">
        <v>121.64700000000001</v>
      </c>
      <c r="H46" s="25">
        <v>131.58199999999999</v>
      </c>
      <c r="I46" s="25">
        <v>146.983</v>
      </c>
      <c r="J46" s="25">
        <v>141.24100000000001</v>
      </c>
      <c r="K46" s="25">
        <v>133.40899999999999</v>
      </c>
      <c r="L46" s="25">
        <v>149.096</v>
      </c>
      <c r="M46" s="25">
        <v>153.47399999999999</v>
      </c>
      <c r="N46" s="25">
        <v>158.11000000000001</v>
      </c>
      <c r="O46" s="25">
        <v>176.01900000000001</v>
      </c>
      <c r="P46" s="25">
        <v>154.41800000000001</v>
      </c>
      <c r="Q46" s="25">
        <v>173.596</v>
      </c>
      <c r="R46" s="25">
        <v>702.31100000000004</v>
      </c>
      <c r="S46" s="25">
        <v>1517.9280000000001</v>
      </c>
    </row>
    <row r="47" spans="1:24" s="91" customFormat="1" ht="15" customHeight="1" x14ac:dyDescent="0.15">
      <c r="A47" s="89"/>
      <c r="B47" s="89"/>
      <c r="C47" s="89"/>
      <c r="D47" s="89"/>
      <c r="E47" s="89"/>
      <c r="F47" s="90">
        <f>F15+F23-F21-F19+F33+F68+F46+F48</f>
        <v>2155.5680000000002</v>
      </c>
      <c r="G47" s="90">
        <f>G15+G23-G21-G19+G33+G68+G46+G48</f>
        <v>3224.5829999999996</v>
      </c>
      <c r="H47" s="90">
        <f>H15+H23-H21-H19+H33+H68+H46</f>
        <v>2492.3159999999998</v>
      </c>
      <c r="I47" s="90">
        <f>I15+I23-I21-I19+I33+I68+I46</f>
        <v>2602.0319999999997</v>
      </c>
      <c r="J47" s="90"/>
      <c r="K47" s="90"/>
      <c r="L47" s="90"/>
      <c r="M47" s="90"/>
      <c r="N47" s="90"/>
      <c r="O47" s="90"/>
      <c r="P47" s="90"/>
      <c r="Q47" s="90"/>
      <c r="R47" s="90"/>
      <c r="S47" s="90"/>
    </row>
    <row r="48" spans="1:24" s="91" customFormat="1" ht="15" customHeight="1" x14ac:dyDescent="0.15">
      <c r="A48" s="89" t="s">
        <v>147</v>
      </c>
      <c r="B48" s="89"/>
      <c r="C48" s="89"/>
      <c r="D48" s="89"/>
      <c r="E48" s="89"/>
      <c r="F48" s="90"/>
      <c r="G48" s="90">
        <f>175*0.6</f>
        <v>105</v>
      </c>
      <c r="H48" s="90"/>
      <c r="I48" s="90"/>
      <c r="J48" s="90"/>
      <c r="K48" s="90"/>
      <c r="L48" s="90"/>
      <c r="M48" s="90"/>
      <c r="N48" s="90"/>
      <c r="O48" s="90"/>
      <c r="P48" s="90"/>
      <c r="Q48" s="90"/>
      <c r="R48" s="90"/>
      <c r="S48" s="90"/>
    </row>
    <row r="49" spans="1:19" s="91" customFormat="1" ht="15" customHeight="1" x14ac:dyDescent="0.15">
      <c r="A49" s="89" t="s">
        <v>155</v>
      </c>
      <c r="B49" s="89"/>
      <c r="C49" s="89"/>
      <c r="D49" s="89"/>
      <c r="E49" s="89"/>
      <c r="F49" s="90"/>
      <c r="G49" s="90">
        <f>G47-G48-G29+F29-G26+F26-G18+H18</f>
        <v>2268.2089999999994</v>
      </c>
      <c r="H49" s="90">
        <f>H47-H29+F29-H27-F27</f>
        <v>2175.9359999999997</v>
      </c>
      <c r="I49" s="90">
        <f>I47-I29-F29-I27-F27</f>
        <v>2349.9239999999995</v>
      </c>
      <c r="J49" s="90"/>
      <c r="K49" s="90"/>
      <c r="L49" s="90"/>
      <c r="M49" s="90"/>
      <c r="N49" s="90"/>
      <c r="O49" s="90"/>
      <c r="P49" s="90"/>
      <c r="Q49" s="90"/>
      <c r="R49" s="90"/>
      <c r="S49" s="90"/>
    </row>
    <row r="50" spans="1:19" s="91" customFormat="1" ht="15" customHeight="1" x14ac:dyDescent="0.15">
      <c r="A50" s="89" t="s">
        <v>156</v>
      </c>
      <c r="B50" s="89"/>
      <c r="C50" s="89"/>
      <c r="D50" s="89"/>
      <c r="E50" s="89"/>
      <c r="F50" s="90"/>
      <c r="G50" s="90">
        <f>G47-G49</f>
        <v>956.37400000000025</v>
      </c>
      <c r="H50" s="90">
        <f t="shared" ref="H50:I50" si="0">H47-H49</f>
        <v>316.38000000000011</v>
      </c>
      <c r="I50" s="90">
        <f t="shared" si="0"/>
        <v>252.10800000000017</v>
      </c>
      <c r="J50" s="90"/>
      <c r="K50" s="90"/>
      <c r="L50" s="90"/>
      <c r="M50" s="90"/>
      <c r="N50" s="90"/>
      <c r="O50" s="90"/>
      <c r="P50" s="90"/>
      <c r="Q50" s="90"/>
      <c r="R50" s="90"/>
      <c r="S50" s="90"/>
    </row>
    <row r="51" spans="1:19" s="91" customFormat="1" ht="15" customHeight="1" x14ac:dyDescent="0.15">
      <c r="A51" s="89"/>
      <c r="B51" s="89"/>
      <c r="C51" s="89"/>
      <c r="D51" s="89"/>
      <c r="E51" s="89"/>
      <c r="F51" s="92"/>
      <c r="G51" s="92"/>
      <c r="H51" s="92"/>
      <c r="I51" s="92"/>
      <c r="J51" s="92"/>
      <c r="K51" s="92"/>
      <c r="L51" s="92"/>
      <c r="M51" s="92"/>
      <c r="N51" s="92"/>
      <c r="O51" s="92"/>
      <c r="P51" s="92"/>
      <c r="Q51" s="92"/>
      <c r="R51" s="92"/>
      <c r="S51" s="92"/>
    </row>
    <row r="52" spans="1:19" s="6" customFormat="1" ht="15" customHeight="1" x14ac:dyDescent="0.15">
      <c r="A52" s="10" t="s">
        <v>60</v>
      </c>
      <c r="B52" s="10"/>
      <c r="C52" s="10"/>
      <c r="D52" s="10"/>
      <c r="E52" s="10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</row>
    <row r="53" spans="1:19" s="6" customFormat="1" ht="15" customHeight="1" x14ac:dyDescent="0.15">
      <c r="A53" s="10"/>
      <c r="B53" s="10" t="s">
        <v>61</v>
      </c>
      <c r="C53" s="10"/>
      <c r="D53" s="10"/>
      <c r="E53" s="10"/>
      <c r="F53" s="24">
        <v>-0.73199999999999998</v>
      </c>
      <c r="G53" s="24">
        <v>576.51800000000003</v>
      </c>
      <c r="H53" s="24">
        <v>0.106</v>
      </c>
      <c r="I53" s="24">
        <v>6.6000000000000003E-2</v>
      </c>
      <c r="J53" s="24">
        <v>0</v>
      </c>
      <c r="K53" s="24">
        <v>0</v>
      </c>
      <c r="L53" s="24">
        <v>0</v>
      </c>
      <c r="M53" s="24">
        <v>0</v>
      </c>
      <c r="N53" s="24">
        <v>0</v>
      </c>
      <c r="O53" s="24">
        <v>0</v>
      </c>
      <c r="P53" s="24">
        <v>0</v>
      </c>
      <c r="Q53" s="24">
        <v>0</v>
      </c>
      <c r="R53" s="24">
        <v>0.17199999999999999</v>
      </c>
      <c r="S53" s="24">
        <v>0.17199999999999999</v>
      </c>
    </row>
    <row r="54" spans="1:19" s="6" customFormat="1" ht="15" customHeight="1" x14ac:dyDescent="0.15">
      <c r="A54" s="10"/>
      <c r="B54" s="10" t="s">
        <v>62</v>
      </c>
      <c r="C54" s="10"/>
      <c r="D54" s="10"/>
      <c r="E54" s="10"/>
      <c r="F54" s="24">
        <v>0</v>
      </c>
      <c r="G54" s="24">
        <v>149.97300000000001</v>
      </c>
      <c r="H54" s="24">
        <v>2.5999999999999999E-2</v>
      </c>
      <c r="I54" s="24">
        <v>0</v>
      </c>
      <c r="J54" s="24">
        <v>0</v>
      </c>
      <c r="K54" s="24">
        <v>0</v>
      </c>
      <c r="L54" s="24">
        <v>0</v>
      </c>
      <c r="M54" s="24">
        <v>0</v>
      </c>
      <c r="N54" s="24">
        <v>0</v>
      </c>
      <c r="O54" s="24">
        <v>0</v>
      </c>
      <c r="P54" s="24">
        <v>0</v>
      </c>
      <c r="Q54" s="24">
        <v>0</v>
      </c>
      <c r="R54" s="24">
        <v>2.5999999999999999E-2</v>
      </c>
      <c r="S54" s="24">
        <v>2.5999999999999999E-2</v>
      </c>
    </row>
    <row r="55" spans="1:19" s="6" customFormat="1" ht="15" customHeight="1" x14ac:dyDescent="0.15">
      <c r="A55" s="10"/>
      <c r="B55" s="10" t="s">
        <v>63</v>
      </c>
      <c r="C55" s="10"/>
      <c r="D55" s="10"/>
      <c r="E55" s="10"/>
      <c r="F55" s="24">
        <v>32.045999999999999</v>
      </c>
      <c r="G55" s="24">
        <v>29.885000000000002</v>
      </c>
      <c r="H55" s="24">
        <v>20.061</v>
      </c>
      <c r="I55" s="24">
        <v>19.181000000000001</v>
      </c>
      <c r="J55" s="24">
        <v>18.681000000000001</v>
      </c>
      <c r="K55" s="24">
        <v>18.213000000000001</v>
      </c>
      <c r="L55" s="24">
        <v>17.533999999999999</v>
      </c>
      <c r="M55" s="24">
        <v>17.527999999999999</v>
      </c>
      <c r="N55" s="24">
        <v>17.11</v>
      </c>
      <c r="O55" s="24">
        <v>17.074999999999999</v>
      </c>
      <c r="P55" s="24">
        <v>16.859000000000002</v>
      </c>
      <c r="Q55" s="24">
        <v>16.908000000000001</v>
      </c>
      <c r="R55" s="24">
        <v>93.67</v>
      </c>
      <c r="S55" s="24">
        <v>179.15</v>
      </c>
    </row>
    <row r="56" spans="1:19" s="6" customFormat="1" ht="15" customHeight="1" x14ac:dyDescent="0.15">
      <c r="A56" s="10"/>
      <c r="B56" s="10" t="s">
        <v>64</v>
      </c>
      <c r="C56" s="10"/>
      <c r="D56" s="10"/>
      <c r="E56" s="10"/>
      <c r="F56" s="24">
        <v>-8.0730000000000004</v>
      </c>
      <c r="G56" s="24">
        <v>-6.1150000000000002</v>
      </c>
      <c r="H56" s="24">
        <v>-3.4049999999999998</v>
      </c>
      <c r="I56" s="24">
        <v>-3.9980000000000002</v>
      </c>
      <c r="J56" s="24">
        <v>-2.9009999999999998</v>
      </c>
      <c r="K56" s="24">
        <v>-2.379</v>
      </c>
      <c r="L56" s="24">
        <v>-2.9540000000000002</v>
      </c>
      <c r="M56" s="24">
        <v>-3.64</v>
      </c>
      <c r="N56" s="24">
        <v>-4.3630000000000004</v>
      </c>
      <c r="O56" s="24">
        <v>-5.194</v>
      </c>
      <c r="P56" s="24">
        <v>-6.0990000000000002</v>
      </c>
      <c r="Q56" s="24">
        <v>-7.0890000000000004</v>
      </c>
      <c r="R56" s="24">
        <v>-15.637</v>
      </c>
      <c r="S56" s="24">
        <v>-42.021999999999998</v>
      </c>
    </row>
    <row r="57" spans="1:19" s="6" customFormat="1" ht="15" customHeight="1" x14ac:dyDescent="0.15">
      <c r="A57" s="10"/>
      <c r="B57" s="10" t="s">
        <v>65</v>
      </c>
      <c r="C57" s="10"/>
      <c r="D57" s="10"/>
      <c r="E57" s="10"/>
      <c r="F57" s="24">
        <v>10.457000000000001</v>
      </c>
      <c r="G57" s="24">
        <v>10.657999999999999</v>
      </c>
      <c r="H57" s="24">
        <v>11.2</v>
      </c>
      <c r="I57" s="24">
        <v>11.794</v>
      </c>
      <c r="J57" s="24">
        <v>12.409000000000001</v>
      </c>
      <c r="K57" s="24">
        <v>12.923999999999999</v>
      </c>
      <c r="L57" s="24">
        <v>13.631</v>
      </c>
      <c r="M57" s="24">
        <v>14.273</v>
      </c>
      <c r="N57" s="24">
        <v>15.036</v>
      </c>
      <c r="O57" s="24">
        <v>15.776</v>
      </c>
      <c r="P57" s="24">
        <v>16.579000000000001</v>
      </c>
      <c r="Q57" s="24">
        <v>17.369</v>
      </c>
      <c r="R57" s="24">
        <v>61.957999999999998</v>
      </c>
      <c r="S57" s="24">
        <v>140.99100000000001</v>
      </c>
    </row>
    <row r="58" spans="1:19" s="6" customFormat="1" ht="16.5" customHeight="1" x14ac:dyDescent="0.15">
      <c r="A58" s="10"/>
      <c r="B58" s="28" t="s">
        <v>66</v>
      </c>
      <c r="C58" s="10"/>
      <c r="D58" s="10"/>
      <c r="E58" s="10"/>
      <c r="F58" s="24">
        <v>0</v>
      </c>
      <c r="G58" s="24">
        <v>0</v>
      </c>
      <c r="H58" s="24">
        <v>2.57</v>
      </c>
      <c r="I58" s="24">
        <v>4.91</v>
      </c>
      <c r="J58" s="24">
        <v>4.29</v>
      </c>
      <c r="K58" s="24">
        <v>4.68</v>
      </c>
      <c r="L58" s="24">
        <v>5.23</v>
      </c>
      <c r="M58" s="24">
        <v>5.44</v>
      </c>
      <c r="N58" s="24">
        <v>5.63</v>
      </c>
      <c r="O58" s="24">
        <v>5.9</v>
      </c>
      <c r="P58" s="24">
        <v>6.23</v>
      </c>
      <c r="Q58" s="24">
        <v>6.91</v>
      </c>
      <c r="R58" s="24">
        <v>21.68</v>
      </c>
      <c r="S58" s="24">
        <v>51.79</v>
      </c>
    </row>
    <row r="59" spans="1:19" s="6" customFormat="1" ht="15" customHeight="1" x14ac:dyDescent="0.15">
      <c r="A59" s="10"/>
      <c r="B59" s="10" t="s">
        <v>67</v>
      </c>
      <c r="C59" s="10"/>
      <c r="D59" s="10"/>
      <c r="E59" s="10"/>
      <c r="F59" s="24">
        <v>33.152000000000001</v>
      </c>
      <c r="G59" s="24">
        <v>93.71</v>
      </c>
      <c r="H59" s="24">
        <v>1.1819999999999999</v>
      </c>
      <c r="I59" s="24">
        <v>1.1870000000000001</v>
      </c>
      <c r="J59" s="24">
        <v>1.4530000000000001</v>
      </c>
      <c r="K59" s="24">
        <v>1.7789999999999999</v>
      </c>
      <c r="L59" s="24">
        <v>2.2200000000000002</v>
      </c>
      <c r="M59" s="24">
        <v>2.984</v>
      </c>
      <c r="N59" s="24">
        <v>3.907</v>
      </c>
      <c r="O59" s="24">
        <v>4.694</v>
      </c>
      <c r="P59" s="24">
        <v>5.0339999999999998</v>
      </c>
      <c r="Q59" s="24">
        <v>5.3890000000000002</v>
      </c>
      <c r="R59" s="24">
        <v>7.8209999999999997</v>
      </c>
      <c r="S59" s="24">
        <v>29.829000000000001</v>
      </c>
    </row>
    <row r="60" spans="1:19" s="6" customFormat="1" ht="15" customHeight="1" x14ac:dyDescent="0.15">
      <c r="A60" s="10"/>
      <c r="B60" s="10" t="s">
        <v>57</v>
      </c>
      <c r="C60" s="10"/>
      <c r="D60" s="10"/>
      <c r="E60" s="10"/>
      <c r="F60" s="24">
        <v>58.710999999999999</v>
      </c>
      <c r="G60" s="24">
        <v>114.73099999999999</v>
      </c>
      <c r="H60" s="24">
        <v>68.715000000000003</v>
      </c>
      <c r="I60" s="24">
        <v>71.436999999999998</v>
      </c>
      <c r="J60" s="24">
        <v>69.662999999999997</v>
      </c>
      <c r="K60" s="24">
        <v>69.725999999999999</v>
      </c>
      <c r="L60" s="24">
        <v>70.003</v>
      </c>
      <c r="M60" s="24">
        <v>70.840999999999994</v>
      </c>
      <c r="N60" s="24">
        <v>69.992000000000004</v>
      </c>
      <c r="O60" s="24">
        <v>70.025000000000006</v>
      </c>
      <c r="P60" s="24">
        <v>69.733000000000004</v>
      </c>
      <c r="Q60" s="24">
        <v>67.626000000000005</v>
      </c>
      <c r="R60" s="24">
        <v>349.54399999999998</v>
      </c>
      <c r="S60" s="24">
        <v>697.76099999999997</v>
      </c>
    </row>
    <row r="61" spans="1:19" s="6" customFormat="1" ht="3" customHeight="1" x14ac:dyDescent="0.15">
      <c r="A61" s="10"/>
      <c r="B61" s="10"/>
      <c r="C61" s="10"/>
      <c r="D61" s="10"/>
      <c r="E61" s="10"/>
      <c r="F61" s="26" t="s">
        <v>39</v>
      </c>
      <c r="G61" s="26" t="s">
        <v>39</v>
      </c>
      <c r="H61" s="26" t="s">
        <v>39</v>
      </c>
      <c r="I61" s="26" t="s">
        <v>39</v>
      </c>
      <c r="J61" s="26" t="s">
        <v>39</v>
      </c>
      <c r="K61" s="26" t="s">
        <v>39</v>
      </c>
      <c r="L61" s="26" t="s">
        <v>39</v>
      </c>
      <c r="M61" s="26" t="s">
        <v>39</v>
      </c>
      <c r="N61" s="26" t="s">
        <v>39</v>
      </c>
      <c r="O61" s="26" t="s">
        <v>39</v>
      </c>
      <c r="P61" s="26" t="s">
        <v>39</v>
      </c>
      <c r="Q61" s="26" t="s">
        <v>39</v>
      </c>
      <c r="R61" s="26" t="s">
        <v>39</v>
      </c>
      <c r="S61" s="26" t="s">
        <v>40</v>
      </c>
    </row>
    <row r="62" spans="1:19" s="6" customFormat="1" ht="15" customHeight="1" x14ac:dyDescent="0.15">
      <c r="A62" s="10"/>
      <c r="B62" s="10"/>
      <c r="C62" s="10"/>
      <c r="D62" s="10" t="s">
        <v>41</v>
      </c>
      <c r="E62" s="10"/>
      <c r="F62" s="24">
        <v>125.56100000000001</v>
      </c>
      <c r="G62" s="24">
        <v>969.36</v>
      </c>
      <c r="H62" s="24">
        <v>100.455</v>
      </c>
      <c r="I62" s="24">
        <v>104.577</v>
      </c>
      <c r="J62" s="24">
        <v>103.595</v>
      </c>
      <c r="K62" s="24">
        <v>104.943</v>
      </c>
      <c r="L62" s="24">
        <v>105.664</v>
      </c>
      <c r="M62" s="24">
        <v>107.426</v>
      </c>
      <c r="N62" s="24">
        <v>107.312</v>
      </c>
      <c r="O62" s="24">
        <v>108.276</v>
      </c>
      <c r="P62" s="24">
        <v>108.336</v>
      </c>
      <c r="Q62" s="24">
        <v>107.113</v>
      </c>
      <c r="R62" s="24">
        <v>519.23400000000004</v>
      </c>
      <c r="S62" s="24">
        <v>1057.6969999999999</v>
      </c>
    </row>
    <row r="63" spans="1:19" s="6" customFormat="1" ht="15" customHeight="1" x14ac:dyDescent="0.15">
      <c r="A63" s="10"/>
      <c r="B63" s="10"/>
      <c r="C63" s="10"/>
      <c r="D63" s="10"/>
      <c r="E63" s="10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</row>
    <row r="64" spans="1:19" s="6" customFormat="1" ht="15" customHeight="1" x14ac:dyDescent="0.15">
      <c r="A64" s="10" t="s">
        <v>68</v>
      </c>
      <c r="B64" s="10"/>
      <c r="C64" s="10"/>
      <c r="D64" s="10"/>
      <c r="E64" s="10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</row>
    <row r="65" spans="1:19" s="6" customFormat="1" ht="15" customHeight="1" x14ac:dyDescent="0.15">
      <c r="A65" s="10" t="s">
        <v>69</v>
      </c>
      <c r="B65" s="10"/>
      <c r="C65" s="10"/>
      <c r="D65" s="10"/>
      <c r="E65" s="10"/>
      <c r="F65" s="25">
        <v>3009.8150000000001</v>
      </c>
      <c r="G65" s="25">
        <v>4886.0630000000001</v>
      </c>
      <c r="H65" s="25">
        <v>3471.8890000000001</v>
      </c>
      <c r="I65" s="25">
        <v>3587.0010000000002</v>
      </c>
      <c r="J65" s="25">
        <v>3643.232</v>
      </c>
      <c r="K65" s="25">
        <v>3751.9870000000001</v>
      </c>
      <c r="L65" s="25">
        <v>4008.431</v>
      </c>
      <c r="M65" s="25">
        <v>4221.1710000000003</v>
      </c>
      <c r="N65" s="25">
        <v>4414.2790000000005</v>
      </c>
      <c r="O65" s="25">
        <v>4731.8140000000003</v>
      </c>
      <c r="P65" s="25">
        <v>4776.241</v>
      </c>
      <c r="Q65" s="25">
        <v>5106.8760000000002</v>
      </c>
      <c r="R65" s="25">
        <v>18462.54</v>
      </c>
      <c r="S65" s="25">
        <v>41712.921000000002</v>
      </c>
    </row>
    <row r="66" spans="1:19" s="6" customFormat="1" ht="15" customHeight="1" x14ac:dyDescent="0.15">
      <c r="A66" s="10"/>
      <c r="B66" s="10"/>
      <c r="C66" s="10"/>
      <c r="D66" s="10"/>
      <c r="E66" s="10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4"/>
      <c r="S66" s="24"/>
    </row>
    <row r="67" spans="1:19" s="6" customFormat="1" ht="15" customHeight="1" x14ac:dyDescent="0.15">
      <c r="A67" s="10" t="s">
        <v>70</v>
      </c>
      <c r="B67" s="10"/>
      <c r="C67" s="10"/>
      <c r="D67" s="10"/>
      <c r="E67" s="10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4"/>
      <c r="S67" s="24"/>
    </row>
    <row r="68" spans="1:19" s="6" customFormat="1" ht="16.5" customHeight="1" x14ac:dyDescent="0.15">
      <c r="A68" s="10"/>
      <c r="B68" s="10" t="s">
        <v>71</v>
      </c>
      <c r="C68" s="10"/>
      <c r="D68" s="10"/>
      <c r="E68" s="10"/>
      <c r="F68" s="25">
        <v>-131.53</v>
      </c>
      <c r="G68" s="25">
        <v>-140.73599999999999</v>
      </c>
      <c r="H68" s="25">
        <v>-146.95599999999999</v>
      </c>
      <c r="I68" s="25">
        <v>-159.81100000000001</v>
      </c>
      <c r="J68" s="25">
        <v>-176.108</v>
      </c>
      <c r="K68" s="25">
        <v>-191.893</v>
      </c>
      <c r="L68" s="25">
        <v>-206.78899999999999</v>
      </c>
      <c r="M68" s="25">
        <v>-221.84800000000001</v>
      </c>
      <c r="N68" s="25">
        <v>-239.398</v>
      </c>
      <c r="O68" s="25">
        <v>-256.38799999999998</v>
      </c>
      <c r="P68" s="25">
        <v>-276.03899999999999</v>
      </c>
      <c r="Q68" s="25">
        <v>-290.81</v>
      </c>
      <c r="R68" s="25">
        <v>-881.55700000000002</v>
      </c>
      <c r="S68" s="25">
        <v>-2166.04</v>
      </c>
    </row>
    <row r="69" spans="1:19" s="6" customFormat="1" ht="15" customHeight="1" x14ac:dyDescent="0.15">
      <c r="A69" s="10"/>
      <c r="B69" s="10" t="s">
        <v>72</v>
      </c>
      <c r="C69" s="10"/>
      <c r="D69" s="10"/>
      <c r="E69" s="10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</row>
    <row r="70" spans="1:19" s="6" customFormat="1" ht="15" customHeight="1" x14ac:dyDescent="0.15">
      <c r="A70" s="10"/>
      <c r="B70" s="10" t="s">
        <v>73</v>
      </c>
      <c r="C70" s="10"/>
      <c r="D70" s="10"/>
      <c r="E70" s="10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</row>
    <row r="71" spans="1:19" s="6" customFormat="1" ht="15" customHeight="1" x14ac:dyDescent="0.15">
      <c r="A71" s="10"/>
      <c r="B71" s="10"/>
      <c r="C71" s="28" t="s">
        <v>74</v>
      </c>
      <c r="D71" s="28"/>
      <c r="E71" s="28"/>
      <c r="F71" s="25">
        <v>-36.439</v>
      </c>
      <c r="G71" s="25">
        <v>-41.506</v>
      </c>
      <c r="H71" s="25">
        <v>-45.792000000000002</v>
      </c>
      <c r="I71" s="25">
        <v>-47.43</v>
      </c>
      <c r="J71" s="25">
        <v>-49.198</v>
      </c>
      <c r="K71" s="25">
        <v>-51.003999999999998</v>
      </c>
      <c r="L71" s="25">
        <v>-52.83</v>
      </c>
      <c r="M71" s="25">
        <v>-54.661999999999999</v>
      </c>
      <c r="N71" s="25">
        <v>-56.475999999999999</v>
      </c>
      <c r="O71" s="25">
        <v>-58.28</v>
      </c>
      <c r="P71" s="25">
        <v>-60.107999999999997</v>
      </c>
      <c r="Q71" s="25">
        <v>-61.978000000000002</v>
      </c>
      <c r="R71" s="25">
        <v>-246.25399999999999</v>
      </c>
      <c r="S71" s="25">
        <v>-537.75800000000004</v>
      </c>
    </row>
    <row r="72" spans="1:19" s="6" customFormat="1" ht="15" customHeight="1" x14ac:dyDescent="0.15">
      <c r="A72" s="10"/>
      <c r="B72" s="10"/>
      <c r="C72" s="28" t="s">
        <v>75</v>
      </c>
      <c r="D72" s="28"/>
      <c r="E72" s="28"/>
      <c r="F72" s="25">
        <v>-20.640999999999998</v>
      </c>
      <c r="G72" s="25">
        <v>-21.596</v>
      </c>
      <c r="H72" s="25">
        <v>-25</v>
      </c>
      <c r="I72" s="25">
        <v>-25.242999999999999</v>
      </c>
      <c r="J72" s="25">
        <v>-25.503</v>
      </c>
      <c r="K72" s="25">
        <v>-25.806999999999999</v>
      </c>
      <c r="L72" s="25">
        <v>-26.143999999999998</v>
      </c>
      <c r="M72" s="25">
        <v>-26.521000000000001</v>
      </c>
      <c r="N72" s="25">
        <v>-26.937999999999999</v>
      </c>
      <c r="O72" s="25">
        <v>-27.417000000000002</v>
      </c>
      <c r="P72" s="25">
        <v>-27.948</v>
      </c>
      <c r="Q72" s="25">
        <v>-28.527999999999999</v>
      </c>
      <c r="R72" s="25">
        <v>-127.697</v>
      </c>
      <c r="S72" s="25">
        <v>-265.04899999999998</v>
      </c>
    </row>
    <row r="73" spans="1:19" s="6" customFormat="1" ht="15" customHeight="1" x14ac:dyDescent="0.15">
      <c r="A73" s="10"/>
      <c r="B73" s="10"/>
      <c r="C73" s="28" t="s">
        <v>36</v>
      </c>
      <c r="D73" s="28"/>
      <c r="E73" s="28"/>
      <c r="F73" s="25">
        <v>-18.055</v>
      </c>
      <c r="G73" s="25">
        <v>-18.274999999999999</v>
      </c>
      <c r="H73" s="25">
        <v>-18.619</v>
      </c>
      <c r="I73" s="25">
        <v>-19.074999999999999</v>
      </c>
      <c r="J73" s="25">
        <v>-19.535</v>
      </c>
      <c r="K73" s="25">
        <v>-20.032</v>
      </c>
      <c r="L73" s="25">
        <v>-20.57</v>
      </c>
      <c r="M73" s="25">
        <v>-21.15</v>
      </c>
      <c r="N73" s="25">
        <v>-21.771999999999998</v>
      </c>
      <c r="O73" s="25">
        <v>-22.434999999999999</v>
      </c>
      <c r="P73" s="25">
        <v>-23.13</v>
      </c>
      <c r="Q73" s="25">
        <v>-23.853000000000002</v>
      </c>
      <c r="R73" s="25">
        <v>-97.831000000000003</v>
      </c>
      <c r="S73" s="25">
        <v>-210.17099999999999</v>
      </c>
    </row>
    <row r="74" spans="1:19" s="6" customFormat="1" ht="3" customHeight="1" x14ac:dyDescent="0.15">
      <c r="A74" s="10"/>
      <c r="B74" s="10"/>
      <c r="C74" s="10"/>
      <c r="D74" s="10"/>
      <c r="E74" s="10"/>
      <c r="F74" s="26" t="s">
        <v>39</v>
      </c>
      <c r="G74" s="26" t="s">
        <v>39</v>
      </c>
      <c r="H74" s="26" t="s">
        <v>39</v>
      </c>
      <c r="I74" s="26" t="s">
        <v>39</v>
      </c>
      <c r="J74" s="26" t="s">
        <v>39</v>
      </c>
      <c r="K74" s="26" t="s">
        <v>39</v>
      </c>
      <c r="L74" s="26" t="s">
        <v>39</v>
      </c>
      <c r="M74" s="26" t="s">
        <v>39</v>
      </c>
      <c r="N74" s="26" t="s">
        <v>39</v>
      </c>
      <c r="O74" s="26" t="s">
        <v>39</v>
      </c>
      <c r="P74" s="26" t="s">
        <v>39</v>
      </c>
      <c r="Q74" s="26" t="s">
        <v>39</v>
      </c>
      <c r="R74" s="26" t="s">
        <v>39</v>
      </c>
      <c r="S74" s="26" t="s">
        <v>40</v>
      </c>
    </row>
    <row r="75" spans="1:19" s="6" customFormat="1" ht="15" customHeight="1" x14ac:dyDescent="0.15">
      <c r="A75" s="10"/>
      <c r="B75" s="10"/>
      <c r="C75" s="10"/>
      <c r="D75" s="392" t="s">
        <v>41</v>
      </c>
      <c r="E75" s="393"/>
      <c r="F75" s="25">
        <v>-75.135000000000005</v>
      </c>
      <c r="G75" s="25">
        <v>-81.376999999999995</v>
      </c>
      <c r="H75" s="25">
        <v>-89.411000000000001</v>
      </c>
      <c r="I75" s="25">
        <v>-91.748000000000005</v>
      </c>
      <c r="J75" s="25">
        <v>-94.236000000000004</v>
      </c>
      <c r="K75" s="25">
        <v>-96.843000000000004</v>
      </c>
      <c r="L75" s="25">
        <v>-99.543999999999997</v>
      </c>
      <c r="M75" s="25">
        <v>-102.333</v>
      </c>
      <c r="N75" s="25">
        <v>-105.18600000000001</v>
      </c>
      <c r="O75" s="25">
        <v>-108.13200000000001</v>
      </c>
      <c r="P75" s="25">
        <v>-111.18600000000001</v>
      </c>
      <c r="Q75" s="25">
        <v>-114.35899999999999</v>
      </c>
      <c r="R75" s="25">
        <v>-471.78199999999998</v>
      </c>
      <c r="S75" s="25">
        <v>-1012.978</v>
      </c>
    </row>
    <row r="76" spans="1:19" s="6" customFormat="1" ht="15" customHeight="1" x14ac:dyDescent="0.15">
      <c r="A76" s="10"/>
      <c r="B76" s="28"/>
      <c r="C76" s="10"/>
      <c r="D76" s="10"/>
      <c r="E76" s="10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</row>
    <row r="77" spans="1:19" s="6" customFormat="1" ht="16.5" customHeight="1" x14ac:dyDescent="0.15">
      <c r="A77" s="10"/>
      <c r="B77" s="28" t="s">
        <v>76</v>
      </c>
      <c r="C77" s="28"/>
      <c r="D77" s="28"/>
      <c r="E77" s="28"/>
      <c r="F77" s="25">
        <v>-14.331</v>
      </c>
      <c r="G77" s="25">
        <v>-10.007999999999999</v>
      </c>
      <c r="H77" s="25">
        <v>-9.9969999999999999</v>
      </c>
      <c r="I77" s="25">
        <v>-11.169</v>
      </c>
      <c r="J77" s="25">
        <v>-10.786</v>
      </c>
      <c r="K77" s="25">
        <v>-11.792</v>
      </c>
      <c r="L77" s="25">
        <v>-11.88</v>
      </c>
      <c r="M77" s="25">
        <v>-12.057</v>
      </c>
      <c r="N77" s="25">
        <v>-12.396000000000001</v>
      </c>
      <c r="O77" s="25">
        <v>-12.348000000000001</v>
      </c>
      <c r="P77" s="25">
        <v>-13.318</v>
      </c>
      <c r="Q77" s="25">
        <v>-14.282</v>
      </c>
      <c r="R77" s="25">
        <v>-55.624000000000002</v>
      </c>
      <c r="S77" s="25">
        <v>-120.02500000000001</v>
      </c>
    </row>
    <row r="78" spans="1:19" s="6" customFormat="1" ht="15" customHeight="1" x14ac:dyDescent="0.15">
      <c r="A78" s="10"/>
      <c r="B78" s="28" t="s">
        <v>65</v>
      </c>
      <c r="C78" s="10"/>
      <c r="D78" s="10"/>
      <c r="E78" s="10"/>
      <c r="F78" s="25">
        <v>-7.7629999999999999</v>
      </c>
      <c r="G78" s="25">
        <v>-8.0500000000000007</v>
      </c>
      <c r="H78" s="25">
        <v>-8.6219999999999999</v>
      </c>
      <c r="I78" s="25">
        <v>-9.0790000000000006</v>
      </c>
      <c r="J78" s="25">
        <v>-9.5329999999999995</v>
      </c>
      <c r="K78" s="25">
        <v>-10.01</v>
      </c>
      <c r="L78" s="25">
        <v>-10.51</v>
      </c>
      <c r="M78" s="25">
        <v>-11.035</v>
      </c>
      <c r="N78" s="25">
        <v>-11.587</v>
      </c>
      <c r="O78" s="25">
        <v>-12.167</v>
      </c>
      <c r="P78" s="25">
        <v>-12.775</v>
      </c>
      <c r="Q78" s="25">
        <v>-13.414</v>
      </c>
      <c r="R78" s="25">
        <v>-47.753999999999998</v>
      </c>
      <c r="S78" s="25">
        <v>-108.732</v>
      </c>
    </row>
    <row r="79" spans="1:19" s="6" customFormat="1" ht="15" customHeight="1" x14ac:dyDescent="0.15">
      <c r="A79" s="10"/>
      <c r="B79" s="28" t="s">
        <v>66</v>
      </c>
      <c r="C79" s="28"/>
      <c r="D79" s="28"/>
      <c r="E79" s="28"/>
      <c r="F79" s="25">
        <v>-19.181999999999999</v>
      </c>
      <c r="G79" s="25">
        <v>-4.2</v>
      </c>
      <c r="H79" s="25">
        <v>0</v>
      </c>
      <c r="I79" s="25">
        <v>0</v>
      </c>
      <c r="J79" s="25">
        <v>0</v>
      </c>
      <c r="K79" s="25">
        <v>0</v>
      </c>
      <c r="L79" s="25">
        <v>0</v>
      </c>
      <c r="M79" s="25">
        <v>0</v>
      </c>
      <c r="N79" s="25">
        <v>0</v>
      </c>
      <c r="O79" s="25">
        <v>0</v>
      </c>
      <c r="P79" s="25">
        <v>0</v>
      </c>
      <c r="Q79" s="25">
        <v>0</v>
      </c>
      <c r="R79" s="25">
        <v>0</v>
      </c>
      <c r="S79" s="25">
        <v>0</v>
      </c>
    </row>
    <row r="80" spans="1:19" s="6" customFormat="1" ht="15" customHeight="1" x14ac:dyDescent="0.15">
      <c r="A80" s="10"/>
      <c r="B80" s="28" t="s">
        <v>57</v>
      </c>
      <c r="C80" s="28"/>
      <c r="D80" s="28"/>
      <c r="E80" s="28"/>
      <c r="F80" s="25">
        <v>-27.701000000000001</v>
      </c>
      <c r="G80" s="25">
        <v>-24.986000000000001</v>
      </c>
      <c r="H80" s="25">
        <v>-33.298999999999999</v>
      </c>
      <c r="I80" s="25">
        <v>-40.917999999999999</v>
      </c>
      <c r="J80" s="25">
        <v>-39.795999999999999</v>
      </c>
      <c r="K80" s="25">
        <v>-30.850999999999999</v>
      </c>
      <c r="L80" s="25">
        <v>-39.113</v>
      </c>
      <c r="M80" s="25">
        <v>-31.596</v>
      </c>
      <c r="N80" s="25">
        <v>-31.497</v>
      </c>
      <c r="O80" s="25">
        <v>-28.585000000000001</v>
      </c>
      <c r="P80" s="25">
        <v>-28.823</v>
      </c>
      <c r="Q80" s="29">
        <v>-22.437000000000001</v>
      </c>
      <c r="R80" s="25">
        <v>-183.977</v>
      </c>
      <c r="S80" s="25">
        <v>-326.91500000000002</v>
      </c>
    </row>
    <row r="81" spans="1:20" s="6" customFormat="1" ht="3" customHeight="1" x14ac:dyDescent="0.15">
      <c r="A81" s="10"/>
      <c r="B81" s="28"/>
      <c r="C81" s="28"/>
      <c r="D81" s="28"/>
      <c r="E81" s="28"/>
      <c r="F81" s="26" t="s">
        <v>39</v>
      </c>
      <c r="G81" s="26" t="s">
        <v>39</v>
      </c>
      <c r="H81" s="26" t="s">
        <v>39</v>
      </c>
      <c r="I81" s="26" t="s">
        <v>39</v>
      </c>
      <c r="J81" s="26" t="s">
        <v>39</v>
      </c>
      <c r="K81" s="26" t="s">
        <v>39</v>
      </c>
      <c r="L81" s="26" t="s">
        <v>39</v>
      </c>
      <c r="M81" s="26" t="s">
        <v>39</v>
      </c>
      <c r="N81" s="26" t="s">
        <v>39</v>
      </c>
      <c r="O81" s="26" t="s">
        <v>39</v>
      </c>
      <c r="P81" s="26" t="s">
        <v>39</v>
      </c>
      <c r="Q81" s="26" t="s">
        <v>39</v>
      </c>
      <c r="R81" s="26" t="s">
        <v>39</v>
      </c>
      <c r="S81" s="26" t="s">
        <v>40</v>
      </c>
    </row>
    <row r="82" spans="1:20" s="6" customFormat="1" ht="15" customHeight="1" x14ac:dyDescent="0.15">
      <c r="A82" s="10"/>
      <c r="B82" s="28"/>
      <c r="C82" s="10"/>
      <c r="D82" s="28" t="s">
        <v>41</v>
      </c>
      <c r="E82" s="28"/>
      <c r="F82" s="25">
        <v>-275.642</v>
      </c>
      <c r="G82" s="25">
        <v>-269.35700000000003</v>
      </c>
      <c r="H82" s="25">
        <v>-288.28500000000003</v>
      </c>
      <c r="I82" s="25">
        <v>-312.72500000000002</v>
      </c>
      <c r="J82" s="25">
        <v>-330.459</v>
      </c>
      <c r="K82" s="25">
        <v>-341.38900000000001</v>
      </c>
      <c r="L82" s="25">
        <v>-367.83600000000001</v>
      </c>
      <c r="M82" s="25">
        <v>-378.86900000000003</v>
      </c>
      <c r="N82" s="25">
        <v>-400.06400000000002</v>
      </c>
      <c r="O82" s="25">
        <v>-417.62</v>
      </c>
      <c r="P82" s="25">
        <v>-442.14100000000002</v>
      </c>
      <c r="Q82" s="25">
        <v>-455.30200000000002</v>
      </c>
      <c r="R82" s="25">
        <v>-1640.694</v>
      </c>
      <c r="S82" s="25">
        <v>-3734.69</v>
      </c>
    </row>
    <row r="83" spans="1:20" s="6" customFormat="1" ht="15" customHeight="1" x14ac:dyDescent="0.15">
      <c r="A83" s="10"/>
      <c r="B83" s="10"/>
      <c r="C83" s="10"/>
      <c r="D83" s="10"/>
      <c r="E83" s="10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</row>
    <row r="84" spans="1:20" s="6" customFormat="1" ht="15" customHeight="1" x14ac:dyDescent="0.15">
      <c r="A84" s="10"/>
      <c r="B84" s="10"/>
      <c r="C84" s="10"/>
      <c r="D84" s="10"/>
      <c r="E84" s="10" t="s">
        <v>77</v>
      </c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</row>
    <row r="85" spans="1:20" s="6" customFormat="1" ht="15" customHeight="1" x14ac:dyDescent="0.15">
      <c r="A85" s="10"/>
      <c r="B85" s="10"/>
      <c r="C85" s="10"/>
      <c r="D85" s="10"/>
      <c r="E85" s="10" t="s">
        <v>78</v>
      </c>
      <c r="F85" s="25">
        <v>2734.1729999999998</v>
      </c>
      <c r="G85" s="25">
        <v>4616.7060000000001</v>
      </c>
      <c r="H85" s="25">
        <v>3183.6039999999998</v>
      </c>
      <c r="I85" s="25">
        <v>3274.2759999999998</v>
      </c>
      <c r="J85" s="25">
        <v>3312.7730000000001</v>
      </c>
      <c r="K85" s="25">
        <v>3410.598</v>
      </c>
      <c r="L85" s="25">
        <v>3640.5949999999998</v>
      </c>
      <c r="M85" s="25">
        <v>3842.3020000000001</v>
      </c>
      <c r="N85" s="25">
        <v>4014.2150000000001</v>
      </c>
      <c r="O85" s="25">
        <v>4314.1940000000004</v>
      </c>
      <c r="P85" s="25">
        <v>4334.1000000000004</v>
      </c>
      <c r="Q85" s="25">
        <v>4651.5739999999996</v>
      </c>
      <c r="R85" s="25">
        <v>16821.846000000001</v>
      </c>
      <c r="S85" s="25">
        <v>37978.231</v>
      </c>
      <c r="T85" s="25"/>
    </row>
    <row r="86" spans="1:20" s="6" customFormat="1" ht="15" customHeight="1" x14ac:dyDescent="0.15">
      <c r="A86" s="10"/>
      <c r="B86" s="10"/>
      <c r="C86" s="10"/>
      <c r="D86" s="10"/>
      <c r="E86" s="10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</row>
    <row r="87" spans="1:20" s="6" customFormat="1" ht="15" customHeight="1" x14ac:dyDescent="0.15">
      <c r="A87" s="30" t="s">
        <v>79</v>
      </c>
      <c r="B87" s="10"/>
      <c r="C87" s="10"/>
      <c r="D87" s="10"/>
      <c r="E87" s="10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</row>
    <row r="88" spans="1:20" s="6" customFormat="1" ht="15" customHeight="1" x14ac:dyDescent="0.15">
      <c r="A88" s="10" t="s">
        <v>80</v>
      </c>
      <c r="B88" s="10"/>
      <c r="C88" s="10"/>
      <c r="D88" s="10"/>
      <c r="E88" s="10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</row>
    <row r="89" spans="1:20" s="6" customFormat="1" ht="15" customHeight="1" x14ac:dyDescent="0.15">
      <c r="A89" s="10"/>
      <c r="B89" s="10" t="s">
        <v>81</v>
      </c>
      <c r="C89" s="10"/>
      <c r="D89" s="10"/>
      <c r="E89" s="10"/>
      <c r="F89" s="25">
        <v>643.87599999999998</v>
      </c>
      <c r="G89" s="25">
        <v>721.33199999999999</v>
      </c>
      <c r="H89" s="25">
        <v>662.77700000000004</v>
      </c>
      <c r="I89" s="25">
        <v>813.46100000000001</v>
      </c>
      <c r="J89" s="25">
        <v>836.99199999999996</v>
      </c>
      <c r="K89" s="25">
        <v>844.35500000000002</v>
      </c>
      <c r="L89" s="25">
        <v>951.00599999999997</v>
      </c>
      <c r="M89" s="25">
        <v>1017.881</v>
      </c>
      <c r="N89" s="25">
        <v>1088.567</v>
      </c>
      <c r="O89" s="25">
        <v>1234.4010000000001</v>
      </c>
      <c r="P89" s="25">
        <v>1173.8789999999999</v>
      </c>
      <c r="Q89" s="25">
        <v>1320.4839999999999</v>
      </c>
      <c r="R89" s="25">
        <v>4108.5910000000003</v>
      </c>
      <c r="S89" s="25">
        <v>9943.8029999999999</v>
      </c>
    </row>
    <row r="90" spans="1:20" s="6" customFormat="1" ht="15" customHeight="1" x14ac:dyDescent="0.15">
      <c r="A90" s="19"/>
      <c r="B90" s="19" t="s">
        <v>82</v>
      </c>
      <c r="C90" s="10"/>
      <c r="D90" s="10"/>
      <c r="E90" s="10"/>
      <c r="F90" s="23">
        <v>1126.519</v>
      </c>
      <c r="G90" s="23">
        <v>1258.6759999999999</v>
      </c>
      <c r="H90" s="23">
        <v>1272.1010000000001</v>
      </c>
      <c r="I90" s="23">
        <v>1399.453</v>
      </c>
      <c r="J90" s="23">
        <v>1401.7059999999999</v>
      </c>
      <c r="K90" s="23">
        <v>1433.2070000000001</v>
      </c>
      <c r="L90" s="23">
        <v>1569.451</v>
      </c>
      <c r="M90" s="23">
        <v>1667.663</v>
      </c>
      <c r="N90" s="23">
        <v>1771.43</v>
      </c>
      <c r="O90" s="23">
        <v>1952.9970000000001</v>
      </c>
      <c r="P90" s="23">
        <v>1930.9259999999999</v>
      </c>
      <c r="Q90" s="23">
        <v>2120.0050000000001</v>
      </c>
      <c r="R90" s="23">
        <v>7075.9179999999997</v>
      </c>
      <c r="S90" s="23">
        <v>16518.938999999998</v>
      </c>
    </row>
    <row r="91" spans="1:20" s="6" customFormat="1" ht="15" customHeight="1" x14ac:dyDescent="0.15">
      <c r="A91" s="10"/>
      <c r="B91" s="10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</row>
  </sheetData>
  <mergeCells count="4">
    <mergeCell ref="A5:S5"/>
    <mergeCell ref="A6:S6"/>
    <mergeCell ref="R8:S8"/>
    <mergeCell ref="D75:E75"/>
  </mergeCells>
  <hyperlinks>
    <hyperlink ref="A2" r:id="rId1" xr:uid="{A0AC9F93-CD82-4A1A-AB7B-6DE6598B6904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A9F3DB0CD4D844B918872BCED9B9CF9" ma:contentTypeVersion="12" ma:contentTypeDescription="Create a new document." ma:contentTypeScope="" ma:versionID="61f75d9b13a46a58fd2456a565edcb9c">
  <xsd:schema xmlns:xsd="http://www.w3.org/2001/XMLSchema" xmlns:xs="http://www.w3.org/2001/XMLSchema" xmlns:p="http://schemas.microsoft.com/office/2006/metadata/properties" xmlns:ns2="cac5d118-ba7b-4807-b700-df6f95cfff50" xmlns:ns3="66951ee6-cd93-49c7-9437-e871b2a117d6" targetNamespace="http://schemas.microsoft.com/office/2006/metadata/properties" ma:root="true" ma:fieldsID="d86870d415110e2c98f3a885b29630d1" ns2:_="" ns3:_="">
    <xsd:import namespace="cac5d118-ba7b-4807-b700-df6f95cfff50"/>
    <xsd:import namespace="66951ee6-cd93-49c7-9437-e871b2a117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c5d118-ba7b-4807-b700-df6f95cfff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951ee6-cd93-49c7-9437-e871b2a117d6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70E13C6-C717-4C73-9EC5-EE5855C1B9D0}">
  <ds:schemaRefs>
    <ds:schemaRef ds:uri="http://schemas.openxmlformats.org/package/2006/metadata/core-properties"/>
    <ds:schemaRef ds:uri="http://schemas.microsoft.com/office/infopath/2007/PartnerControls"/>
    <ds:schemaRef ds:uri="cac5d118-ba7b-4807-b700-df6f95cfff50"/>
    <ds:schemaRef ds:uri="http://purl.org/dc/elements/1.1/"/>
    <ds:schemaRef ds:uri="http://schemas.microsoft.com/office/2006/documentManagement/types"/>
    <ds:schemaRef ds:uri="http://www.w3.org/XML/1998/namespace"/>
    <ds:schemaRef ds:uri="http://purl.org/dc/dcmitype/"/>
    <ds:schemaRef ds:uri="66951ee6-cd93-49c7-9437-e871b2a117d6"/>
    <ds:schemaRef ds:uri="http://schemas.microsoft.com/office/2006/metadata/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12E610D1-229D-4CC6-A1C9-48F28FFDA50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B484070-5C48-4F32-AF92-870650EA512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ac5d118-ba7b-4807-b700-df6f95cfff50"/>
    <ds:schemaRef ds:uri="66951ee6-cd93-49c7-9437-e871b2a117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main</vt:lpstr>
      <vt:lpstr>PPP</vt:lpstr>
      <vt:lpstr>Stimulus Round 2</vt:lpstr>
      <vt:lpstr>add-ons calculations</vt:lpstr>
      <vt:lpstr>FIM Add Factors</vt:lpstr>
      <vt:lpstr>main_nipas</vt:lpstr>
      <vt:lpstr>add-ons calculations nipas</vt:lpstr>
      <vt:lpstr>NIPA Add Factors</vt:lpstr>
      <vt:lpstr>Haver NA</vt:lpstr>
      <vt:lpstr>ui</vt:lpstr>
      <vt:lpstr>MPC</vt:lpstr>
      <vt:lpstr>MPC - round (2)</vt:lpstr>
      <vt:lpstr>figuring out Medicaid</vt:lpstr>
      <vt:lpstr>add-ons - Kadija b4</vt:lpstr>
      <vt:lpstr>figuring out UI</vt:lpstr>
      <vt:lpstr>figuring NIPA tax changes</vt:lpstr>
      <vt:lpstr>figuring out social benefits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Louise Sheiner</dc:creator>
  <cp:lastModifiedBy>Microsoft Office User</cp:lastModifiedBy>
  <dcterms:created xsi:type="dcterms:W3CDTF">2020-09-09T22:29:58Z</dcterms:created>
  <dcterms:modified xsi:type="dcterms:W3CDTF">2021-05-28T02:20:36Z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0x010100FA9F3DB0CD4D844B918872BCED9B9CF9</vt:lpwstr>
  </property>
</Properties>
</file>